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45" windowWidth="18195" windowHeight="11565" tabRatio="799"/>
  </bookViews>
  <sheets>
    <sheet name="RAP-NATURAL GAS PRICES" sheetId="1" r:id="rId1"/>
    <sheet name="RAP TEMPLATE-GAS AVAILABILITY" sheetId="2" r:id="rId2"/>
    <sheet name="RAP-HEAVY &amp; LIGHT OIL &amp; WTI" sheetId="3" r:id="rId3"/>
    <sheet name="RAP-SOLID FUEL PRICES" sheetId="4" r:id="rId4"/>
    <sheet name="CONTROL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[1]HISTORY!#REF!</definedName>
    <definedName name="__123Graph_A" localSheetId="1" hidden="1">'[2]FPL MOST LIKELY GAS BACKUP 1'!#REF!</definedName>
    <definedName name="__123Graph_A" hidden="1">'[2]FPL MOST LIKELY GAS BACKUP 1'!#REF!</definedName>
    <definedName name="__123Graph_B" localSheetId="1" hidden="1">'[2]FPL MOST LIKELY GAS BACKUP 1'!#REF!</definedName>
    <definedName name="__123Graph_B" hidden="1">'[2]FPL MOST LIKELY GAS BACKUP 1'!#REF!</definedName>
    <definedName name="__123Graph_X" localSheetId="1" hidden="1">'[2]FPL MOST LIKELY GAS BACKUP 1'!#REF!</definedName>
    <definedName name="__123Graph_X" hidden="1">'[2]FPL MOST LIKELY GAS BACKUP 1'!#REF!</definedName>
    <definedName name="_1" localSheetId="1">#REF!</definedName>
    <definedName name="_1">#REF!</definedName>
    <definedName name="_1A" localSheetId="1">#REF!</definedName>
    <definedName name="_1A">#REF!</definedName>
    <definedName name="_2" localSheetId="1">#REF!</definedName>
    <definedName name="_2">#REF!</definedName>
    <definedName name="_3" localSheetId="1">#REF!</definedName>
    <definedName name="_3">#REF!</definedName>
    <definedName name="_4" localSheetId="1">#REF!</definedName>
    <definedName name="_4">#REF!</definedName>
    <definedName name="_5" localSheetId="1">#REF!</definedName>
    <definedName name="_5">#REF!</definedName>
    <definedName name="_6" localSheetId="1">#REF!</definedName>
    <definedName name="_6">#REF!</definedName>
    <definedName name="_7" localSheetId="1">#REF!</definedName>
    <definedName name="_7">#REF!</definedName>
    <definedName name="_8" localSheetId="1">#REF!</definedName>
    <definedName name="_8">#REF!</definedName>
    <definedName name="_9394GAS" localSheetId="1">#REF!</definedName>
    <definedName name="_9394GAS">#REF!</definedName>
    <definedName name="_9394OIL" localSheetId="1">#REF!</definedName>
    <definedName name="_9394OIL">#REF!</definedName>
    <definedName name="_C1" localSheetId="1">#REF!</definedName>
    <definedName name="_C1">#REF!</definedName>
    <definedName name="_GIP1" localSheetId="1">#REF!</definedName>
    <definedName name="_GIP1">#REF!</definedName>
    <definedName name="_SYP1" localSheetId="1">#REF!</definedName>
    <definedName name="_SYP1">#REF!</definedName>
    <definedName name="C_" localSheetId="1">#REF!</definedName>
    <definedName name="C_">#REF!</definedName>
    <definedName name="CC1_" localSheetId="1">#REF!</definedName>
    <definedName name="CC1_">#REF!</definedName>
    <definedName name="COMPET" localSheetId="1">#REF!</definedName>
    <definedName name="COMPET">#REF!</definedName>
    <definedName name="CopyXC" localSheetId="1">#REF!</definedName>
    <definedName name="CopyXC">#REF!</definedName>
    <definedName name="DatabaseNameCopy" localSheetId="1">#REF!</definedName>
    <definedName name="DatabaseNameCopy">#REF!</definedName>
    <definedName name="DatabaseNameDG" localSheetId="1">#REF!</definedName>
    <definedName name="DatabaseNameDG">#REF!</definedName>
    <definedName name="DateColumn" localSheetId="1">[3]_Setup_!#REF!</definedName>
    <definedName name="DateColumn">[3]_Setup_!#REF!</definedName>
    <definedName name="DestColRowXC" localSheetId="1">#REF!</definedName>
    <definedName name="DestColRowXC">#REF!</definedName>
    <definedName name="DestDBname" localSheetId="1">#REF!</definedName>
    <definedName name="DestDBname">#REF!</definedName>
    <definedName name="DestHdrRowColXC" localSheetId="1">#REF!</definedName>
    <definedName name="DestHdrRowColXC">#REF!</definedName>
    <definedName name="DestLayoutXC" localSheetId="1">#REF!</definedName>
    <definedName name="DestLayoutXC">#REF!</definedName>
    <definedName name="DestRowColXC" localSheetId="1">#REF!</definedName>
    <definedName name="DestRowColXC">#REF!</definedName>
    <definedName name="DestStudyName" localSheetId="1">#REF!</definedName>
    <definedName name="DestStudyName">#REF!</definedName>
    <definedName name="DestStudyNameCopy" localSheetId="1">#REF!</definedName>
    <definedName name="DestStudyNameCopy">#REF!</definedName>
    <definedName name="DestUserName" localSheetId="1">#REF!</definedName>
    <definedName name="DestUserName">#REF!</definedName>
    <definedName name="DestWorksheetXC" localSheetId="1">#REF!</definedName>
    <definedName name="DestWorksheetXC">#REF!</definedName>
    <definedName name="EffectiveDate" localSheetId="1">[3]_Setup_!#REF!</definedName>
    <definedName name="EffectiveDate">[3]_Setup_!#REF!</definedName>
    <definedName name="FIRM" localSheetId="1">#REF!</definedName>
    <definedName name="FIRM">#REF!</definedName>
    <definedName name="FIRM1" localSheetId="1">#REF!</definedName>
    <definedName name="FIRM1">#REF!</definedName>
    <definedName name="GAS" localSheetId="1">#REF!</definedName>
    <definedName name="GAS">#REF!</definedName>
    <definedName name="GASAVAIL" localSheetId="1">#REF!</definedName>
    <definedName name="GASAVAIL">#REF!</definedName>
    <definedName name="GIP" localSheetId="1">#REF!</definedName>
    <definedName name="GIP">#REF!</definedName>
    <definedName name="HeaderXC" localSheetId="1">#REF!</definedName>
    <definedName name="HeaderXC">#REF!</definedName>
    <definedName name="I5_" localSheetId="1">#REF!</definedName>
    <definedName name="I5_">#REF!</definedName>
    <definedName name="I6_" localSheetId="1">#REF!</definedName>
    <definedName name="I6_">#REF!</definedName>
    <definedName name="I7_" localSheetId="1">#REF!</definedName>
    <definedName name="I7_">#REF!</definedName>
    <definedName name="ImportListDG" localSheetId="1">#REF!</definedName>
    <definedName name="ImportListDG">#REF!</definedName>
    <definedName name="INDEXDATA">'[4]Index-Data'!$A$2:$CG$68</definedName>
    <definedName name="INFLAT" localSheetId="1">#REF!</definedName>
    <definedName name="INFLAT">#REF!</definedName>
    <definedName name="LayoutXC" localSheetId="1">#REF!</definedName>
    <definedName name="LayoutXC">#REF!</definedName>
    <definedName name="Messages" localSheetId="1">[5]_UnregulatedCurves_!#REF!</definedName>
    <definedName name="Messages">[5]_UnregulatedCurves_!#REF!</definedName>
    <definedName name="MessagesDG" localSheetId="1">#REF!</definedName>
    <definedName name="MessagesDG">#REF!</definedName>
    <definedName name="MessagesDW" localSheetId="1">[5]_UnregulatedCurves_!#REF!</definedName>
    <definedName name="MessagesDW">[5]_UnregulatedCurves_!#REF!</definedName>
    <definedName name="MONTH" localSheetId="1">#REF!</definedName>
    <definedName name="MONTH">#REF!</definedName>
    <definedName name="MONTH1" localSheetId="1">#REF!</definedName>
    <definedName name="MONTH1">#REF!</definedName>
    <definedName name="MONTHID">'[4]Misc-Data'!$A$2:$F$85</definedName>
    <definedName name="MONTHS2" localSheetId="1">#REF!</definedName>
    <definedName name="MONTHS2">#REF!</definedName>
    <definedName name="MONTHS3" localSheetId="1">#REF!</definedName>
    <definedName name="MONTHS3">#REF!</definedName>
    <definedName name="MONTHS4" localSheetId="1">#REF!</definedName>
    <definedName name="MONTHS4">#REF!</definedName>
    <definedName name="MONTHS5" localSheetId="1">#REF!</definedName>
    <definedName name="MONTHS5">#REF!</definedName>
    <definedName name="MONTHS6" localSheetId="1">#REF!</definedName>
    <definedName name="MONTHS6">#REF!</definedName>
    <definedName name="MONTHS7" localSheetId="1">#REF!</definedName>
    <definedName name="MONTHS7">#REF!</definedName>
    <definedName name="OIPBBL" localSheetId="1">#REF!</definedName>
    <definedName name="OIPBBL">#REF!</definedName>
    <definedName name="OIPBBL1" localSheetId="1">#REF!</definedName>
    <definedName name="OIPBBL1">#REF!</definedName>
    <definedName name="PasswordCopy" localSheetId="1">#REF!</definedName>
    <definedName name="PasswordCopy">#REF!</definedName>
    <definedName name="PasswordDG" localSheetId="1">#REF!</definedName>
    <definedName name="PasswordDG">#REF!</definedName>
    <definedName name="PHASEII" localSheetId="1">#REF!</definedName>
    <definedName name="PHASEII">#REF!</definedName>
    <definedName name="PHASEII1" localSheetId="1">#REF!</definedName>
    <definedName name="PHASEII1">#REF!</definedName>
    <definedName name="PHASEIII" localSheetId="1">#REF!</definedName>
    <definedName name="PHASEIII">#REF!</definedName>
    <definedName name="PHASEIII1" localSheetId="1">#REF!</definedName>
    <definedName name="PHASEIII1">#REF!</definedName>
    <definedName name="pipedes">'[4]Misc-Data'!$D$2:$F$69</definedName>
    <definedName name="PRINT">#N/A</definedName>
    <definedName name="_xlnm.Print_Area" localSheetId="1">'RAP TEMPLATE-GAS AVAILABILITY'!$A$17:$J$1149</definedName>
    <definedName name="_xlnm.Print_Area" localSheetId="2">'RAP-HEAVY &amp; LIGHT OIL &amp; WTI'!$A$17:$I$1149</definedName>
    <definedName name="_xlnm.Print_Area" localSheetId="0">'RAP-NATURAL GAS PRICES'!$A$17:$S$1149</definedName>
    <definedName name="_xlnm.Print_Area" localSheetId="3">'RAP-SOLID FUEL PRICES'!$A$17:$K$1149</definedName>
    <definedName name="_xlnm.Print_Titles" localSheetId="1">'RAP TEMPLATE-GAS AVAILABILITY'!$1:$16</definedName>
    <definedName name="_xlnm.Print_Titles" localSheetId="2">'RAP-HEAVY &amp; LIGHT OIL &amp; WTI'!$1:$16</definedName>
    <definedName name="_xlnm.Print_Titles" localSheetId="0">'RAP-NATURAL GAS PRICES'!$1:$16</definedName>
    <definedName name="_xlnm.Print_Titles" localSheetId="3">'RAP-SOLID FUEL PRICES'!$1:$16</definedName>
    <definedName name="RESULTS" localSheetId="1">#REF!</definedName>
    <definedName name="RESULTS">#REF!</definedName>
    <definedName name="RESULTS1" localSheetId="1">#REF!</definedName>
    <definedName name="RESULTS1">#REF!</definedName>
    <definedName name="RESULTS2" localSheetId="1">#REF!</definedName>
    <definedName name="RESULTS2">#REF!</definedName>
    <definedName name="RESULTS3" localSheetId="1">#REF!</definedName>
    <definedName name="RESULTS3">#REF!</definedName>
    <definedName name="RESULTS4" localSheetId="1">#REF!</definedName>
    <definedName name="RESULTS4">#REF!</definedName>
    <definedName name="RESULTSA" localSheetId="1">#REF!</definedName>
    <definedName name="RESULTSA">#REF!</definedName>
    <definedName name="RowStart" localSheetId="1">[3]_Setup_!#REF!</definedName>
    <definedName name="RowStart">[3]_Setup_!#REF!</definedName>
    <definedName name="SelectListCopy" localSheetId="1">#REF!</definedName>
    <definedName name="SelectListCopy">#REF!</definedName>
    <definedName name="SFOR" localSheetId="1">#REF!</definedName>
    <definedName name="SFOR">#REF!</definedName>
    <definedName name="SFOR1" localSheetId="1">#REF!</definedName>
    <definedName name="SFOR1">#REF!</definedName>
    <definedName name="SourceDBname" localSheetId="1">#REF!</definedName>
    <definedName name="SourceDBname">#REF!</definedName>
    <definedName name="SourceStudyName" localSheetId="1">#REF!</definedName>
    <definedName name="SourceStudyName">#REF!</definedName>
    <definedName name="SourceStudyNameCopy" localSheetId="1">#REF!</definedName>
    <definedName name="SourceStudyNameCopy">#REF!</definedName>
    <definedName name="SourceUserName" localSheetId="1">#REF!</definedName>
    <definedName name="SourceUserName">#REF!</definedName>
    <definedName name="SrcColRowXC" localSheetId="1">#REF!</definedName>
    <definedName name="SrcColRowXC">#REF!</definedName>
    <definedName name="SrcFileXC" localSheetId="1">#REF!</definedName>
    <definedName name="SrcFileXC">#REF!</definedName>
    <definedName name="SrcStartRowColXC" localSheetId="1">#REF!</definedName>
    <definedName name="SrcStartRowColXC">#REF!</definedName>
    <definedName name="SrcWorksheetXC" localSheetId="1">#REF!</definedName>
    <definedName name="SrcWorksheetXC">#REF!</definedName>
    <definedName name="StatusCopy" localSheetId="1">#REF!</definedName>
    <definedName name="StatusCopy">#REF!</definedName>
    <definedName name="StatusDG" localSheetId="1">#REF!</definedName>
    <definedName name="StatusDG">#REF!</definedName>
    <definedName name="StatusXC" localSheetId="1">#REF!</definedName>
    <definedName name="StatusXC">#REF!</definedName>
    <definedName name="StudyNameDG" localSheetId="1">#REF!</definedName>
    <definedName name="StudyNameDG">#REF!</definedName>
    <definedName name="SYP" localSheetId="1">#REF!</definedName>
    <definedName name="SYP">#REF!</definedName>
    <definedName name="SYSGAS" localSheetId="1">#REF!</definedName>
    <definedName name="SYSGAS">#REF!</definedName>
    <definedName name="test" hidden="1">'[2]FPL MOST LIKELY GAS BACKUP 1'!#REF!</definedName>
    <definedName name="TITLES" localSheetId="1">#REF!</definedName>
    <definedName name="TITLES">#REF!</definedName>
    <definedName name="TOBBL" localSheetId="1">#REF!</definedName>
    <definedName name="TOBBL">#REF!</definedName>
    <definedName name="TotalRowColXC" localSheetId="1">#REF!</definedName>
    <definedName name="TotalRowColXC">#REF!</definedName>
    <definedName name="TransferListDG" localSheetId="1">#REF!</definedName>
    <definedName name="TransferListDG">#REF!</definedName>
    <definedName name="TTG" localSheetId="1">#REF!</definedName>
    <definedName name="TTG">#REF!</definedName>
    <definedName name="UserNameCopy" localSheetId="1">#REF!</definedName>
    <definedName name="UserNameCopy">#REF!</definedName>
    <definedName name="UserNameDG" localSheetId="1">#REF!</definedName>
    <definedName name="UserNameDG">#REF!</definedName>
    <definedName name="VOLUMES" localSheetId="1">#REF!</definedName>
    <definedName name="VOLUMES">#REF!</definedName>
    <definedName name="VOLUMES1" localSheetId="1">#REF!</definedName>
    <definedName name="VOLUMES1">#REF!</definedName>
    <definedName name="YEAR" localSheetId="1">#REF!</definedName>
    <definedName name="YEAR">#REF!</definedName>
    <definedName name="YEARS" localSheetId="1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C13" i="4" l="1"/>
  <c r="E13" i="4"/>
  <c r="B17" i="4"/>
  <c r="C17" i="4"/>
  <c r="D17" i="4"/>
  <c r="E17" i="4"/>
  <c r="F17" i="4"/>
  <c r="G17" i="4"/>
  <c r="H17" i="4"/>
  <c r="I17" i="4"/>
  <c r="J17" i="4"/>
  <c r="K17" i="4"/>
  <c r="B18" i="4"/>
  <c r="C18" i="4"/>
  <c r="D18" i="4"/>
  <c r="E18" i="4"/>
  <c r="F18" i="4"/>
  <c r="G18" i="4"/>
  <c r="H18" i="4"/>
  <c r="I18" i="4"/>
  <c r="J18" i="4"/>
  <c r="K18" i="4"/>
  <c r="B19" i="4"/>
  <c r="C19" i="4"/>
  <c r="D19" i="4"/>
  <c r="E19" i="4"/>
  <c r="F19" i="4"/>
  <c r="G19" i="4"/>
  <c r="H19" i="4"/>
  <c r="I19" i="4"/>
  <c r="J19" i="4"/>
  <c r="K19" i="4"/>
  <c r="B20" i="4"/>
  <c r="C20" i="4"/>
  <c r="D20" i="4"/>
  <c r="E20" i="4"/>
  <c r="F20" i="4"/>
  <c r="G20" i="4"/>
  <c r="H20" i="4"/>
  <c r="I20" i="4"/>
  <c r="J20" i="4"/>
  <c r="K20" i="4"/>
  <c r="B21" i="4"/>
  <c r="C21" i="4"/>
  <c r="D21" i="4"/>
  <c r="E21" i="4"/>
  <c r="F21" i="4"/>
  <c r="G21" i="4"/>
  <c r="H21" i="4"/>
  <c r="I21" i="4"/>
  <c r="J21" i="4"/>
  <c r="K21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B32" i="4"/>
  <c r="C32" i="4"/>
  <c r="D32" i="4"/>
  <c r="E32" i="4"/>
  <c r="F32" i="4"/>
  <c r="G32" i="4"/>
  <c r="H32" i="4"/>
  <c r="I32" i="4"/>
  <c r="J32" i="4"/>
  <c r="K32" i="4"/>
  <c r="B33" i="4"/>
  <c r="C33" i="4"/>
  <c r="D33" i="4"/>
  <c r="E33" i="4"/>
  <c r="F33" i="4"/>
  <c r="G33" i="4"/>
  <c r="H33" i="4"/>
  <c r="I33" i="4"/>
  <c r="J33" i="4"/>
  <c r="K33" i="4"/>
  <c r="B34" i="4"/>
  <c r="C34" i="4"/>
  <c r="D34" i="4"/>
  <c r="E34" i="4"/>
  <c r="F34" i="4"/>
  <c r="G34" i="4"/>
  <c r="H34" i="4"/>
  <c r="I34" i="4"/>
  <c r="J34" i="4"/>
  <c r="K34" i="4"/>
  <c r="B35" i="4"/>
  <c r="C35" i="4"/>
  <c r="D35" i="4"/>
  <c r="E35" i="4"/>
  <c r="F35" i="4"/>
  <c r="G35" i="4"/>
  <c r="H35" i="4"/>
  <c r="I35" i="4"/>
  <c r="J35" i="4"/>
  <c r="K35" i="4"/>
  <c r="B36" i="4"/>
  <c r="C36" i="4"/>
  <c r="D36" i="4"/>
  <c r="E36" i="4"/>
  <c r="F36" i="4"/>
  <c r="G36" i="4"/>
  <c r="H36" i="4"/>
  <c r="I36" i="4"/>
  <c r="J36" i="4"/>
  <c r="K36" i="4"/>
  <c r="B37" i="4"/>
  <c r="C37" i="4"/>
  <c r="D37" i="4"/>
  <c r="E37" i="4"/>
  <c r="F37" i="4"/>
  <c r="G37" i="4"/>
  <c r="H37" i="4"/>
  <c r="I37" i="4"/>
  <c r="J37" i="4"/>
  <c r="K37" i="4"/>
  <c r="B38" i="4"/>
  <c r="C38" i="4"/>
  <c r="D38" i="4"/>
  <c r="E38" i="4"/>
  <c r="F38" i="4"/>
  <c r="G38" i="4"/>
  <c r="H38" i="4"/>
  <c r="I38" i="4"/>
  <c r="J38" i="4"/>
  <c r="K38" i="4"/>
  <c r="B39" i="4"/>
  <c r="C39" i="4"/>
  <c r="D39" i="4"/>
  <c r="E39" i="4"/>
  <c r="F39" i="4"/>
  <c r="G39" i="4"/>
  <c r="H39" i="4"/>
  <c r="I39" i="4"/>
  <c r="J39" i="4"/>
  <c r="K39" i="4"/>
  <c r="B40" i="4"/>
  <c r="C40" i="4"/>
  <c r="D40" i="4"/>
  <c r="E40" i="4"/>
  <c r="F40" i="4"/>
  <c r="G40" i="4"/>
  <c r="H40" i="4"/>
  <c r="I40" i="4"/>
  <c r="J40" i="4"/>
  <c r="K40" i="4"/>
  <c r="B41" i="4"/>
  <c r="C41" i="4"/>
  <c r="D41" i="4"/>
  <c r="E41" i="4"/>
  <c r="F41" i="4"/>
  <c r="G41" i="4"/>
  <c r="H41" i="4"/>
  <c r="I41" i="4"/>
  <c r="J41" i="4"/>
  <c r="K41" i="4"/>
  <c r="B42" i="4"/>
  <c r="C42" i="4"/>
  <c r="D42" i="4"/>
  <c r="E42" i="4"/>
  <c r="F42" i="4"/>
  <c r="G42" i="4"/>
  <c r="H42" i="4"/>
  <c r="I42" i="4"/>
  <c r="J42" i="4"/>
  <c r="K42" i="4"/>
  <c r="B43" i="4"/>
  <c r="C43" i="4"/>
  <c r="D43" i="4"/>
  <c r="E43" i="4"/>
  <c r="F43" i="4"/>
  <c r="G43" i="4"/>
  <c r="H43" i="4"/>
  <c r="I43" i="4"/>
  <c r="J43" i="4"/>
  <c r="K43" i="4"/>
  <c r="B44" i="4"/>
  <c r="C44" i="4"/>
  <c r="D44" i="4"/>
  <c r="E44" i="4"/>
  <c r="F44" i="4"/>
  <c r="G44" i="4"/>
  <c r="H44" i="4"/>
  <c r="I44" i="4"/>
  <c r="J44" i="4"/>
  <c r="K44" i="4"/>
  <c r="B45" i="4"/>
  <c r="C45" i="4"/>
  <c r="D45" i="4"/>
  <c r="E45" i="4"/>
  <c r="F45" i="4"/>
  <c r="G45" i="4"/>
  <c r="H45" i="4"/>
  <c r="I45" i="4"/>
  <c r="J45" i="4"/>
  <c r="K45" i="4"/>
  <c r="B46" i="4"/>
  <c r="C46" i="4"/>
  <c r="D46" i="4"/>
  <c r="E46" i="4"/>
  <c r="F46" i="4"/>
  <c r="G46" i="4"/>
  <c r="H46" i="4"/>
  <c r="I46" i="4"/>
  <c r="J46" i="4"/>
  <c r="K46" i="4"/>
  <c r="B47" i="4"/>
  <c r="C47" i="4"/>
  <c r="D47" i="4"/>
  <c r="E47" i="4"/>
  <c r="F47" i="4"/>
  <c r="G47" i="4"/>
  <c r="H47" i="4"/>
  <c r="I47" i="4"/>
  <c r="J47" i="4"/>
  <c r="K47" i="4"/>
  <c r="B48" i="4"/>
  <c r="C48" i="4"/>
  <c r="D48" i="4"/>
  <c r="E48" i="4"/>
  <c r="F48" i="4"/>
  <c r="G48" i="4"/>
  <c r="H48" i="4"/>
  <c r="I48" i="4"/>
  <c r="J48" i="4"/>
  <c r="K48" i="4"/>
  <c r="B49" i="4"/>
  <c r="C49" i="4"/>
  <c r="D49" i="4"/>
  <c r="E49" i="4"/>
  <c r="F49" i="4"/>
  <c r="G49" i="4"/>
  <c r="H49" i="4"/>
  <c r="I49" i="4"/>
  <c r="J49" i="4"/>
  <c r="K49" i="4"/>
  <c r="B50" i="4"/>
  <c r="C50" i="4"/>
  <c r="D50" i="4"/>
  <c r="E50" i="4"/>
  <c r="F50" i="4"/>
  <c r="G50" i="4"/>
  <c r="H50" i="4"/>
  <c r="I50" i="4"/>
  <c r="J50" i="4"/>
  <c r="K50" i="4"/>
  <c r="B51" i="4"/>
  <c r="C51" i="4"/>
  <c r="D51" i="4"/>
  <c r="E51" i="4"/>
  <c r="F51" i="4"/>
  <c r="G51" i="4"/>
  <c r="H51" i="4"/>
  <c r="I51" i="4"/>
  <c r="J51" i="4"/>
  <c r="K51" i="4"/>
  <c r="B52" i="4"/>
  <c r="C52" i="4"/>
  <c r="D52" i="4"/>
  <c r="E52" i="4"/>
  <c r="F52" i="4"/>
  <c r="G52" i="4"/>
  <c r="H52" i="4"/>
  <c r="I52" i="4"/>
  <c r="J52" i="4"/>
  <c r="K52" i="4"/>
  <c r="B53" i="4"/>
  <c r="C53" i="4"/>
  <c r="D53" i="4"/>
  <c r="E53" i="4"/>
  <c r="F53" i="4"/>
  <c r="G53" i="4"/>
  <c r="H53" i="4"/>
  <c r="I53" i="4"/>
  <c r="J53" i="4"/>
  <c r="K53" i="4"/>
  <c r="B54" i="4"/>
  <c r="C54" i="4"/>
  <c r="D54" i="4"/>
  <c r="E54" i="4"/>
  <c r="F54" i="4"/>
  <c r="G54" i="4"/>
  <c r="H54" i="4"/>
  <c r="I54" i="4"/>
  <c r="J54" i="4"/>
  <c r="K54" i="4"/>
  <c r="B55" i="4"/>
  <c r="C55" i="4"/>
  <c r="D55" i="4"/>
  <c r="E55" i="4"/>
  <c r="F55" i="4"/>
  <c r="G55" i="4"/>
  <c r="H55" i="4"/>
  <c r="I55" i="4"/>
  <c r="J55" i="4"/>
  <c r="K55" i="4"/>
  <c r="B56" i="4"/>
  <c r="C56" i="4"/>
  <c r="D56" i="4"/>
  <c r="E56" i="4"/>
  <c r="F56" i="4"/>
  <c r="G56" i="4"/>
  <c r="H56" i="4"/>
  <c r="I56" i="4"/>
  <c r="J56" i="4"/>
  <c r="K56" i="4"/>
  <c r="B57" i="4"/>
  <c r="C57" i="4"/>
  <c r="D57" i="4"/>
  <c r="E57" i="4"/>
  <c r="F57" i="4"/>
  <c r="G57" i="4"/>
  <c r="H57" i="4"/>
  <c r="I57" i="4"/>
  <c r="J57" i="4"/>
  <c r="K57" i="4"/>
  <c r="B58" i="4"/>
  <c r="C58" i="4"/>
  <c r="D58" i="4"/>
  <c r="E58" i="4"/>
  <c r="F58" i="4"/>
  <c r="G58" i="4"/>
  <c r="H58" i="4"/>
  <c r="I58" i="4"/>
  <c r="J58" i="4"/>
  <c r="K58" i="4"/>
  <c r="B59" i="4"/>
  <c r="C59" i="4"/>
  <c r="D59" i="4"/>
  <c r="E59" i="4"/>
  <c r="F59" i="4"/>
  <c r="G59" i="4"/>
  <c r="H59" i="4"/>
  <c r="I59" i="4"/>
  <c r="J59" i="4"/>
  <c r="K59" i="4"/>
  <c r="B60" i="4"/>
  <c r="C60" i="4"/>
  <c r="D60" i="4"/>
  <c r="E60" i="4"/>
  <c r="F60" i="4"/>
  <c r="G60" i="4"/>
  <c r="H60" i="4"/>
  <c r="I60" i="4"/>
  <c r="J60" i="4"/>
  <c r="K60" i="4"/>
  <c r="B61" i="4"/>
  <c r="C61" i="4"/>
  <c r="D61" i="4"/>
  <c r="E61" i="4"/>
  <c r="F61" i="4"/>
  <c r="G61" i="4"/>
  <c r="H61" i="4"/>
  <c r="I61" i="4"/>
  <c r="J61" i="4"/>
  <c r="K61" i="4"/>
  <c r="B62" i="4"/>
  <c r="C62" i="4"/>
  <c r="D62" i="4"/>
  <c r="E62" i="4"/>
  <c r="F62" i="4"/>
  <c r="G62" i="4"/>
  <c r="H62" i="4"/>
  <c r="I62" i="4"/>
  <c r="J62" i="4"/>
  <c r="K62" i="4"/>
  <c r="B63" i="4"/>
  <c r="C63" i="4"/>
  <c r="D63" i="4"/>
  <c r="E63" i="4"/>
  <c r="F63" i="4"/>
  <c r="G63" i="4"/>
  <c r="H63" i="4"/>
  <c r="I63" i="4"/>
  <c r="J63" i="4"/>
  <c r="K63" i="4"/>
  <c r="B64" i="4"/>
  <c r="C64" i="4"/>
  <c r="D64" i="4"/>
  <c r="E64" i="4"/>
  <c r="F64" i="4"/>
  <c r="G64" i="4"/>
  <c r="H64" i="4"/>
  <c r="I64" i="4"/>
  <c r="J64" i="4"/>
  <c r="K64" i="4"/>
  <c r="B65" i="4"/>
  <c r="C65" i="4"/>
  <c r="D65" i="4"/>
  <c r="E65" i="4"/>
  <c r="F65" i="4"/>
  <c r="G65" i="4"/>
  <c r="H65" i="4"/>
  <c r="I65" i="4"/>
  <c r="J65" i="4"/>
  <c r="K65" i="4"/>
  <c r="B66" i="4"/>
  <c r="C66" i="4"/>
  <c r="D66" i="4"/>
  <c r="E66" i="4"/>
  <c r="F66" i="4"/>
  <c r="G66" i="4"/>
  <c r="H66" i="4"/>
  <c r="I66" i="4"/>
  <c r="J66" i="4"/>
  <c r="K66" i="4"/>
  <c r="B67" i="4"/>
  <c r="C67" i="4"/>
  <c r="D67" i="4"/>
  <c r="E67" i="4"/>
  <c r="F67" i="4"/>
  <c r="G67" i="4"/>
  <c r="H67" i="4"/>
  <c r="I67" i="4"/>
  <c r="J67" i="4"/>
  <c r="K67" i="4"/>
  <c r="B68" i="4"/>
  <c r="C68" i="4"/>
  <c r="D68" i="4"/>
  <c r="E68" i="4"/>
  <c r="F68" i="4"/>
  <c r="G68" i="4"/>
  <c r="H68" i="4"/>
  <c r="I68" i="4"/>
  <c r="J68" i="4"/>
  <c r="K68" i="4"/>
  <c r="B69" i="4"/>
  <c r="C69" i="4"/>
  <c r="D69" i="4"/>
  <c r="E69" i="4"/>
  <c r="F69" i="4"/>
  <c r="G69" i="4"/>
  <c r="H69" i="4"/>
  <c r="I69" i="4"/>
  <c r="J69" i="4"/>
  <c r="K69" i="4"/>
  <c r="B70" i="4"/>
  <c r="C70" i="4"/>
  <c r="D70" i="4"/>
  <c r="E70" i="4"/>
  <c r="F70" i="4"/>
  <c r="G70" i="4"/>
  <c r="H70" i="4"/>
  <c r="I70" i="4"/>
  <c r="J70" i="4"/>
  <c r="K70" i="4"/>
  <c r="B71" i="4"/>
  <c r="C71" i="4"/>
  <c r="D71" i="4"/>
  <c r="E71" i="4"/>
  <c r="F71" i="4"/>
  <c r="G71" i="4"/>
  <c r="H71" i="4"/>
  <c r="I71" i="4"/>
  <c r="J71" i="4"/>
  <c r="K71" i="4"/>
  <c r="B72" i="4"/>
  <c r="C72" i="4"/>
  <c r="D72" i="4"/>
  <c r="E72" i="4"/>
  <c r="F72" i="4"/>
  <c r="G72" i="4"/>
  <c r="H72" i="4"/>
  <c r="I72" i="4"/>
  <c r="J72" i="4"/>
  <c r="K72" i="4"/>
  <c r="B73" i="4"/>
  <c r="C73" i="4"/>
  <c r="D73" i="4"/>
  <c r="E73" i="4"/>
  <c r="F73" i="4"/>
  <c r="G73" i="4"/>
  <c r="H73" i="4"/>
  <c r="I73" i="4"/>
  <c r="J73" i="4"/>
  <c r="K73" i="4"/>
  <c r="B74" i="4"/>
  <c r="C74" i="4"/>
  <c r="D74" i="4"/>
  <c r="E74" i="4"/>
  <c r="F74" i="4"/>
  <c r="G74" i="4"/>
  <c r="H74" i="4"/>
  <c r="I74" i="4"/>
  <c r="J74" i="4"/>
  <c r="K74" i="4"/>
  <c r="B75" i="4"/>
  <c r="C75" i="4"/>
  <c r="D75" i="4"/>
  <c r="E75" i="4"/>
  <c r="F75" i="4"/>
  <c r="G75" i="4"/>
  <c r="H75" i="4"/>
  <c r="I75" i="4"/>
  <c r="J75" i="4"/>
  <c r="K75" i="4"/>
  <c r="B76" i="4"/>
  <c r="C76" i="4"/>
  <c r="D76" i="4"/>
  <c r="E76" i="4"/>
  <c r="F76" i="4"/>
  <c r="G76" i="4"/>
  <c r="H76" i="4"/>
  <c r="I76" i="4"/>
  <c r="J76" i="4"/>
  <c r="K76" i="4"/>
  <c r="B77" i="4"/>
  <c r="C77" i="4"/>
  <c r="D77" i="4"/>
  <c r="E77" i="4"/>
  <c r="F77" i="4"/>
  <c r="G77" i="4"/>
  <c r="H77" i="4"/>
  <c r="I77" i="4"/>
  <c r="J77" i="4"/>
  <c r="K77" i="4"/>
  <c r="B78" i="4"/>
  <c r="C78" i="4"/>
  <c r="D78" i="4"/>
  <c r="E78" i="4"/>
  <c r="F78" i="4"/>
  <c r="G78" i="4"/>
  <c r="H78" i="4"/>
  <c r="I78" i="4"/>
  <c r="J78" i="4"/>
  <c r="K78" i="4"/>
  <c r="B79" i="4"/>
  <c r="C79" i="4"/>
  <c r="D79" i="4"/>
  <c r="E79" i="4"/>
  <c r="F79" i="4"/>
  <c r="G79" i="4"/>
  <c r="H79" i="4"/>
  <c r="I79" i="4"/>
  <c r="J79" i="4"/>
  <c r="K79" i="4"/>
  <c r="B80" i="4"/>
  <c r="C80" i="4"/>
  <c r="D80" i="4"/>
  <c r="E80" i="4"/>
  <c r="F80" i="4"/>
  <c r="G80" i="4"/>
  <c r="H80" i="4"/>
  <c r="I80" i="4"/>
  <c r="J80" i="4"/>
  <c r="K80" i="4"/>
  <c r="B81" i="4"/>
  <c r="C81" i="4"/>
  <c r="D81" i="4"/>
  <c r="E81" i="4"/>
  <c r="F81" i="4"/>
  <c r="G81" i="4"/>
  <c r="H81" i="4"/>
  <c r="I81" i="4"/>
  <c r="J81" i="4"/>
  <c r="K81" i="4"/>
  <c r="B82" i="4"/>
  <c r="C82" i="4"/>
  <c r="D82" i="4"/>
  <c r="E82" i="4"/>
  <c r="F82" i="4"/>
  <c r="G82" i="4"/>
  <c r="H82" i="4"/>
  <c r="I82" i="4"/>
  <c r="J82" i="4"/>
  <c r="K82" i="4"/>
  <c r="B83" i="4"/>
  <c r="C83" i="4"/>
  <c r="D83" i="4"/>
  <c r="E83" i="4"/>
  <c r="F83" i="4"/>
  <c r="G83" i="4"/>
  <c r="H83" i="4"/>
  <c r="I83" i="4"/>
  <c r="J83" i="4"/>
  <c r="K83" i="4"/>
  <c r="B84" i="4"/>
  <c r="C84" i="4"/>
  <c r="D84" i="4"/>
  <c r="E84" i="4"/>
  <c r="F84" i="4"/>
  <c r="G84" i="4"/>
  <c r="H84" i="4"/>
  <c r="I84" i="4"/>
  <c r="J84" i="4"/>
  <c r="K84" i="4"/>
  <c r="B85" i="4"/>
  <c r="C85" i="4"/>
  <c r="D85" i="4"/>
  <c r="E85" i="4"/>
  <c r="F85" i="4"/>
  <c r="G85" i="4"/>
  <c r="H85" i="4"/>
  <c r="I85" i="4"/>
  <c r="J85" i="4"/>
  <c r="K85" i="4"/>
  <c r="B86" i="4"/>
  <c r="C86" i="4"/>
  <c r="D86" i="4"/>
  <c r="E86" i="4"/>
  <c r="F86" i="4"/>
  <c r="G86" i="4"/>
  <c r="H86" i="4"/>
  <c r="I86" i="4"/>
  <c r="J86" i="4"/>
  <c r="K86" i="4"/>
  <c r="B87" i="4"/>
  <c r="C87" i="4"/>
  <c r="D87" i="4"/>
  <c r="E87" i="4"/>
  <c r="F87" i="4"/>
  <c r="G87" i="4"/>
  <c r="H87" i="4"/>
  <c r="I87" i="4"/>
  <c r="J87" i="4"/>
  <c r="K87" i="4"/>
  <c r="B88" i="4"/>
  <c r="C88" i="4"/>
  <c r="D88" i="4"/>
  <c r="E88" i="4"/>
  <c r="F88" i="4"/>
  <c r="G88" i="4"/>
  <c r="H88" i="4"/>
  <c r="I88" i="4"/>
  <c r="J88" i="4"/>
  <c r="K88" i="4"/>
  <c r="B89" i="4"/>
  <c r="C89" i="4"/>
  <c r="D89" i="4"/>
  <c r="E89" i="4"/>
  <c r="F89" i="4"/>
  <c r="G89" i="4"/>
  <c r="H89" i="4"/>
  <c r="I89" i="4"/>
  <c r="J89" i="4"/>
  <c r="K89" i="4"/>
  <c r="B90" i="4"/>
  <c r="C90" i="4"/>
  <c r="D90" i="4"/>
  <c r="E90" i="4"/>
  <c r="F90" i="4"/>
  <c r="G90" i="4"/>
  <c r="H90" i="4"/>
  <c r="I90" i="4"/>
  <c r="J90" i="4"/>
  <c r="K90" i="4"/>
  <c r="B91" i="4"/>
  <c r="C91" i="4"/>
  <c r="D91" i="4"/>
  <c r="E91" i="4"/>
  <c r="F91" i="4"/>
  <c r="G91" i="4"/>
  <c r="H91" i="4"/>
  <c r="I91" i="4"/>
  <c r="J91" i="4"/>
  <c r="K91" i="4"/>
  <c r="B92" i="4"/>
  <c r="C92" i="4"/>
  <c r="D92" i="4"/>
  <c r="E92" i="4"/>
  <c r="F92" i="4"/>
  <c r="G92" i="4"/>
  <c r="H92" i="4"/>
  <c r="I92" i="4"/>
  <c r="J92" i="4"/>
  <c r="K92" i="4"/>
  <c r="B93" i="4"/>
  <c r="C93" i="4"/>
  <c r="D93" i="4"/>
  <c r="E93" i="4"/>
  <c r="F93" i="4"/>
  <c r="G93" i="4"/>
  <c r="H93" i="4"/>
  <c r="I93" i="4"/>
  <c r="J93" i="4"/>
  <c r="K93" i="4"/>
  <c r="B94" i="4"/>
  <c r="C94" i="4"/>
  <c r="D94" i="4"/>
  <c r="E94" i="4"/>
  <c r="F94" i="4"/>
  <c r="G94" i="4"/>
  <c r="H94" i="4"/>
  <c r="I94" i="4"/>
  <c r="J94" i="4"/>
  <c r="K94" i="4"/>
  <c r="B95" i="4"/>
  <c r="C95" i="4"/>
  <c r="D95" i="4"/>
  <c r="E95" i="4"/>
  <c r="F95" i="4"/>
  <c r="G95" i="4"/>
  <c r="H95" i="4"/>
  <c r="I95" i="4"/>
  <c r="J95" i="4"/>
  <c r="K95" i="4"/>
  <c r="B96" i="4"/>
  <c r="C96" i="4"/>
  <c r="D96" i="4"/>
  <c r="E96" i="4"/>
  <c r="F96" i="4"/>
  <c r="G96" i="4"/>
  <c r="H96" i="4"/>
  <c r="I96" i="4"/>
  <c r="J96" i="4"/>
  <c r="K96" i="4"/>
  <c r="B97" i="4"/>
  <c r="C97" i="4"/>
  <c r="D97" i="4"/>
  <c r="E97" i="4"/>
  <c r="F97" i="4"/>
  <c r="G97" i="4"/>
  <c r="H97" i="4"/>
  <c r="I97" i="4"/>
  <c r="J97" i="4"/>
  <c r="K97" i="4"/>
  <c r="B98" i="4"/>
  <c r="C98" i="4"/>
  <c r="D98" i="4"/>
  <c r="E98" i="4"/>
  <c r="F98" i="4"/>
  <c r="G98" i="4"/>
  <c r="H98" i="4"/>
  <c r="I98" i="4"/>
  <c r="J98" i="4"/>
  <c r="K98" i="4"/>
  <c r="B99" i="4"/>
  <c r="C99" i="4"/>
  <c r="D99" i="4"/>
  <c r="E99" i="4"/>
  <c r="F99" i="4"/>
  <c r="G99" i="4"/>
  <c r="H99" i="4"/>
  <c r="I99" i="4"/>
  <c r="J99" i="4"/>
  <c r="K99" i="4"/>
  <c r="B100" i="4"/>
  <c r="C100" i="4"/>
  <c r="D100" i="4"/>
  <c r="E100" i="4"/>
  <c r="F100" i="4"/>
  <c r="G100" i="4"/>
  <c r="H100" i="4"/>
  <c r="I100" i="4"/>
  <c r="J100" i="4"/>
  <c r="K100" i="4"/>
  <c r="B101" i="4"/>
  <c r="C101" i="4"/>
  <c r="D101" i="4"/>
  <c r="E101" i="4"/>
  <c r="F101" i="4"/>
  <c r="G101" i="4"/>
  <c r="H101" i="4"/>
  <c r="I101" i="4"/>
  <c r="J101" i="4"/>
  <c r="K101" i="4"/>
  <c r="B102" i="4"/>
  <c r="C102" i="4"/>
  <c r="D102" i="4"/>
  <c r="E102" i="4"/>
  <c r="F102" i="4"/>
  <c r="G102" i="4"/>
  <c r="H102" i="4"/>
  <c r="I102" i="4"/>
  <c r="J102" i="4"/>
  <c r="K102" i="4"/>
  <c r="B103" i="4"/>
  <c r="C103" i="4"/>
  <c r="D103" i="4"/>
  <c r="E103" i="4"/>
  <c r="F103" i="4"/>
  <c r="G103" i="4"/>
  <c r="H103" i="4"/>
  <c r="I103" i="4"/>
  <c r="J103" i="4"/>
  <c r="K103" i="4"/>
  <c r="B104" i="4"/>
  <c r="C104" i="4"/>
  <c r="D104" i="4"/>
  <c r="E104" i="4"/>
  <c r="F104" i="4"/>
  <c r="G104" i="4"/>
  <c r="H104" i="4"/>
  <c r="I104" i="4"/>
  <c r="J104" i="4"/>
  <c r="K104" i="4"/>
  <c r="B105" i="4"/>
  <c r="C105" i="4"/>
  <c r="D105" i="4"/>
  <c r="E105" i="4"/>
  <c r="F105" i="4"/>
  <c r="G105" i="4"/>
  <c r="H105" i="4"/>
  <c r="I105" i="4"/>
  <c r="J105" i="4"/>
  <c r="K105" i="4"/>
  <c r="B106" i="4"/>
  <c r="C106" i="4"/>
  <c r="D106" i="4"/>
  <c r="E106" i="4"/>
  <c r="F106" i="4"/>
  <c r="G106" i="4"/>
  <c r="H106" i="4"/>
  <c r="I106" i="4"/>
  <c r="J106" i="4"/>
  <c r="K106" i="4"/>
  <c r="B107" i="4"/>
  <c r="C107" i="4"/>
  <c r="D107" i="4"/>
  <c r="E107" i="4"/>
  <c r="F107" i="4"/>
  <c r="G107" i="4"/>
  <c r="H107" i="4"/>
  <c r="I107" i="4"/>
  <c r="J107" i="4"/>
  <c r="K107" i="4"/>
  <c r="B108" i="4"/>
  <c r="C108" i="4"/>
  <c r="D108" i="4"/>
  <c r="E108" i="4"/>
  <c r="F108" i="4"/>
  <c r="G108" i="4"/>
  <c r="H108" i="4"/>
  <c r="I108" i="4"/>
  <c r="J108" i="4"/>
  <c r="K108" i="4"/>
  <c r="B109" i="4"/>
  <c r="C109" i="4"/>
  <c r="D109" i="4"/>
  <c r="E109" i="4"/>
  <c r="F109" i="4"/>
  <c r="G109" i="4"/>
  <c r="H109" i="4"/>
  <c r="I109" i="4"/>
  <c r="J109" i="4"/>
  <c r="K109" i="4"/>
  <c r="B110" i="4"/>
  <c r="C110" i="4"/>
  <c r="D110" i="4"/>
  <c r="E110" i="4"/>
  <c r="F110" i="4"/>
  <c r="G110" i="4"/>
  <c r="H110" i="4"/>
  <c r="I110" i="4"/>
  <c r="J110" i="4"/>
  <c r="K110" i="4"/>
  <c r="B111" i="4"/>
  <c r="C111" i="4"/>
  <c r="D111" i="4"/>
  <c r="E111" i="4"/>
  <c r="F111" i="4"/>
  <c r="G111" i="4"/>
  <c r="H111" i="4"/>
  <c r="I111" i="4"/>
  <c r="J111" i="4"/>
  <c r="K111" i="4"/>
  <c r="B112" i="4"/>
  <c r="C112" i="4"/>
  <c r="D112" i="4"/>
  <c r="E112" i="4"/>
  <c r="F112" i="4"/>
  <c r="G112" i="4"/>
  <c r="H112" i="4"/>
  <c r="I112" i="4"/>
  <c r="J112" i="4"/>
  <c r="K112" i="4"/>
  <c r="B113" i="4"/>
  <c r="C113" i="4"/>
  <c r="D113" i="4"/>
  <c r="E113" i="4"/>
  <c r="F113" i="4"/>
  <c r="G113" i="4"/>
  <c r="H113" i="4"/>
  <c r="I113" i="4"/>
  <c r="J113" i="4"/>
  <c r="K113" i="4"/>
  <c r="B114" i="4"/>
  <c r="C114" i="4"/>
  <c r="D114" i="4"/>
  <c r="E114" i="4"/>
  <c r="F114" i="4"/>
  <c r="G114" i="4"/>
  <c r="H114" i="4"/>
  <c r="I114" i="4"/>
  <c r="J114" i="4"/>
  <c r="K114" i="4"/>
  <c r="B115" i="4"/>
  <c r="C115" i="4"/>
  <c r="D115" i="4"/>
  <c r="E115" i="4"/>
  <c r="F115" i="4"/>
  <c r="G115" i="4"/>
  <c r="H115" i="4"/>
  <c r="I115" i="4"/>
  <c r="J115" i="4"/>
  <c r="K115" i="4"/>
  <c r="B116" i="4"/>
  <c r="C116" i="4"/>
  <c r="D116" i="4"/>
  <c r="E116" i="4"/>
  <c r="F116" i="4"/>
  <c r="G116" i="4"/>
  <c r="H116" i="4"/>
  <c r="I116" i="4"/>
  <c r="J116" i="4"/>
  <c r="K116" i="4"/>
  <c r="B117" i="4"/>
  <c r="C117" i="4"/>
  <c r="D117" i="4"/>
  <c r="E117" i="4"/>
  <c r="F117" i="4"/>
  <c r="G117" i="4"/>
  <c r="H117" i="4"/>
  <c r="I117" i="4"/>
  <c r="J117" i="4"/>
  <c r="K117" i="4"/>
  <c r="B118" i="4"/>
  <c r="C118" i="4"/>
  <c r="D118" i="4"/>
  <c r="E118" i="4"/>
  <c r="F118" i="4"/>
  <c r="G118" i="4"/>
  <c r="H118" i="4"/>
  <c r="I118" i="4"/>
  <c r="J118" i="4"/>
  <c r="K118" i="4"/>
  <c r="B119" i="4"/>
  <c r="C119" i="4"/>
  <c r="D119" i="4"/>
  <c r="E119" i="4"/>
  <c r="F119" i="4"/>
  <c r="G119" i="4"/>
  <c r="H119" i="4"/>
  <c r="I119" i="4"/>
  <c r="J119" i="4"/>
  <c r="K119" i="4"/>
  <c r="B120" i="4"/>
  <c r="C120" i="4"/>
  <c r="D120" i="4"/>
  <c r="E120" i="4"/>
  <c r="F120" i="4"/>
  <c r="G120" i="4"/>
  <c r="H120" i="4"/>
  <c r="I120" i="4"/>
  <c r="J120" i="4"/>
  <c r="K120" i="4"/>
  <c r="B121" i="4"/>
  <c r="C121" i="4"/>
  <c r="D121" i="4"/>
  <c r="E121" i="4"/>
  <c r="F121" i="4"/>
  <c r="G121" i="4"/>
  <c r="H121" i="4"/>
  <c r="I121" i="4"/>
  <c r="J121" i="4"/>
  <c r="K121" i="4"/>
  <c r="B122" i="4"/>
  <c r="C122" i="4"/>
  <c r="D122" i="4"/>
  <c r="E122" i="4"/>
  <c r="F122" i="4"/>
  <c r="G122" i="4"/>
  <c r="H122" i="4"/>
  <c r="I122" i="4"/>
  <c r="J122" i="4"/>
  <c r="K122" i="4"/>
  <c r="B123" i="4"/>
  <c r="C123" i="4"/>
  <c r="D123" i="4"/>
  <c r="E123" i="4"/>
  <c r="F123" i="4"/>
  <c r="G123" i="4"/>
  <c r="H123" i="4"/>
  <c r="I123" i="4"/>
  <c r="J123" i="4"/>
  <c r="K123" i="4"/>
  <c r="B124" i="4"/>
  <c r="C124" i="4"/>
  <c r="D124" i="4"/>
  <c r="E124" i="4"/>
  <c r="F124" i="4"/>
  <c r="G124" i="4"/>
  <c r="H124" i="4"/>
  <c r="I124" i="4"/>
  <c r="J124" i="4"/>
  <c r="K124" i="4"/>
  <c r="B125" i="4"/>
  <c r="C125" i="4"/>
  <c r="D125" i="4"/>
  <c r="E125" i="4"/>
  <c r="F125" i="4"/>
  <c r="G125" i="4"/>
  <c r="H125" i="4"/>
  <c r="I125" i="4"/>
  <c r="J125" i="4"/>
  <c r="K125" i="4"/>
  <c r="B126" i="4"/>
  <c r="C126" i="4"/>
  <c r="D126" i="4"/>
  <c r="E126" i="4"/>
  <c r="F126" i="4"/>
  <c r="G126" i="4"/>
  <c r="H126" i="4"/>
  <c r="I126" i="4"/>
  <c r="J126" i="4"/>
  <c r="K126" i="4"/>
  <c r="B127" i="4"/>
  <c r="C127" i="4"/>
  <c r="D127" i="4"/>
  <c r="E127" i="4"/>
  <c r="F127" i="4"/>
  <c r="G127" i="4"/>
  <c r="H127" i="4"/>
  <c r="I127" i="4"/>
  <c r="J127" i="4"/>
  <c r="K127" i="4"/>
  <c r="B128" i="4"/>
  <c r="C128" i="4"/>
  <c r="D128" i="4"/>
  <c r="E128" i="4"/>
  <c r="F128" i="4"/>
  <c r="G128" i="4"/>
  <c r="H128" i="4"/>
  <c r="I128" i="4"/>
  <c r="J128" i="4"/>
  <c r="K128" i="4"/>
  <c r="B129" i="4"/>
  <c r="C129" i="4"/>
  <c r="D129" i="4"/>
  <c r="E129" i="4"/>
  <c r="F129" i="4"/>
  <c r="G129" i="4"/>
  <c r="H129" i="4"/>
  <c r="I129" i="4"/>
  <c r="J129" i="4"/>
  <c r="K129" i="4"/>
  <c r="B130" i="4"/>
  <c r="C130" i="4"/>
  <c r="D130" i="4"/>
  <c r="E130" i="4"/>
  <c r="F130" i="4"/>
  <c r="G130" i="4"/>
  <c r="H130" i="4"/>
  <c r="I130" i="4"/>
  <c r="J130" i="4"/>
  <c r="K130" i="4"/>
  <c r="B131" i="4"/>
  <c r="C131" i="4"/>
  <c r="D131" i="4"/>
  <c r="E131" i="4"/>
  <c r="F131" i="4"/>
  <c r="G131" i="4"/>
  <c r="H131" i="4"/>
  <c r="I131" i="4"/>
  <c r="J131" i="4"/>
  <c r="K131" i="4"/>
  <c r="B132" i="4"/>
  <c r="C132" i="4"/>
  <c r="D132" i="4"/>
  <c r="E132" i="4"/>
  <c r="F132" i="4"/>
  <c r="G132" i="4"/>
  <c r="H132" i="4"/>
  <c r="I132" i="4"/>
  <c r="J132" i="4"/>
  <c r="K132" i="4"/>
  <c r="B133" i="4"/>
  <c r="C133" i="4"/>
  <c r="D133" i="4"/>
  <c r="E133" i="4"/>
  <c r="F133" i="4"/>
  <c r="G133" i="4"/>
  <c r="H133" i="4"/>
  <c r="I133" i="4"/>
  <c r="J133" i="4"/>
  <c r="K133" i="4"/>
  <c r="B134" i="4"/>
  <c r="C134" i="4"/>
  <c r="D134" i="4"/>
  <c r="E134" i="4"/>
  <c r="F134" i="4"/>
  <c r="G134" i="4"/>
  <c r="H134" i="4"/>
  <c r="I134" i="4"/>
  <c r="J134" i="4"/>
  <c r="K134" i="4"/>
  <c r="B135" i="4"/>
  <c r="C135" i="4"/>
  <c r="D135" i="4"/>
  <c r="E135" i="4"/>
  <c r="F135" i="4"/>
  <c r="G135" i="4"/>
  <c r="H135" i="4"/>
  <c r="I135" i="4"/>
  <c r="J135" i="4"/>
  <c r="K135" i="4"/>
  <c r="B136" i="4"/>
  <c r="C136" i="4"/>
  <c r="D136" i="4"/>
  <c r="E136" i="4"/>
  <c r="F136" i="4"/>
  <c r="G136" i="4"/>
  <c r="H136" i="4"/>
  <c r="I136" i="4"/>
  <c r="J136" i="4"/>
  <c r="K136" i="4"/>
  <c r="B137" i="4"/>
  <c r="C137" i="4"/>
  <c r="D137" i="4"/>
  <c r="E137" i="4"/>
  <c r="F137" i="4"/>
  <c r="G137" i="4"/>
  <c r="H137" i="4"/>
  <c r="I137" i="4"/>
  <c r="J137" i="4"/>
  <c r="K137" i="4"/>
  <c r="B138" i="4"/>
  <c r="C138" i="4"/>
  <c r="D138" i="4"/>
  <c r="E138" i="4"/>
  <c r="F138" i="4"/>
  <c r="G138" i="4"/>
  <c r="H138" i="4"/>
  <c r="I138" i="4"/>
  <c r="J138" i="4"/>
  <c r="K138" i="4"/>
  <c r="B139" i="4"/>
  <c r="C139" i="4"/>
  <c r="D139" i="4"/>
  <c r="E139" i="4"/>
  <c r="F139" i="4"/>
  <c r="G139" i="4"/>
  <c r="H139" i="4"/>
  <c r="I139" i="4"/>
  <c r="J139" i="4"/>
  <c r="K139" i="4"/>
  <c r="B140" i="4"/>
  <c r="C140" i="4"/>
  <c r="D140" i="4"/>
  <c r="E140" i="4"/>
  <c r="F140" i="4"/>
  <c r="G140" i="4"/>
  <c r="H140" i="4"/>
  <c r="I140" i="4"/>
  <c r="J140" i="4"/>
  <c r="K140" i="4"/>
  <c r="B141" i="4"/>
  <c r="C141" i="4"/>
  <c r="D141" i="4"/>
  <c r="E141" i="4"/>
  <c r="F141" i="4"/>
  <c r="G141" i="4"/>
  <c r="H141" i="4"/>
  <c r="I141" i="4"/>
  <c r="J141" i="4"/>
  <c r="K141" i="4"/>
  <c r="B142" i="4"/>
  <c r="C142" i="4"/>
  <c r="D142" i="4"/>
  <c r="E142" i="4"/>
  <c r="F142" i="4"/>
  <c r="G142" i="4"/>
  <c r="H142" i="4"/>
  <c r="I142" i="4"/>
  <c r="J142" i="4"/>
  <c r="K142" i="4"/>
  <c r="B143" i="4"/>
  <c r="C143" i="4"/>
  <c r="D143" i="4"/>
  <c r="E143" i="4"/>
  <c r="F143" i="4"/>
  <c r="G143" i="4"/>
  <c r="H143" i="4"/>
  <c r="I143" i="4"/>
  <c r="J143" i="4"/>
  <c r="K143" i="4"/>
  <c r="B144" i="4"/>
  <c r="C144" i="4"/>
  <c r="D144" i="4"/>
  <c r="E144" i="4"/>
  <c r="F144" i="4"/>
  <c r="G144" i="4"/>
  <c r="H144" i="4"/>
  <c r="I144" i="4"/>
  <c r="J144" i="4"/>
  <c r="K144" i="4"/>
  <c r="B145" i="4"/>
  <c r="C145" i="4"/>
  <c r="D145" i="4"/>
  <c r="E145" i="4"/>
  <c r="F145" i="4"/>
  <c r="G145" i="4"/>
  <c r="H145" i="4"/>
  <c r="I145" i="4"/>
  <c r="J145" i="4"/>
  <c r="K145" i="4"/>
  <c r="B146" i="4"/>
  <c r="C146" i="4"/>
  <c r="D146" i="4"/>
  <c r="E146" i="4"/>
  <c r="F146" i="4"/>
  <c r="G146" i="4"/>
  <c r="H146" i="4"/>
  <c r="I146" i="4"/>
  <c r="J146" i="4"/>
  <c r="K146" i="4"/>
  <c r="B147" i="4"/>
  <c r="C147" i="4"/>
  <c r="D147" i="4"/>
  <c r="E147" i="4"/>
  <c r="F147" i="4"/>
  <c r="G147" i="4"/>
  <c r="H147" i="4"/>
  <c r="I147" i="4"/>
  <c r="J147" i="4"/>
  <c r="K147" i="4"/>
  <c r="B148" i="4"/>
  <c r="C148" i="4"/>
  <c r="D148" i="4"/>
  <c r="E148" i="4"/>
  <c r="F148" i="4"/>
  <c r="G148" i="4"/>
  <c r="H148" i="4"/>
  <c r="I148" i="4"/>
  <c r="J148" i="4"/>
  <c r="K148" i="4"/>
  <c r="B149" i="4"/>
  <c r="C149" i="4"/>
  <c r="D149" i="4"/>
  <c r="E149" i="4"/>
  <c r="F149" i="4"/>
  <c r="G149" i="4"/>
  <c r="H149" i="4"/>
  <c r="I149" i="4"/>
  <c r="J149" i="4"/>
  <c r="K149" i="4"/>
  <c r="B150" i="4"/>
  <c r="C150" i="4"/>
  <c r="D150" i="4"/>
  <c r="E150" i="4"/>
  <c r="F150" i="4"/>
  <c r="G150" i="4"/>
  <c r="H150" i="4"/>
  <c r="I150" i="4"/>
  <c r="J150" i="4"/>
  <c r="K150" i="4"/>
  <c r="B151" i="4"/>
  <c r="C151" i="4"/>
  <c r="D151" i="4"/>
  <c r="E151" i="4"/>
  <c r="F151" i="4"/>
  <c r="G151" i="4"/>
  <c r="H151" i="4"/>
  <c r="I151" i="4"/>
  <c r="J151" i="4"/>
  <c r="K151" i="4"/>
  <c r="B152" i="4"/>
  <c r="C152" i="4"/>
  <c r="D152" i="4"/>
  <c r="E152" i="4"/>
  <c r="F152" i="4"/>
  <c r="G152" i="4"/>
  <c r="H152" i="4"/>
  <c r="I152" i="4"/>
  <c r="J152" i="4"/>
  <c r="K152" i="4"/>
  <c r="B153" i="4"/>
  <c r="C153" i="4"/>
  <c r="D153" i="4"/>
  <c r="E153" i="4"/>
  <c r="F153" i="4"/>
  <c r="G153" i="4"/>
  <c r="H153" i="4"/>
  <c r="I153" i="4"/>
  <c r="J153" i="4"/>
  <c r="K153" i="4"/>
  <c r="B154" i="4"/>
  <c r="C154" i="4"/>
  <c r="D154" i="4"/>
  <c r="E154" i="4"/>
  <c r="F154" i="4"/>
  <c r="G154" i="4"/>
  <c r="H154" i="4"/>
  <c r="I154" i="4"/>
  <c r="J154" i="4"/>
  <c r="K154" i="4"/>
  <c r="B155" i="4"/>
  <c r="C155" i="4"/>
  <c r="D155" i="4"/>
  <c r="E155" i="4"/>
  <c r="F155" i="4"/>
  <c r="G155" i="4"/>
  <c r="H155" i="4"/>
  <c r="I155" i="4"/>
  <c r="J155" i="4"/>
  <c r="K155" i="4"/>
  <c r="B156" i="4"/>
  <c r="C156" i="4"/>
  <c r="D156" i="4"/>
  <c r="E156" i="4"/>
  <c r="F156" i="4"/>
  <c r="G156" i="4"/>
  <c r="H156" i="4"/>
  <c r="I156" i="4"/>
  <c r="J156" i="4"/>
  <c r="K156" i="4"/>
  <c r="B157" i="4"/>
  <c r="C157" i="4"/>
  <c r="D157" i="4"/>
  <c r="E157" i="4"/>
  <c r="F157" i="4"/>
  <c r="G157" i="4"/>
  <c r="H157" i="4"/>
  <c r="I157" i="4"/>
  <c r="J157" i="4"/>
  <c r="K157" i="4"/>
  <c r="B158" i="4"/>
  <c r="C158" i="4"/>
  <c r="D158" i="4"/>
  <c r="E158" i="4"/>
  <c r="F158" i="4"/>
  <c r="G158" i="4"/>
  <c r="H158" i="4"/>
  <c r="I158" i="4"/>
  <c r="J158" i="4"/>
  <c r="K158" i="4"/>
  <c r="B159" i="4"/>
  <c r="C159" i="4"/>
  <c r="D159" i="4"/>
  <c r="E159" i="4"/>
  <c r="F159" i="4"/>
  <c r="G159" i="4"/>
  <c r="H159" i="4"/>
  <c r="I159" i="4"/>
  <c r="J159" i="4"/>
  <c r="K159" i="4"/>
  <c r="B160" i="4"/>
  <c r="C160" i="4"/>
  <c r="D160" i="4"/>
  <c r="E160" i="4"/>
  <c r="F160" i="4"/>
  <c r="G160" i="4"/>
  <c r="H160" i="4"/>
  <c r="I160" i="4"/>
  <c r="J160" i="4"/>
  <c r="K160" i="4"/>
  <c r="B161" i="4"/>
  <c r="C161" i="4"/>
  <c r="D161" i="4"/>
  <c r="E161" i="4"/>
  <c r="F161" i="4"/>
  <c r="G161" i="4"/>
  <c r="H161" i="4"/>
  <c r="I161" i="4"/>
  <c r="J161" i="4"/>
  <c r="K161" i="4"/>
  <c r="B162" i="4"/>
  <c r="C162" i="4"/>
  <c r="D162" i="4"/>
  <c r="E162" i="4"/>
  <c r="F162" i="4"/>
  <c r="G162" i="4"/>
  <c r="H162" i="4"/>
  <c r="I162" i="4"/>
  <c r="J162" i="4"/>
  <c r="K162" i="4"/>
  <c r="B163" i="4"/>
  <c r="C163" i="4"/>
  <c r="D163" i="4"/>
  <c r="E163" i="4"/>
  <c r="F163" i="4"/>
  <c r="G163" i="4"/>
  <c r="H163" i="4"/>
  <c r="I163" i="4"/>
  <c r="J163" i="4"/>
  <c r="K163" i="4"/>
  <c r="B164" i="4"/>
  <c r="C164" i="4"/>
  <c r="D164" i="4"/>
  <c r="E164" i="4"/>
  <c r="F164" i="4"/>
  <c r="G164" i="4"/>
  <c r="H164" i="4"/>
  <c r="I164" i="4"/>
  <c r="J164" i="4"/>
  <c r="K164" i="4"/>
  <c r="B165" i="4"/>
  <c r="C165" i="4"/>
  <c r="D165" i="4"/>
  <c r="E165" i="4"/>
  <c r="F165" i="4"/>
  <c r="G165" i="4"/>
  <c r="H165" i="4"/>
  <c r="I165" i="4"/>
  <c r="J165" i="4"/>
  <c r="K165" i="4"/>
  <c r="B166" i="4"/>
  <c r="C166" i="4"/>
  <c r="D166" i="4"/>
  <c r="E166" i="4"/>
  <c r="F166" i="4"/>
  <c r="G166" i="4"/>
  <c r="H166" i="4"/>
  <c r="I166" i="4"/>
  <c r="J166" i="4"/>
  <c r="K166" i="4"/>
  <c r="B167" i="4"/>
  <c r="C167" i="4"/>
  <c r="D167" i="4"/>
  <c r="E167" i="4"/>
  <c r="F167" i="4"/>
  <c r="G167" i="4"/>
  <c r="H167" i="4"/>
  <c r="I167" i="4"/>
  <c r="J167" i="4"/>
  <c r="K167" i="4"/>
  <c r="B168" i="4"/>
  <c r="C168" i="4"/>
  <c r="D168" i="4"/>
  <c r="E168" i="4"/>
  <c r="F168" i="4"/>
  <c r="G168" i="4"/>
  <c r="H168" i="4"/>
  <c r="I168" i="4"/>
  <c r="J168" i="4"/>
  <c r="K168" i="4"/>
  <c r="B169" i="4"/>
  <c r="C169" i="4"/>
  <c r="D169" i="4"/>
  <c r="E169" i="4"/>
  <c r="F169" i="4"/>
  <c r="G169" i="4"/>
  <c r="H169" i="4"/>
  <c r="I169" i="4"/>
  <c r="J169" i="4"/>
  <c r="K169" i="4"/>
  <c r="B170" i="4"/>
  <c r="C170" i="4"/>
  <c r="D170" i="4"/>
  <c r="E170" i="4"/>
  <c r="F170" i="4"/>
  <c r="G170" i="4"/>
  <c r="H170" i="4"/>
  <c r="I170" i="4"/>
  <c r="J170" i="4"/>
  <c r="K170" i="4"/>
  <c r="B171" i="4"/>
  <c r="C171" i="4"/>
  <c r="D171" i="4"/>
  <c r="E171" i="4"/>
  <c r="F171" i="4"/>
  <c r="G171" i="4"/>
  <c r="H171" i="4"/>
  <c r="I171" i="4"/>
  <c r="J171" i="4"/>
  <c r="K171" i="4"/>
  <c r="B172" i="4"/>
  <c r="C172" i="4"/>
  <c r="D172" i="4"/>
  <c r="E172" i="4"/>
  <c r="F172" i="4"/>
  <c r="G172" i="4"/>
  <c r="H172" i="4"/>
  <c r="I172" i="4"/>
  <c r="J172" i="4"/>
  <c r="K172" i="4"/>
  <c r="B173" i="4"/>
  <c r="C173" i="4"/>
  <c r="D173" i="4"/>
  <c r="E173" i="4"/>
  <c r="F173" i="4"/>
  <c r="G173" i="4"/>
  <c r="H173" i="4"/>
  <c r="I173" i="4"/>
  <c r="J173" i="4"/>
  <c r="K173" i="4"/>
  <c r="B174" i="4"/>
  <c r="C174" i="4"/>
  <c r="D174" i="4"/>
  <c r="E174" i="4"/>
  <c r="F174" i="4"/>
  <c r="G174" i="4"/>
  <c r="H174" i="4"/>
  <c r="I174" i="4"/>
  <c r="J174" i="4"/>
  <c r="K174" i="4"/>
  <c r="B175" i="4"/>
  <c r="C175" i="4"/>
  <c r="D175" i="4"/>
  <c r="E175" i="4"/>
  <c r="F175" i="4"/>
  <c r="G175" i="4"/>
  <c r="H175" i="4"/>
  <c r="I175" i="4"/>
  <c r="J175" i="4"/>
  <c r="K175" i="4"/>
  <c r="B176" i="4"/>
  <c r="C176" i="4"/>
  <c r="D176" i="4"/>
  <c r="E176" i="4"/>
  <c r="F176" i="4"/>
  <c r="G176" i="4"/>
  <c r="H176" i="4"/>
  <c r="I176" i="4"/>
  <c r="J176" i="4"/>
  <c r="K176" i="4"/>
  <c r="B177" i="4"/>
  <c r="C177" i="4"/>
  <c r="D177" i="4"/>
  <c r="E177" i="4"/>
  <c r="F177" i="4"/>
  <c r="G177" i="4"/>
  <c r="H177" i="4"/>
  <c r="I177" i="4"/>
  <c r="J177" i="4"/>
  <c r="K177" i="4"/>
  <c r="B178" i="4"/>
  <c r="C178" i="4"/>
  <c r="D178" i="4"/>
  <c r="E178" i="4"/>
  <c r="F178" i="4"/>
  <c r="G178" i="4"/>
  <c r="H178" i="4"/>
  <c r="I178" i="4"/>
  <c r="J178" i="4"/>
  <c r="K178" i="4"/>
  <c r="B179" i="4"/>
  <c r="C179" i="4"/>
  <c r="D179" i="4"/>
  <c r="E179" i="4"/>
  <c r="F179" i="4"/>
  <c r="G179" i="4"/>
  <c r="H179" i="4"/>
  <c r="I179" i="4"/>
  <c r="J179" i="4"/>
  <c r="K179" i="4"/>
  <c r="B180" i="4"/>
  <c r="C180" i="4"/>
  <c r="D180" i="4"/>
  <c r="E180" i="4"/>
  <c r="F180" i="4"/>
  <c r="G180" i="4"/>
  <c r="H180" i="4"/>
  <c r="I180" i="4"/>
  <c r="J180" i="4"/>
  <c r="K180" i="4"/>
  <c r="B181" i="4"/>
  <c r="C181" i="4"/>
  <c r="D181" i="4"/>
  <c r="E181" i="4"/>
  <c r="F181" i="4"/>
  <c r="G181" i="4"/>
  <c r="H181" i="4"/>
  <c r="I181" i="4"/>
  <c r="J181" i="4"/>
  <c r="K181" i="4"/>
  <c r="B182" i="4"/>
  <c r="C182" i="4"/>
  <c r="D182" i="4"/>
  <c r="E182" i="4"/>
  <c r="F182" i="4"/>
  <c r="G182" i="4"/>
  <c r="H182" i="4"/>
  <c r="I182" i="4"/>
  <c r="J182" i="4"/>
  <c r="K182" i="4"/>
  <c r="B183" i="4"/>
  <c r="C183" i="4"/>
  <c r="D183" i="4"/>
  <c r="E183" i="4"/>
  <c r="F183" i="4"/>
  <c r="G183" i="4"/>
  <c r="H183" i="4"/>
  <c r="I183" i="4"/>
  <c r="J183" i="4"/>
  <c r="K183" i="4"/>
  <c r="B184" i="4"/>
  <c r="C184" i="4"/>
  <c r="D184" i="4"/>
  <c r="E184" i="4"/>
  <c r="F184" i="4"/>
  <c r="G184" i="4"/>
  <c r="H184" i="4"/>
  <c r="I184" i="4"/>
  <c r="J184" i="4"/>
  <c r="K184" i="4"/>
  <c r="B185" i="4"/>
  <c r="C185" i="4"/>
  <c r="D185" i="4"/>
  <c r="E185" i="4"/>
  <c r="F185" i="4"/>
  <c r="G185" i="4"/>
  <c r="H185" i="4"/>
  <c r="I185" i="4"/>
  <c r="J185" i="4"/>
  <c r="K185" i="4"/>
  <c r="B186" i="4"/>
  <c r="C186" i="4"/>
  <c r="D186" i="4"/>
  <c r="E186" i="4"/>
  <c r="F186" i="4"/>
  <c r="G186" i="4"/>
  <c r="H186" i="4"/>
  <c r="I186" i="4"/>
  <c r="J186" i="4"/>
  <c r="K186" i="4"/>
  <c r="B187" i="4"/>
  <c r="C187" i="4"/>
  <c r="D187" i="4"/>
  <c r="E187" i="4"/>
  <c r="F187" i="4"/>
  <c r="G187" i="4"/>
  <c r="H187" i="4"/>
  <c r="I187" i="4"/>
  <c r="J187" i="4"/>
  <c r="K187" i="4"/>
  <c r="B188" i="4"/>
  <c r="C188" i="4"/>
  <c r="D188" i="4"/>
  <c r="E188" i="4"/>
  <c r="F188" i="4"/>
  <c r="G188" i="4"/>
  <c r="H188" i="4"/>
  <c r="I188" i="4"/>
  <c r="J188" i="4"/>
  <c r="K188" i="4"/>
  <c r="B189" i="4"/>
  <c r="C189" i="4"/>
  <c r="D189" i="4"/>
  <c r="E189" i="4"/>
  <c r="F189" i="4"/>
  <c r="G189" i="4"/>
  <c r="H189" i="4"/>
  <c r="I189" i="4"/>
  <c r="J189" i="4"/>
  <c r="K189" i="4"/>
  <c r="B190" i="4"/>
  <c r="C190" i="4"/>
  <c r="D190" i="4"/>
  <c r="E190" i="4"/>
  <c r="F190" i="4"/>
  <c r="G190" i="4"/>
  <c r="H190" i="4"/>
  <c r="I190" i="4"/>
  <c r="J190" i="4"/>
  <c r="K190" i="4"/>
  <c r="B191" i="4"/>
  <c r="C191" i="4"/>
  <c r="D191" i="4"/>
  <c r="E191" i="4"/>
  <c r="F191" i="4"/>
  <c r="G191" i="4"/>
  <c r="H191" i="4"/>
  <c r="I191" i="4"/>
  <c r="J191" i="4"/>
  <c r="K191" i="4"/>
  <c r="B192" i="4"/>
  <c r="C192" i="4"/>
  <c r="D192" i="4"/>
  <c r="E192" i="4"/>
  <c r="F192" i="4"/>
  <c r="G192" i="4"/>
  <c r="H192" i="4"/>
  <c r="I192" i="4"/>
  <c r="J192" i="4"/>
  <c r="K192" i="4"/>
  <c r="B193" i="4"/>
  <c r="C193" i="4"/>
  <c r="D193" i="4"/>
  <c r="E193" i="4"/>
  <c r="F193" i="4"/>
  <c r="G193" i="4"/>
  <c r="H193" i="4"/>
  <c r="I193" i="4"/>
  <c r="J193" i="4"/>
  <c r="K193" i="4"/>
  <c r="B194" i="4"/>
  <c r="C194" i="4"/>
  <c r="D194" i="4"/>
  <c r="E194" i="4"/>
  <c r="F194" i="4"/>
  <c r="G194" i="4"/>
  <c r="H194" i="4"/>
  <c r="I194" i="4"/>
  <c r="J194" i="4"/>
  <c r="K194" i="4"/>
  <c r="B195" i="4"/>
  <c r="C195" i="4"/>
  <c r="D195" i="4"/>
  <c r="E195" i="4"/>
  <c r="F195" i="4"/>
  <c r="G195" i="4"/>
  <c r="H195" i="4"/>
  <c r="I195" i="4"/>
  <c r="J195" i="4"/>
  <c r="K195" i="4"/>
  <c r="B196" i="4"/>
  <c r="C196" i="4"/>
  <c r="D196" i="4"/>
  <c r="E196" i="4"/>
  <c r="F196" i="4"/>
  <c r="G196" i="4"/>
  <c r="H196" i="4"/>
  <c r="I196" i="4"/>
  <c r="J196" i="4"/>
  <c r="K196" i="4"/>
  <c r="B197" i="4"/>
  <c r="C197" i="4"/>
  <c r="D197" i="4"/>
  <c r="E197" i="4"/>
  <c r="F197" i="4"/>
  <c r="G197" i="4"/>
  <c r="H197" i="4"/>
  <c r="I197" i="4"/>
  <c r="J197" i="4"/>
  <c r="K197" i="4"/>
  <c r="B198" i="4"/>
  <c r="C198" i="4"/>
  <c r="D198" i="4"/>
  <c r="E198" i="4"/>
  <c r="F198" i="4"/>
  <c r="G198" i="4"/>
  <c r="H198" i="4"/>
  <c r="I198" i="4"/>
  <c r="J198" i="4"/>
  <c r="K198" i="4"/>
  <c r="B199" i="4"/>
  <c r="C199" i="4"/>
  <c r="D199" i="4"/>
  <c r="E199" i="4"/>
  <c r="F199" i="4"/>
  <c r="G199" i="4"/>
  <c r="H199" i="4"/>
  <c r="I199" i="4"/>
  <c r="J199" i="4"/>
  <c r="K199" i="4"/>
  <c r="B200" i="4"/>
  <c r="C200" i="4"/>
  <c r="D200" i="4"/>
  <c r="E200" i="4"/>
  <c r="F200" i="4"/>
  <c r="G200" i="4"/>
  <c r="H200" i="4"/>
  <c r="I200" i="4"/>
  <c r="J200" i="4"/>
  <c r="K200" i="4"/>
  <c r="B201" i="4"/>
  <c r="C201" i="4"/>
  <c r="D201" i="4"/>
  <c r="E201" i="4"/>
  <c r="F201" i="4"/>
  <c r="G201" i="4"/>
  <c r="H201" i="4"/>
  <c r="I201" i="4"/>
  <c r="J201" i="4"/>
  <c r="K201" i="4"/>
  <c r="B202" i="4"/>
  <c r="C202" i="4"/>
  <c r="D202" i="4"/>
  <c r="E202" i="4"/>
  <c r="F202" i="4"/>
  <c r="G202" i="4"/>
  <c r="H202" i="4"/>
  <c r="I202" i="4"/>
  <c r="J202" i="4"/>
  <c r="K202" i="4"/>
  <c r="B203" i="4"/>
  <c r="C203" i="4"/>
  <c r="D203" i="4"/>
  <c r="E203" i="4"/>
  <c r="F203" i="4"/>
  <c r="G203" i="4"/>
  <c r="H203" i="4"/>
  <c r="I203" i="4"/>
  <c r="J203" i="4"/>
  <c r="K203" i="4"/>
  <c r="B204" i="4"/>
  <c r="C204" i="4"/>
  <c r="D204" i="4"/>
  <c r="E204" i="4"/>
  <c r="F204" i="4"/>
  <c r="G204" i="4"/>
  <c r="H204" i="4"/>
  <c r="I204" i="4"/>
  <c r="J204" i="4"/>
  <c r="K204" i="4"/>
  <c r="B205" i="4"/>
  <c r="C205" i="4"/>
  <c r="D205" i="4"/>
  <c r="E205" i="4"/>
  <c r="F205" i="4"/>
  <c r="G205" i="4"/>
  <c r="H205" i="4"/>
  <c r="I205" i="4"/>
  <c r="J205" i="4"/>
  <c r="K205" i="4"/>
  <c r="B206" i="4"/>
  <c r="C206" i="4"/>
  <c r="D206" i="4"/>
  <c r="E206" i="4"/>
  <c r="F206" i="4"/>
  <c r="G206" i="4"/>
  <c r="H206" i="4"/>
  <c r="I206" i="4"/>
  <c r="J206" i="4"/>
  <c r="K206" i="4"/>
  <c r="B207" i="4"/>
  <c r="C207" i="4"/>
  <c r="D207" i="4"/>
  <c r="E207" i="4"/>
  <c r="F207" i="4"/>
  <c r="G207" i="4"/>
  <c r="H207" i="4"/>
  <c r="I207" i="4"/>
  <c r="J207" i="4"/>
  <c r="K207" i="4"/>
  <c r="B208" i="4"/>
  <c r="C208" i="4"/>
  <c r="D208" i="4"/>
  <c r="E208" i="4"/>
  <c r="F208" i="4"/>
  <c r="G208" i="4"/>
  <c r="H208" i="4"/>
  <c r="I208" i="4"/>
  <c r="J208" i="4"/>
  <c r="K208" i="4"/>
  <c r="B209" i="4"/>
  <c r="C209" i="4"/>
  <c r="D209" i="4"/>
  <c r="E209" i="4"/>
  <c r="F209" i="4"/>
  <c r="G209" i="4"/>
  <c r="H209" i="4"/>
  <c r="I209" i="4"/>
  <c r="J209" i="4"/>
  <c r="K209" i="4"/>
  <c r="B210" i="4"/>
  <c r="C210" i="4"/>
  <c r="D210" i="4"/>
  <c r="E210" i="4"/>
  <c r="F210" i="4"/>
  <c r="G210" i="4"/>
  <c r="H210" i="4"/>
  <c r="I210" i="4"/>
  <c r="J210" i="4"/>
  <c r="K210" i="4"/>
  <c r="B211" i="4"/>
  <c r="C211" i="4"/>
  <c r="D211" i="4"/>
  <c r="E211" i="4"/>
  <c r="F211" i="4"/>
  <c r="G211" i="4"/>
  <c r="H211" i="4"/>
  <c r="I211" i="4"/>
  <c r="J211" i="4"/>
  <c r="K211" i="4"/>
  <c r="B212" i="4"/>
  <c r="C212" i="4"/>
  <c r="D212" i="4"/>
  <c r="E212" i="4"/>
  <c r="F212" i="4"/>
  <c r="G212" i="4"/>
  <c r="H212" i="4"/>
  <c r="I212" i="4"/>
  <c r="J212" i="4"/>
  <c r="K212" i="4"/>
  <c r="B213" i="4"/>
  <c r="C213" i="4"/>
  <c r="D213" i="4"/>
  <c r="E213" i="4"/>
  <c r="F213" i="4"/>
  <c r="G213" i="4"/>
  <c r="H213" i="4"/>
  <c r="I213" i="4"/>
  <c r="J213" i="4"/>
  <c r="K213" i="4"/>
  <c r="B214" i="4"/>
  <c r="C214" i="4"/>
  <c r="D214" i="4"/>
  <c r="E214" i="4"/>
  <c r="F214" i="4"/>
  <c r="G214" i="4"/>
  <c r="H214" i="4"/>
  <c r="I214" i="4"/>
  <c r="J214" i="4"/>
  <c r="K214" i="4"/>
  <c r="B215" i="4"/>
  <c r="C215" i="4"/>
  <c r="D215" i="4"/>
  <c r="E215" i="4"/>
  <c r="F215" i="4"/>
  <c r="G215" i="4"/>
  <c r="H215" i="4"/>
  <c r="I215" i="4"/>
  <c r="J215" i="4"/>
  <c r="K215" i="4"/>
  <c r="B216" i="4"/>
  <c r="C216" i="4"/>
  <c r="D216" i="4"/>
  <c r="E216" i="4"/>
  <c r="F216" i="4"/>
  <c r="G216" i="4"/>
  <c r="H216" i="4"/>
  <c r="I216" i="4"/>
  <c r="J216" i="4"/>
  <c r="K216" i="4"/>
  <c r="B217" i="4"/>
  <c r="C217" i="4"/>
  <c r="D217" i="4"/>
  <c r="E217" i="4"/>
  <c r="F217" i="4"/>
  <c r="G217" i="4"/>
  <c r="H217" i="4"/>
  <c r="I217" i="4"/>
  <c r="J217" i="4"/>
  <c r="K217" i="4"/>
  <c r="B218" i="4"/>
  <c r="C218" i="4"/>
  <c r="D218" i="4"/>
  <c r="E218" i="4"/>
  <c r="F218" i="4"/>
  <c r="G218" i="4"/>
  <c r="H218" i="4"/>
  <c r="I218" i="4"/>
  <c r="J218" i="4"/>
  <c r="K218" i="4"/>
  <c r="B219" i="4"/>
  <c r="C219" i="4"/>
  <c r="D219" i="4"/>
  <c r="E219" i="4"/>
  <c r="F219" i="4"/>
  <c r="G219" i="4"/>
  <c r="H219" i="4"/>
  <c r="I219" i="4"/>
  <c r="J219" i="4"/>
  <c r="K219" i="4"/>
  <c r="B220" i="4"/>
  <c r="C220" i="4"/>
  <c r="D220" i="4"/>
  <c r="E220" i="4"/>
  <c r="F220" i="4"/>
  <c r="G220" i="4"/>
  <c r="H220" i="4"/>
  <c r="I220" i="4"/>
  <c r="J220" i="4"/>
  <c r="K220" i="4"/>
  <c r="B221" i="4"/>
  <c r="C221" i="4"/>
  <c r="D221" i="4"/>
  <c r="E221" i="4"/>
  <c r="F221" i="4"/>
  <c r="G221" i="4"/>
  <c r="H221" i="4"/>
  <c r="I221" i="4"/>
  <c r="J221" i="4"/>
  <c r="K221" i="4"/>
  <c r="B222" i="4"/>
  <c r="C222" i="4"/>
  <c r="D222" i="4"/>
  <c r="E222" i="4"/>
  <c r="F222" i="4"/>
  <c r="G222" i="4"/>
  <c r="H222" i="4"/>
  <c r="I222" i="4"/>
  <c r="J222" i="4"/>
  <c r="K222" i="4"/>
  <c r="B223" i="4"/>
  <c r="C223" i="4"/>
  <c r="D223" i="4"/>
  <c r="E223" i="4"/>
  <c r="F223" i="4"/>
  <c r="G223" i="4"/>
  <c r="H223" i="4"/>
  <c r="I223" i="4"/>
  <c r="J223" i="4"/>
  <c r="K223" i="4"/>
  <c r="B224" i="4"/>
  <c r="C224" i="4"/>
  <c r="D224" i="4"/>
  <c r="E224" i="4"/>
  <c r="F224" i="4"/>
  <c r="G224" i="4"/>
  <c r="H224" i="4"/>
  <c r="I224" i="4"/>
  <c r="J224" i="4"/>
  <c r="K224" i="4"/>
  <c r="B225" i="4"/>
  <c r="C225" i="4"/>
  <c r="D225" i="4"/>
  <c r="E225" i="4"/>
  <c r="F225" i="4"/>
  <c r="G225" i="4"/>
  <c r="H225" i="4"/>
  <c r="I225" i="4"/>
  <c r="J225" i="4"/>
  <c r="K225" i="4"/>
  <c r="B226" i="4"/>
  <c r="C226" i="4"/>
  <c r="D226" i="4"/>
  <c r="E226" i="4"/>
  <c r="F226" i="4"/>
  <c r="G226" i="4"/>
  <c r="H226" i="4"/>
  <c r="I226" i="4"/>
  <c r="J226" i="4"/>
  <c r="K226" i="4"/>
  <c r="B227" i="4"/>
  <c r="C227" i="4"/>
  <c r="D227" i="4"/>
  <c r="E227" i="4"/>
  <c r="F227" i="4"/>
  <c r="G227" i="4"/>
  <c r="H227" i="4"/>
  <c r="I227" i="4"/>
  <c r="J227" i="4"/>
  <c r="K227" i="4"/>
  <c r="B228" i="4"/>
  <c r="C228" i="4"/>
  <c r="D228" i="4"/>
  <c r="E228" i="4"/>
  <c r="F228" i="4"/>
  <c r="G228" i="4"/>
  <c r="H228" i="4"/>
  <c r="I228" i="4"/>
  <c r="J228" i="4"/>
  <c r="K228" i="4"/>
  <c r="B229" i="4"/>
  <c r="C229" i="4"/>
  <c r="D229" i="4"/>
  <c r="E229" i="4"/>
  <c r="F229" i="4"/>
  <c r="G229" i="4"/>
  <c r="H229" i="4"/>
  <c r="I229" i="4"/>
  <c r="J229" i="4"/>
  <c r="K229" i="4"/>
  <c r="B230" i="4"/>
  <c r="C230" i="4"/>
  <c r="D230" i="4"/>
  <c r="E230" i="4"/>
  <c r="F230" i="4"/>
  <c r="G230" i="4"/>
  <c r="H230" i="4"/>
  <c r="I230" i="4"/>
  <c r="J230" i="4"/>
  <c r="K230" i="4"/>
  <c r="B231" i="4"/>
  <c r="C231" i="4"/>
  <c r="D231" i="4"/>
  <c r="E231" i="4"/>
  <c r="F231" i="4"/>
  <c r="G231" i="4"/>
  <c r="H231" i="4"/>
  <c r="I231" i="4"/>
  <c r="J231" i="4"/>
  <c r="K231" i="4"/>
  <c r="B232" i="4"/>
  <c r="C232" i="4"/>
  <c r="D232" i="4"/>
  <c r="E232" i="4"/>
  <c r="F232" i="4"/>
  <c r="G232" i="4"/>
  <c r="H232" i="4"/>
  <c r="I232" i="4"/>
  <c r="J232" i="4"/>
  <c r="K232" i="4"/>
  <c r="B233" i="4"/>
  <c r="C233" i="4"/>
  <c r="D233" i="4"/>
  <c r="E233" i="4"/>
  <c r="F233" i="4"/>
  <c r="G233" i="4"/>
  <c r="H233" i="4"/>
  <c r="I233" i="4"/>
  <c r="J233" i="4"/>
  <c r="K233" i="4"/>
  <c r="B234" i="4"/>
  <c r="C234" i="4"/>
  <c r="D234" i="4"/>
  <c r="E234" i="4"/>
  <c r="F234" i="4"/>
  <c r="G234" i="4"/>
  <c r="H234" i="4"/>
  <c r="I234" i="4"/>
  <c r="J234" i="4"/>
  <c r="K234" i="4"/>
  <c r="B235" i="4"/>
  <c r="C235" i="4"/>
  <c r="D235" i="4"/>
  <c r="E235" i="4"/>
  <c r="F235" i="4"/>
  <c r="G235" i="4"/>
  <c r="H235" i="4"/>
  <c r="I235" i="4"/>
  <c r="J235" i="4"/>
  <c r="K235" i="4"/>
  <c r="B236" i="4"/>
  <c r="C236" i="4"/>
  <c r="D236" i="4"/>
  <c r="E236" i="4"/>
  <c r="F236" i="4"/>
  <c r="G236" i="4"/>
  <c r="H236" i="4"/>
  <c r="I236" i="4"/>
  <c r="J236" i="4"/>
  <c r="K236" i="4"/>
  <c r="B237" i="4"/>
  <c r="C237" i="4"/>
  <c r="D237" i="4"/>
  <c r="E237" i="4"/>
  <c r="F237" i="4"/>
  <c r="G237" i="4"/>
  <c r="H237" i="4"/>
  <c r="I237" i="4"/>
  <c r="J237" i="4"/>
  <c r="K237" i="4"/>
  <c r="B238" i="4"/>
  <c r="C238" i="4"/>
  <c r="D238" i="4"/>
  <c r="E238" i="4"/>
  <c r="F238" i="4"/>
  <c r="G238" i="4"/>
  <c r="H238" i="4"/>
  <c r="I238" i="4"/>
  <c r="J238" i="4"/>
  <c r="K238" i="4"/>
  <c r="B239" i="4"/>
  <c r="C239" i="4"/>
  <c r="D239" i="4"/>
  <c r="E239" i="4"/>
  <c r="F239" i="4"/>
  <c r="G239" i="4"/>
  <c r="H239" i="4"/>
  <c r="I239" i="4"/>
  <c r="J239" i="4"/>
  <c r="K239" i="4"/>
  <c r="B240" i="4"/>
  <c r="C240" i="4"/>
  <c r="D240" i="4"/>
  <c r="E240" i="4"/>
  <c r="F240" i="4"/>
  <c r="G240" i="4"/>
  <c r="H240" i="4"/>
  <c r="I240" i="4"/>
  <c r="J240" i="4"/>
  <c r="K240" i="4"/>
  <c r="B241" i="4"/>
  <c r="C241" i="4"/>
  <c r="D241" i="4"/>
  <c r="E241" i="4"/>
  <c r="F241" i="4"/>
  <c r="G241" i="4"/>
  <c r="H241" i="4"/>
  <c r="I241" i="4"/>
  <c r="J241" i="4"/>
  <c r="K241" i="4"/>
  <c r="B242" i="4"/>
  <c r="C242" i="4"/>
  <c r="D242" i="4"/>
  <c r="E242" i="4"/>
  <c r="F242" i="4"/>
  <c r="G242" i="4"/>
  <c r="H242" i="4"/>
  <c r="I242" i="4"/>
  <c r="J242" i="4"/>
  <c r="K242" i="4"/>
  <c r="B243" i="4"/>
  <c r="C243" i="4"/>
  <c r="D243" i="4"/>
  <c r="E243" i="4"/>
  <c r="F243" i="4"/>
  <c r="G243" i="4"/>
  <c r="H243" i="4"/>
  <c r="I243" i="4"/>
  <c r="J243" i="4"/>
  <c r="K243" i="4"/>
  <c r="B244" i="4"/>
  <c r="C244" i="4"/>
  <c r="D244" i="4"/>
  <c r="E244" i="4"/>
  <c r="F244" i="4"/>
  <c r="G244" i="4"/>
  <c r="H244" i="4"/>
  <c r="I244" i="4"/>
  <c r="J244" i="4"/>
  <c r="K244" i="4"/>
  <c r="B245" i="4"/>
  <c r="C245" i="4"/>
  <c r="D245" i="4"/>
  <c r="E245" i="4"/>
  <c r="F245" i="4"/>
  <c r="G245" i="4"/>
  <c r="H245" i="4"/>
  <c r="I245" i="4"/>
  <c r="J245" i="4"/>
  <c r="K245" i="4"/>
  <c r="B246" i="4"/>
  <c r="C246" i="4"/>
  <c r="D246" i="4"/>
  <c r="E246" i="4"/>
  <c r="F246" i="4"/>
  <c r="G246" i="4"/>
  <c r="H246" i="4"/>
  <c r="I246" i="4"/>
  <c r="J246" i="4"/>
  <c r="K246" i="4"/>
  <c r="B247" i="4"/>
  <c r="C247" i="4"/>
  <c r="D247" i="4"/>
  <c r="E247" i="4"/>
  <c r="F247" i="4"/>
  <c r="G247" i="4"/>
  <c r="H247" i="4"/>
  <c r="I247" i="4"/>
  <c r="J247" i="4"/>
  <c r="K247" i="4"/>
  <c r="B248" i="4"/>
  <c r="C248" i="4"/>
  <c r="D248" i="4"/>
  <c r="E248" i="4"/>
  <c r="F248" i="4"/>
  <c r="G248" i="4"/>
  <c r="H248" i="4"/>
  <c r="I248" i="4"/>
  <c r="J248" i="4"/>
  <c r="K248" i="4"/>
  <c r="B249" i="4"/>
  <c r="C249" i="4"/>
  <c r="D249" i="4"/>
  <c r="E249" i="4"/>
  <c r="F249" i="4"/>
  <c r="G249" i="4"/>
  <c r="H249" i="4"/>
  <c r="I249" i="4"/>
  <c r="J249" i="4"/>
  <c r="K249" i="4"/>
  <c r="B250" i="4"/>
  <c r="C250" i="4"/>
  <c r="D250" i="4"/>
  <c r="E250" i="4"/>
  <c r="F250" i="4"/>
  <c r="G250" i="4"/>
  <c r="H250" i="4"/>
  <c r="I250" i="4"/>
  <c r="J250" i="4"/>
  <c r="K250" i="4"/>
  <c r="B251" i="4"/>
  <c r="C251" i="4"/>
  <c r="D251" i="4"/>
  <c r="E251" i="4"/>
  <c r="F251" i="4"/>
  <c r="G251" i="4"/>
  <c r="H251" i="4"/>
  <c r="I251" i="4"/>
  <c r="J251" i="4"/>
  <c r="K251" i="4"/>
  <c r="B252" i="4"/>
  <c r="C252" i="4"/>
  <c r="D252" i="4"/>
  <c r="E252" i="4"/>
  <c r="F252" i="4"/>
  <c r="G252" i="4"/>
  <c r="H252" i="4"/>
  <c r="I252" i="4"/>
  <c r="J252" i="4"/>
  <c r="K252" i="4"/>
  <c r="B253" i="4"/>
  <c r="C253" i="4"/>
  <c r="D253" i="4"/>
  <c r="E253" i="4"/>
  <c r="F253" i="4"/>
  <c r="G253" i="4"/>
  <c r="H253" i="4"/>
  <c r="I253" i="4"/>
  <c r="J253" i="4"/>
  <c r="K253" i="4"/>
  <c r="B254" i="4"/>
  <c r="C254" i="4"/>
  <c r="D254" i="4"/>
  <c r="E254" i="4"/>
  <c r="F254" i="4"/>
  <c r="G254" i="4"/>
  <c r="H254" i="4"/>
  <c r="I254" i="4"/>
  <c r="J254" i="4"/>
  <c r="K254" i="4"/>
  <c r="B255" i="4"/>
  <c r="C255" i="4"/>
  <c r="D255" i="4"/>
  <c r="E255" i="4"/>
  <c r="F255" i="4"/>
  <c r="G255" i="4"/>
  <c r="H255" i="4"/>
  <c r="I255" i="4"/>
  <c r="J255" i="4"/>
  <c r="K255" i="4"/>
  <c r="B256" i="4"/>
  <c r="C256" i="4"/>
  <c r="D256" i="4"/>
  <c r="E256" i="4"/>
  <c r="F256" i="4"/>
  <c r="G256" i="4"/>
  <c r="H256" i="4"/>
  <c r="I256" i="4"/>
  <c r="J256" i="4"/>
  <c r="K256" i="4"/>
  <c r="B257" i="4"/>
  <c r="C257" i="4"/>
  <c r="D257" i="4"/>
  <c r="E257" i="4"/>
  <c r="F257" i="4"/>
  <c r="G257" i="4"/>
  <c r="H257" i="4"/>
  <c r="I257" i="4"/>
  <c r="J257" i="4"/>
  <c r="K257" i="4"/>
  <c r="B258" i="4"/>
  <c r="C258" i="4"/>
  <c r="D258" i="4"/>
  <c r="E258" i="4"/>
  <c r="F258" i="4"/>
  <c r="G258" i="4"/>
  <c r="H258" i="4"/>
  <c r="I258" i="4"/>
  <c r="J258" i="4"/>
  <c r="K258" i="4"/>
  <c r="B259" i="4"/>
  <c r="C259" i="4"/>
  <c r="D259" i="4"/>
  <c r="E259" i="4"/>
  <c r="F259" i="4"/>
  <c r="G259" i="4"/>
  <c r="H259" i="4"/>
  <c r="I259" i="4"/>
  <c r="J259" i="4"/>
  <c r="K259" i="4"/>
  <c r="B260" i="4"/>
  <c r="C260" i="4"/>
  <c r="D260" i="4"/>
  <c r="E260" i="4"/>
  <c r="F260" i="4"/>
  <c r="G260" i="4"/>
  <c r="H260" i="4"/>
  <c r="I260" i="4"/>
  <c r="J260" i="4"/>
  <c r="K260" i="4"/>
  <c r="B261" i="4"/>
  <c r="C261" i="4"/>
  <c r="D261" i="4"/>
  <c r="E261" i="4"/>
  <c r="F261" i="4"/>
  <c r="G261" i="4"/>
  <c r="H261" i="4"/>
  <c r="I261" i="4"/>
  <c r="J261" i="4"/>
  <c r="K261" i="4"/>
  <c r="B262" i="4"/>
  <c r="C262" i="4"/>
  <c r="D262" i="4"/>
  <c r="E262" i="4"/>
  <c r="F262" i="4"/>
  <c r="G262" i="4"/>
  <c r="H262" i="4"/>
  <c r="I262" i="4"/>
  <c r="J262" i="4"/>
  <c r="K262" i="4"/>
  <c r="B263" i="4"/>
  <c r="C263" i="4"/>
  <c r="D263" i="4"/>
  <c r="E263" i="4"/>
  <c r="F263" i="4"/>
  <c r="G263" i="4"/>
  <c r="H263" i="4"/>
  <c r="I263" i="4"/>
  <c r="J263" i="4"/>
  <c r="K263" i="4"/>
  <c r="B264" i="4"/>
  <c r="C264" i="4"/>
  <c r="D264" i="4"/>
  <c r="E264" i="4"/>
  <c r="F264" i="4"/>
  <c r="G264" i="4"/>
  <c r="H264" i="4"/>
  <c r="I264" i="4"/>
  <c r="J264" i="4"/>
  <c r="K264" i="4"/>
  <c r="B265" i="4"/>
  <c r="C265" i="4"/>
  <c r="D265" i="4"/>
  <c r="E265" i="4"/>
  <c r="F265" i="4"/>
  <c r="G265" i="4"/>
  <c r="H265" i="4"/>
  <c r="I265" i="4"/>
  <c r="J265" i="4"/>
  <c r="K265" i="4"/>
  <c r="B266" i="4"/>
  <c r="C266" i="4"/>
  <c r="D266" i="4"/>
  <c r="E266" i="4"/>
  <c r="F266" i="4"/>
  <c r="G266" i="4"/>
  <c r="H266" i="4"/>
  <c r="I266" i="4"/>
  <c r="J266" i="4"/>
  <c r="K266" i="4"/>
  <c r="B267" i="4"/>
  <c r="C267" i="4"/>
  <c r="D267" i="4"/>
  <c r="E267" i="4"/>
  <c r="F267" i="4"/>
  <c r="G267" i="4"/>
  <c r="H267" i="4"/>
  <c r="I267" i="4"/>
  <c r="J267" i="4"/>
  <c r="K267" i="4"/>
  <c r="B268" i="4"/>
  <c r="C268" i="4"/>
  <c r="D268" i="4"/>
  <c r="E268" i="4"/>
  <c r="F268" i="4"/>
  <c r="G268" i="4"/>
  <c r="H268" i="4"/>
  <c r="I268" i="4"/>
  <c r="J268" i="4"/>
  <c r="K268" i="4"/>
  <c r="B269" i="4"/>
  <c r="C269" i="4"/>
  <c r="D269" i="4"/>
  <c r="E269" i="4"/>
  <c r="F269" i="4"/>
  <c r="G269" i="4"/>
  <c r="H269" i="4"/>
  <c r="I269" i="4"/>
  <c r="J269" i="4"/>
  <c r="K269" i="4"/>
  <c r="B270" i="4"/>
  <c r="C270" i="4"/>
  <c r="D270" i="4"/>
  <c r="E270" i="4"/>
  <c r="F270" i="4"/>
  <c r="G270" i="4"/>
  <c r="H270" i="4"/>
  <c r="I270" i="4"/>
  <c r="J270" i="4"/>
  <c r="K270" i="4"/>
  <c r="B271" i="4"/>
  <c r="C271" i="4"/>
  <c r="D271" i="4"/>
  <c r="E271" i="4"/>
  <c r="F271" i="4"/>
  <c r="G271" i="4"/>
  <c r="H271" i="4"/>
  <c r="I271" i="4"/>
  <c r="J271" i="4"/>
  <c r="K271" i="4"/>
  <c r="B272" i="4"/>
  <c r="C272" i="4"/>
  <c r="D272" i="4"/>
  <c r="E272" i="4"/>
  <c r="F272" i="4"/>
  <c r="G272" i="4"/>
  <c r="H272" i="4"/>
  <c r="I272" i="4"/>
  <c r="J272" i="4"/>
  <c r="K272" i="4"/>
  <c r="B273" i="4"/>
  <c r="C273" i="4"/>
  <c r="D273" i="4"/>
  <c r="E273" i="4"/>
  <c r="F273" i="4"/>
  <c r="G273" i="4"/>
  <c r="H273" i="4"/>
  <c r="I273" i="4"/>
  <c r="J273" i="4"/>
  <c r="K273" i="4"/>
  <c r="B274" i="4"/>
  <c r="C274" i="4"/>
  <c r="D274" i="4"/>
  <c r="E274" i="4"/>
  <c r="F274" i="4"/>
  <c r="G274" i="4"/>
  <c r="H274" i="4"/>
  <c r="I274" i="4"/>
  <c r="J274" i="4"/>
  <c r="K274" i="4"/>
  <c r="B275" i="4"/>
  <c r="C275" i="4"/>
  <c r="D275" i="4"/>
  <c r="E275" i="4"/>
  <c r="F275" i="4"/>
  <c r="G275" i="4"/>
  <c r="H275" i="4"/>
  <c r="I275" i="4"/>
  <c r="J275" i="4"/>
  <c r="K275" i="4"/>
  <c r="B276" i="4"/>
  <c r="C276" i="4"/>
  <c r="D276" i="4"/>
  <c r="E276" i="4"/>
  <c r="F276" i="4"/>
  <c r="G276" i="4"/>
  <c r="H276" i="4"/>
  <c r="I276" i="4"/>
  <c r="J276" i="4"/>
  <c r="K276" i="4"/>
  <c r="B277" i="4"/>
  <c r="C277" i="4"/>
  <c r="D277" i="4"/>
  <c r="E277" i="4"/>
  <c r="F277" i="4"/>
  <c r="G277" i="4"/>
  <c r="H277" i="4"/>
  <c r="I277" i="4"/>
  <c r="J277" i="4"/>
  <c r="K277" i="4"/>
  <c r="B278" i="4"/>
  <c r="C278" i="4"/>
  <c r="D278" i="4"/>
  <c r="E278" i="4"/>
  <c r="F278" i="4"/>
  <c r="G278" i="4"/>
  <c r="H278" i="4"/>
  <c r="I278" i="4"/>
  <c r="J278" i="4"/>
  <c r="K278" i="4"/>
  <c r="B279" i="4"/>
  <c r="C279" i="4"/>
  <c r="D279" i="4"/>
  <c r="E279" i="4"/>
  <c r="F279" i="4"/>
  <c r="G279" i="4"/>
  <c r="H279" i="4"/>
  <c r="I279" i="4"/>
  <c r="J279" i="4"/>
  <c r="K279" i="4"/>
  <c r="B280" i="4"/>
  <c r="C280" i="4"/>
  <c r="D280" i="4"/>
  <c r="E280" i="4"/>
  <c r="F280" i="4"/>
  <c r="G280" i="4"/>
  <c r="H280" i="4"/>
  <c r="I280" i="4"/>
  <c r="J280" i="4"/>
  <c r="K280" i="4"/>
  <c r="B281" i="4"/>
  <c r="C281" i="4"/>
  <c r="D281" i="4"/>
  <c r="E281" i="4"/>
  <c r="F281" i="4"/>
  <c r="G281" i="4"/>
  <c r="H281" i="4"/>
  <c r="I281" i="4"/>
  <c r="J281" i="4"/>
  <c r="K281" i="4"/>
  <c r="B282" i="4"/>
  <c r="C282" i="4"/>
  <c r="D282" i="4"/>
  <c r="E282" i="4"/>
  <c r="F282" i="4"/>
  <c r="G282" i="4"/>
  <c r="H282" i="4"/>
  <c r="I282" i="4"/>
  <c r="J282" i="4"/>
  <c r="K282" i="4"/>
  <c r="B283" i="4"/>
  <c r="C283" i="4"/>
  <c r="D283" i="4"/>
  <c r="E283" i="4"/>
  <c r="F283" i="4"/>
  <c r="G283" i="4"/>
  <c r="H283" i="4"/>
  <c r="I283" i="4"/>
  <c r="J283" i="4"/>
  <c r="K283" i="4"/>
  <c r="B284" i="4"/>
  <c r="C284" i="4"/>
  <c r="D284" i="4"/>
  <c r="E284" i="4"/>
  <c r="F284" i="4"/>
  <c r="G284" i="4"/>
  <c r="H284" i="4"/>
  <c r="I284" i="4"/>
  <c r="J284" i="4"/>
  <c r="K284" i="4"/>
  <c r="B285" i="4"/>
  <c r="C285" i="4"/>
  <c r="D285" i="4"/>
  <c r="E285" i="4"/>
  <c r="F285" i="4"/>
  <c r="G285" i="4"/>
  <c r="H285" i="4"/>
  <c r="I285" i="4"/>
  <c r="J285" i="4"/>
  <c r="K285" i="4"/>
  <c r="B286" i="4"/>
  <c r="C286" i="4"/>
  <c r="D286" i="4"/>
  <c r="E286" i="4"/>
  <c r="F286" i="4"/>
  <c r="G286" i="4"/>
  <c r="H286" i="4"/>
  <c r="I286" i="4"/>
  <c r="J286" i="4"/>
  <c r="K286" i="4"/>
  <c r="B287" i="4"/>
  <c r="C287" i="4"/>
  <c r="D287" i="4"/>
  <c r="E287" i="4"/>
  <c r="F287" i="4"/>
  <c r="G287" i="4"/>
  <c r="H287" i="4"/>
  <c r="I287" i="4"/>
  <c r="J287" i="4"/>
  <c r="K287" i="4"/>
  <c r="B288" i="4"/>
  <c r="C288" i="4"/>
  <c r="D288" i="4"/>
  <c r="E288" i="4"/>
  <c r="F288" i="4"/>
  <c r="G288" i="4"/>
  <c r="H288" i="4"/>
  <c r="I288" i="4"/>
  <c r="J288" i="4"/>
  <c r="K288" i="4"/>
  <c r="B289" i="4"/>
  <c r="C289" i="4"/>
  <c r="D289" i="4"/>
  <c r="E289" i="4"/>
  <c r="F289" i="4"/>
  <c r="G289" i="4"/>
  <c r="H289" i="4"/>
  <c r="I289" i="4"/>
  <c r="J289" i="4"/>
  <c r="K289" i="4"/>
  <c r="B290" i="4"/>
  <c r="C290" i="4"/>
  <c r="D290" i="4"/>
  <c r="E290" i="4"/>
  <c r="F290" i="4"/>
  <c r="G290" i="4"/>
  <c r="H290" i="4"/>
  <c r="I290" i="4"/>
  <c r="J290" i="4"/>
  <c r="K290" i="4"/>
  <c r="B291" i="4"/>
  <c r="C291" i="4"/>
  <c r="D291" i="4"/>
  <c r="E291" i="4"/>
  <c r="F291" i="4"/>
  <c r="G291" i="4"/>
  <c r="H291" i="4"/>
  <c r="I291" i="4"/>
  <c r="J291" i="4"/>
  <c r="K291" i="4"/>
  <c r="B292" i="4"/>
  <c r="C292" i="4"/>
  <c r="D292" i="4"/>
  <c r="E292" i="4"/>
  <c r="F292" i="4"/>
  <c r="G292" i="4"/>
  <c r="H292" i="4"/>
  <c r="I292" i="4"/>
  <c r="J292" i="4"/>
  <c r="K292" i="4"/>
  <c r="B293" i="4"/>
  <c r="C293" i="4"/>
  <c r="D293" i="4"/>
  <c r="E293" i="4"/>
  <c r="F293" i="4"/>
  <c r="G293" i="4"/>
  <c r="H293" i="4"/>
  <c r="I293" i="4"/>
  <c r="J293" i="4"/>
  <c r="K293" i="4"/>
  <c r="B294" i="4"/>
  <c r="C294" i="4"/>
  <c r="D294" i="4"/>
  <c r="E294" i="4"/>
  <c r="F294" i="4"/>
  <c r="G294" i="4"/>
  <c r="H294" i="4"/>
  <c r="I294" i="4"/>
  <c r="J294" i="4"/>
  <c r="K294" i="4"/>
  <c r="B295" i="4"/>
  <c r="C295" i="4"/>
  <c r="D295" i="4"/>
  <c r="E295" i="4"/>
  <c r="F295" i="4"/>
  <c r="G295" i="4"/>
  <c r="H295" i="4"/>
  <c r="I295" i="4"/>
  <c r="J295" i="4"/>
  <c r="K295" i="4"/>
  <c r="B296" i="4"/>
  <c r="C296" i="4"/>
  <c r="D296" i="4"/>
  <c r="E296" i="4"/>
  <c r="F296" i="4"/>
  <c r="G296" i="4"/>
  <c r="H296" i="4"/>
  <c r="I296" i="4"/>
  <c r="J296" i="4"/>
  <c r="K296" i="4"/>
  <c r="B297" i="4"/>
  <c r="C297" i="4"/>
  <c r="D297" i="4"/>
  <c r="E297" i="4"/>
  <c r="F297" i="4"/>
  <c r="G297" i="4"/>
  <c r="H297" i="4"/>
  <c r="I297" i="4"/>
  <c r="J297" i="4"/>
  <c r="K297" i="4"/>
  <c r="B298" i="4"/>
  <c r="C298" i="4"/>
  <c r="D298" i="4"/>
  <c r="E298" i="4"/>
  <c r="F298" i="4"/>
  <c r="G298" i="4"/>
  <c r="H298" i="4"/>
  <c r="I298" i="4"/>
  <c r="J298" i="4"/>
  <c r="K298" i="4"/>
  <c r="B299" i="4"/>
  <c r="C299" i="4"/>
  <c r="D299" i="4"/>
  <c r="E299" i="4"/>
  <c r="F299" i="4"/>
  <c r="G299" i="4"/>
  <c r="H299" i="4"/>
  <c r="I299" i="4"/>
  <c r="J299" i="4"/>
  <c r="K299" i="4"/>
  <c r="B300" i="4"/>
  <c r="C300" i="4"/>
  <c r="D300" i="4"/>
  <c r="E300" i="4"/>
  <c r="F300" i="4"/>
  <c r="G300" i="4"/>
  <c r="H300" i="4"/>
  <c r="I300" i="4"/>
  <c r="J300" i="4"/>
  <c r="K300" i="4"/>
  <c r="B301" i="4"/>
  <c r="C301" i="4"/>
  <c r="D301" i="4"/>
  <c r="E301" i="4"/>
  <c r="F301" i="4"/>
  <c r="G301" i="4"/>
  <c r="H301" i="4"/>
  <c r="I301" i="4"/>
  <c r="J301" i="4"/>
  <c r="K301" i="4"/>
  <c r="B302" i="4"/>
  <c r="C302" i="4"/>
  <c r="D302" i="4"/>
  <c r="E302" i="4"/>
  <c r="F302" i="4"/>
  <c r="G302" i="4"/>
  <c r="H302" i="4"/>
  <c r="I302" i="4"/>
  <c r="J302" i="4"/>
  <c r="K302" i="4"/>
  <c r="B303" i="4"/>
  <c r="C303" i="4"/>
  <c r="D303" i="4"/>
  <c r="E303" i="4"/>
  <c r="F303" i="4"/>
  <c r="G303" i="4"/>
  <c r="H303" i="4"/>
  <c r="I303" i="4"/>
  <c r="J303" i="4"/>
  <c r="K303" i="4"/>
  <c r="B304" i="4"/>
  <c r="C304" i="4"/>
  <c r="D304" i="4"/>
  <c r="E304" i="4"/>
  <c r="F304" i="4"/>
  <c r="G304" i="4"/>
  <c r="H304" i="4"/>
  <c r="I304" i="4"/>
  <c r="J304" i="4"/>
  <c r="K304" i="4"/>
  <c r="B305" i="4"/>
  <c r="C305" i="4"/>
  <c r="D305" i="4"/>
  <c r="E305" i="4"/>
  <c r="F305" i="4"/>
  <c r="G305" i="4"/>
  <c r="H305" i="4"/>
  <c r="I305" i="4"/>
  <c r="J305" i="4"/>
  <c r="K305" i="4"/>
  <c r="B306" i="4"/>
  <c r="C306" i="4"/>
  <c r="D306" i="4"/>
  <c r="E306" i="4"/>
  <c r="F306" i="4"/>
  <c r="G306" i="4"/>
  <c r="H306" i="4"/>
  <c r="I306" i="4"/>
  <c r="J306" i="4"/>
  <c r="K306" i="4"/>
  <c r="B307" i="4"/>
  <c r="C307" i="4"/>
  <c r="D307" i="4"/>
  <c r="E307" i="4"/>
  <c r="F307" i="4"/>
  <c r="G307" i="4"/>
  <c r="H307" i="4"/>
  <c r="I307" i="4"/>
  <c r="J307" i="4"/>
  <c r="K307" i="4"/>
  <c r="B308" i="4"/>
  <c r="C308" i="4"/>
  <c r="D308" i="4"/>
  <c r="E308" i="4"/>
  <c r="F308" i="4"/>
  <c r="G308" i="4"/>
  <c r="H308" i="4"/>
  <c r="I308" i="4"/>
  <c r="J308" i="4"/>
  <c r="K308" i="4"/>
  <c r="B309" i="4"/>
  <c r="C309" i="4"/>
  <c r="D309" i="4"/>
  <c r="E309" i="4"/>
  <c r="F309" i="4"/>
  <c r="G309" i="4"/>
  <c r="H309" i="4"/>
  <c r="I309" i="4"/>
  <c r="J309" i="4"/>
  <c r="K309" i="4"/>
  <c r="B310" i="4"/>
  <c r="C310" i="4"/>
  <c r="D310" i="4"/>
  <c r="E310" i="4"/>
  <c r="F310" i="4"/>
  <c r="G310" i="4"/>
  <c r="H310" i="4"/>
  <c r="I310" i="4"/>
  <c r="J310" i="4"/>
  <c r="K310" i="4"/>
  <c r="B311" i="4"/>
  <c r="C311" i="4"/>
  <c r="D311" i="4"/>
  <c r="E311" i="4"/>
  <c r="F311" i="4"/>
  <c r="G311" i="4"/>
  <c r="H311" i="4"/>
  <c r="I311" i="4"/>
  <c r="J311" i="4"/>
  <c r="K311" i="4"/>
  <c r="B312" i="4"/>
  <c r="C312" i="4"/>
  <c r="D312" i="4"/>
  <c r="E312" i="4"/>
  <c r="F312" i="4"/>
  <c r="G312" i="4"/>
  <c r="H312" i="4"/>
  <c r="I312" i="4"/>
  <c r="J312" i="4"/>
  <c r="K312" i="4"/>
  <c r="B313" i="4"/>
  <c r="C313" i="4"/>
  <c r="D313" i="4"/>
  <c r="E313" i="4"/>
  <c r="F313" i="4"/>
  <c r="G313" i="4"/>
  <c r="H313" i="4"/>
  <c r="I313" i="4"/>
  <c r="J313" i="4"/>
  <c r="K313" i="4"/>
  <c r="B314" i="4"/>
  <c r="C314" i="4"/>
  <c r="D314" i="4"/>
  <c r="E314" i="4"/>
  <c r="F314" i="4"/>
  <c r="G314" i="4"/>
  <c r="H314" i="4"/>
  <c r="I314" i="4"/>
  <c r="J314" i="4"/>
  <c r="K314" i="4"/>
  <c r="B315" i="4"/>
  <c r="C315" i="4"/>
  <c r="D315" i="4"/>
  <c r="E315" i="4"/>
  <c r="F315" i="4"/>
  <c r="G315" i="4"/>
  <c r="H315" i="4"/>
  <c r="I315" i="4"/>
  <c r="J315" i="4"/>
  <c r="K315" i="4"/>
  <c r="B316" i="4"/>
  <c r="C316" i="4"/>
  <c r="D316" i="4"/>
  <c r="E316" i="4"/>
  <c r="F316" i="4"/>
  <c r="G316" i="4"/>
  <c r="H316" i="4"/>
  <c r="I316" i="4"/>
  <c r="J316" i="4"/>
  <c r="K316" i="4"/>
  <c r="B317" i="4"/>
  <c r="C317" i="4"/>
  <c r="D317" i="4"/>
  <c r="E317" i="4"/>
  <c r="F317" i="4"/>
  <c r="G317" i="4"/>
  <c r="H317" i="4"/>
  <c r="I317" i="4"/>
  <c r="J317" i="4"/>
  <c r="K317" i="4"/>
  <c r="B318" i="4"/>
  <c r="C318" i="4"/>
  <c r="D318" i="4"/>
  <c r="E318" i="4"/>
  <c r="F318" i="4"/>
  <c r="G318" i="4"/>
  <c r="H318" i="4"/>
  <c r="I318" i="4"/>
  <c r="J318" i="4"/>
  <c r="K318" i="4"/>
  <c r="B319" i="4"/>
  <c r="C319" i="4"/>
  <c r="D319" i="4"/>
  <c r="E319" i="4"/>
  <c r="F319" i="4"/>
  <c r="G319" i="4"/>
  <c r="H319" i="4"/>
  <c r="I319" i="4"/>
  <c r="J319" i="4"/>
  <c r="K319" i="4"/>
  <c r="B320" i="4"/>
  <c r="C320" i="4"/>
  <c r="D320" i="4"/>
  <c r="E320" i="4"/>
  <c r="F320" i="4"/>
  <c r="G320" i="4"/>
  <c r="H320" i="4"/>
  <c r="I320" i="4"/>
  <c r="J320" i="4"/>
  <c r="K320" i="4"/>
  <c r="B321" i="4"/>
  <c r="C321" i="4"/>
  <c r="D321" i="4"/>
  <c r="E321" i="4"/>
  <c r="F321" i="4"/>
  <c r="G321" i="4"/>
  <c r="H321" i="4"/>
  <c r="I321" i="4"/>
  <c r="J321" i="4"/>
  <c r="K321" i="4"/>
  <c r="B322" i="4"/>
  <c r="C322" i="4"/>
  <c r="D322" i="4"/>
  <c r="E322" i="4"/>
  <c r="F322" i="4"/>
  <c r="G322" i="4"/>
  <c r="H322" i="4"/>
  <c r="I322" i="4"/>
  <c r="J322" i="4"/>
  <c r="K322" i="4"/>
  <c r="B323" i="4"/>
  <c r="C323" i="4"/>
  <c r="D323" i="4"/>
  <c r="E323" i="4"/>
  <c r="F323" i="4"/>
  <c r="G323" i="4"/>
  <c r="H323" i="4"/>
  <c r="I323" i="4"/>
  <c r="J323" i="4"/>
  <c r="K323" i="4"/>
  <c r="B324" i="4"/>
  <c r="C324" i="4"/>
  <c r="D324" i="4"/>
  <c r="E324" i="4"/>
  <c r="F324" i="4"/>
  <c r="G324" i="4"/>
  <c r="H324" i="4"/>
  <c r="I324" i="4"/>
  <c r="J324" i="4"/>
  <c r="K324" i="4"/>
  <c r="B325" i="4"/>
  <c r="C325" i="4"/>
  <c r="D325" i="4"/>
  <c r="E325" i="4"/>
  <c r="F325" i="4"/>
  <c r="G325" i="4"/>
  <c r="H325" i="4"/>
  <c r="I325" i="4"/>
  <c r="J325" i="4"/>
  <c r="K325" i="4"/>
  <c r="B326" i="4"/>
  <c r="C326" i="4"/>
  <c r="D326" i="4"/>
  <c r="E326" i="4"/>
  <c r="F326" i="4"/>
  <c r="G326" i="4"/>
  <c r="H326" i="4"/>
  <c r="I326" i="4"/>
  <c r="J326" i="4"/>
  <c r="K326" i="4"/>
  <c r="B327" i="4"/>
  <c r="C327" i="4"/>
  <c r="D327" i="4"/>
  <c r="E327" i="4"/>
  <c r="F327" i="4"/>
  <c r="G327" i="4"/>
  <c r="H327" i="4"/>
  <c r="I327" i="4"/>
  <c r="J327" i="4"/>
  <c r="K327" i="4"/>
  <c r="B328" i="4"/>
  <c r="C328" i="4"/>
  <c r="D328" i="4"/>
  <c r="E328" i="4"/>
  <c r="F328" i="4"/>
  <c r="G328" i="4"/>
  <c r="H328" i="4"/>
  <c r="I328" i="4"/>
  <c r="J328" i="4"/>
  <c r="K328" i="4"/>
  <c r="B329" i="4"/>
  <c r="C329" i="4"/>
  <c r="D329" i="4"/>
  <c r="E329" i="4"/>
  <c r="F329" i="4"/>
  <c r="G329" i="4"/>
  <c r="H329" i="4"/>
  <c r="I329" i="4"/>
  <c r="J329" i="4"/>
  <c r="K329" i="4"/>
  <c r="B330" i="4"/>
  <c r="C330" i="4"/>
  <c r="D330" i="4"/>
  <c r="E330" i="4"/>
  <c r="F330" i="4"/>
  <c r="G330" i="4"/>
  <c r="H330" i="4"/>
  <c r="I330" i="4"/>
  <c r="J330" i="4"/>
  <c r="K330" i="4"/>
  <c r="B331" i="4"/>
  <c r="C331" i="4"/>
  <c r="D331" i="4"/>
  <c r="E331" i="4"/>
  <c r="F331" i="4"/>
  <c r="G331" i="4"/>
  <c r="H331" i="4"/>
  <c r="I331" i="4"/>
  <c r="J331" i="4"/>
  <c r="K331" i="4"/>
  <c r="B332" i="4"/>
  <c r="C332" i="4"/>
  <c r="D332" i="4"/>
  <c r="E332" i="4"/>
  <c r="F332" i="4"/>
  <c r="G332" i="4"/>
  <c r="H332" i="4"/>
  <c r="I332" i="4"/>
  <c r="J332" i="4"/>
  <c r="K332" i="4"/>
  <c r="B333" i="4"/>
  <c r="C333" i="4"/>
  <c r="D333" i="4"/>
  <c r="E333" i="4"/>
  <c r="F333" i="4"/>
  <c r="G333" i="4"/>
  <c r="H333" i="4"/>
  <c r="I333" i="4"/>
  <c r="J333" i="4"/>
  <c r="K333" i="4"/>
  <c r="B334" i="4"/>
  <c r="C334" i="4"/>
  <c r="D334" i="4"/>
  <c r="E334" i="4"/>
  <c r="F334" i="4"/>
  <c r="G334" i="4"/>
  <c r="H334" i="4"/>
  <c r="I334" i="4"/>
  <c r="J334" i="4"/>
  <c r="K334" i="4"/>
  <c r="B335" i="4"/>
  <c r="C335" i="4"/>
  <c r="D335" i="4"/>
  <c r="E335" i="4"/>
  <c r="F335" i="4"/>
  <c r="G335" i="4"/>
  <c r="H335" i="4"/>
  <c r="I335" i="4"/>
  <c r="J335" i="4"/>
  <c r="K335" i="4"/>
  <c r="B336" i="4"/>
  <c r="C336" i="4"/>
  <c r="D336" i="4"/>
  <c r="E336" i="4"/>
  <c r="F336" i="4"/>
  <c r="G336" i="4"/>
  <c r="H336" i="4"/>
  <c r="I336" i="4"/>
  <c r="J336" i="4"/>
  <c r="K336" i="4"/>
  <c r="B337" i="4"/>
  <c r="C337" i="4"/>
  <c r="D337" i="4"/>
  <c r="E337" i="4"/>
  <c r="F337" i="4"/>
  <c r="G337" i="4"/>
  <c r="H337" i="4"/>
  <c r="I337" i="4"/>
  <c r="J337" i="4"/>
  <c r="K337" i="4"/>
  <c r="B338" i="4"/>
  <c r="C338" i="4"/>
  <c r="D338" i="4"/>
  <c r="E338" i="4"/>
  <c r="F338" i="4"/>
  <c r="G338" i="4"/>
  <c r="H338" i="4"/>
  <c r="I338" i="4"/>
  <c r="J338" i="4"/>
  <c r="K338" i="4"/>
  <c r="B339" i="4"/>
  <c r="C339" i="4"/>
  <c r="D339" i="4"/>
  <c r="E339" i="4"/>
  <c r="F339" i="4"/>
  <c r="G339" i="4"/>
  <c r="H339" i="4"/>
  <c r="I339" i="4"/>
  <c r="J339" i="4"/>
  <c r="K339" i="4"/>
  <c r="B340" i="4"/>
  <c r="C340" i="4"/>
  <c r="D340" i="4"/>
  <c r="E340" i="4"/>
  <c r="F340" i="4"/>
  <c r="G340" i="4"/>
  <c r="H340" i="4"/>
  <c r="I340" i="4"/>
  <c r="J340" i="4"/>
  <c r="K340" i="4"/>
  <c r="B341" i="4"/>
  <c r="C341" i="4"/>
  <c r="D341" i="4"/>
  <c r="E341" i="4"/>
  <c r="F341" i="4"/>
  <c r="G341" i="4"/>
  <c r="H341" i="4"/>
  <c r="I341" i="4"/>
  <c r="J341" i="4"/>
  <c r="K341" i="4"/>
  <c r="B342" i="4"/>
  <c r="C342" i="4"/>
  <c r="D342" i="4"/>
  <c r="E342" i="4"/>
  <c r="F342" i="4"/>
  <c r="G342" i="4"/>
  <c r="H342" i="4"/>
  <c r="I342" i="4"/>
  <c r="J342" i="4"/>
  <c r="K342" i="4"/>
  <c r="B343" i="4"/>
  <c r="C343" i="4"/>
  <c r="D343" i="4"/>
  <c r="E343" i="4"/>
  <c r="F343" i="4"/>
  <c r="G343" i="4"/>
  <c r="H343" i="4"/>
  <c r="I343" i="4"/>
  <c r="J343" i="4"/>
  <c r="K343" i="4"/>
  <c r="B344" i="4"/>
  <c r="C344" i="4"/>
  <c r="D344" i="4"/>
  <c r="E344" i="4"/>
  <c r="F344" i="4"/>
  <c r="G344" i="4"/>
  <c r="H344" i="4"/>
  <c r="I344" i="4"/>
  <c r="J344" i="4"/>
  <c r="K344" i="4"/>
  <c r="B345" i="4"/>
  <c r="C345" i="4"/>
  <c r="D345" i="4"/>
  <c r="E345" i="4"/>
  <c r="F345" i="4"/>
  <c r="G345" i="4"/>
  <c r="H345" i="4"/>
  <c r="I345" i="4"/>
  <c r="J345" i="4"/>
  <c r="K345" i="4"/>
  <c r="B346" i="4"/>
  <c r="C346" i="4"/>
  <c r="D346" i="4"/>
  <c r="E346" i="4"/>
  <c r="F346" i="4"/>
  <c r="G346" i="4"/>
  <c r="H346" i="4"/>
  <c r="I346" i="4"/>
  <c r="J346" i="4"/>
  <c r="K346" i="4"/>
  <c r="B347" i="4"/>
  <c r="C347" i="4"/>
  <c r="D347" i="4"/>
  <c r="E347" i="4"/>
  <c r="F347" i="4"/>
  <c r="G347" i="4"/>
  <c r="H347" i="4"/>
  <c r="I347" i="4"/>
  <c r="J347" i="4"/>
  <c r="K347" i="4"/>
  <c r="B348" i="4"/>
  <c r="C348" i="4"/>
  <c r="D348" i="4"/>
  <c r="E348" i="4"/>
  <c r="F348" i="4"/>
  <c r="G348" i="4"/>
  <c r="H348" i="4"/>
  <c r="I348" i="4"/>
  <c r="J348" i="4"/>
  <c r="K348" i="4"/>
  <c r="B349" i="4"/>
  <c r="C349" i="4"/>
  <c r="D349" i="4"/>
  <c r="E349" i="4"/>
  <c r="F349" i="4"/>
  <c r="G349" i="4"/>
  <c r="H349" i="4"/>
  <c r="I349" i="4"/>
  <c r="J349" i="4"/>
  <c r="K349" i="4"/>
  <c r="B350" i="4"/>
  <c r="C350" i="4"/>
  <c r="D350" i="4"/>
  <c r="E350" i="4"/>
  <c r="F350" i="4"/>
  <c r="G350" i="4"/>
  <c r="H350" i="4"/>
  <c r="I350" i="4"/>
  <c r="J350" i="4"/>
  <c r="K350" i="4"/>
  <c r="B351" i="4"/>
  <c r="C351" i="4"/>
  <c r="D351" i="4"/>
  <c r="E351" i="4"/>
  <c r="F351" i="4"/>
  <c r="G351" i="4"/>
  <c r="H351" i="4"/>
  <c r="I351" i="4"/>
  <c r="J351" i="4"/>
  <c r="K351" i="4"/>
  <c r="B352" i="4"/>
  <c r="C352" i="4"/>
  <c r="D352" i="4"/>
  <c r="E352" i="4"/>
  <c r="F352" i="4"/>
  <c r="G352" i="4"/>
  <c r="H352" i="4"/>
  <c r="I352" i="4"/>
  <c r="J352" i="4"/>
  <c r="K352" i="4"/>
  <c r="B353" i="4"/>
  <c r="C353" i="4"/>
  <c r="D353" i="4"/>
  <c r="E353" i="4"/>
  <c r="F353" i="4"/>
  <c r="G353" i="4"/>
  <c r="H353" i="4"/>
  <c r="I353" i="4"/>
  <c r="J353" i="4"/>
  <c r="K353" i="4"/>
  <c r="B354" i="4"/>
  <c r="C354" i="4"/>
  <c r="D354" i="4"/>
  <c r="E354" i="4"/>
  <c r="F354" i="4"/>
  <c r="G354" i="4"/>
  <c r="H354" i="4"/>
  <c r="I354" i="4"/>
  <c r="J354" i="4"/>
  <c r="K354" i="4"/>
  <c r="B355" i="4"/>
  <c r="C355" i="4"/>
  <c r="D355" i="4"/>
  <c r="E355" i="4"/>
  <c r="F355" i="4"/>
  <c r="G355" i="4"/>
  <c r="H355" i="4"/>
  <c r="I355" i="4"/>
  <c r="J355" i="4"/>
  <c r="K355" i="4"/>
  <c r="B356" i="4"/>
  <c r="C356" i="4"/>
  <c r="D356" i="4"/>
  <c r="E356" i="4"/>
  <c r="F356" i="4"/>
  <c r="G356" i="4"/>
  <c r="H356" i="4"/>
  <c r="I356" i="4"/>
  <c r="J356" i="4"/>
  <c r="K356" i="4"/>
  <c r="B357" i="4"/>
  <c r="C357" i="4"/>
  <c r="D357" i="4"/>
  <c r="E357" i="4"/>
  <c r="F357" i="4"/>
  <c r="G357" i="4"/>
  <c r="H357" i="4"/>
  <c r="I357" i="4"/>
  <c r="J357" i="4"/>
  <c r="K357" i="4"/>
  <c r="B358" i="4"/>
  <c r="C358" i="4"/>
  <c r="D358" i="4"/>
  <c r="E358" i="4"/>
  <c r="F358" i="4"/>
  <c r="G358" i="4"/>
  <c r="H358" i="4"/>
  <c r="I358" i="4"/>
  <c r="J358" i="4"/>
  <c r="K358" i="4"/>
  <c r="B359" i="4"/>
  <c r="C359" i="4"/>
  <c r="D359" i="4"/>
  <c r="E359" i="4"/>
  <c r="F359" i="4"/>
  <c r="G359" i="4"/>
  <c r="H359" i="4"/>
  <c r="I359" i="4"/>
  <c r="J359" i="4"/>
  <c r="K359" i="4"/>
  <c r="B360" i="4"/>
  <c r="C360" i="4"/>
  <c r="D360" i="4"/>
  <c r="E360" i="4"/>
  <c r="F360" i="4"/>
  <c r="G360" i="4"/>
  <c r="H360" i="4"/>
  <c r="I360" i="4"/>
  <c r="J360" i="4"/>
  <c r="K360" i="4"/>
  <c r="B361" i="4"/>
  <c r="C361" i="4"/>
  <c r="D361" i="4"/>
  <c r="E361" i="4"/>
  <c r="F361" i="4"/>
  <c r="G361" i="4"/>
  <c r="H361" i="4"/>
  <c r="I361" i="4"/>
  <c r="J361" i="4"/>
  <c r="K361" i="4"/>
  <c r="B362" i="4"/>
  <c r="C362" i="4"/>
  <c r="D362" i="4"/>
  <c r="E362" i="4"/>
  <c r="F362" i="4"/>
  <c r="G362" i="4"/>
  <c r="H362" i="4"/>
  <c r="I362" i="4"/>
  <c r="J362" i="4"/>
  <c r="K362" i="4"/>
  <c r="B363" i="4"/>
  <c r="C363" i="4"/>
  <c r="D363" i="4"/>
  <c r="E363" i="4"/>
  <c r="F363" i="4"/>
  <c r="G363" i="4"/>
  <c r="H363" i="4"/>
  <c r="I363" i="4"/>
  <c r="J363" i="4"/>
  <c r="K363" i="4"/>
  <c r="B364" i="4"/>
  <c r="C364" i="4"/>
  <c r="D364" i="4"/>
  <c r="E364" i="4"/>
  <c r="F364" i="4"/>
  <c r="G364" i="4"/>
  <c r="H364" i="4"/>
  <c r="I364" i="4"/>
  <c r="J364" i="4"/>
  <c r="K364" i="4"/>
  <c r="B365" i="4"/>
  <c r="C365" i="4"/>
  <c r="D365" i="4"/>
  <c r="E365" i="4"/>
  <c r="F365" i="4"/>
  <c r="G365" i="4"/>
  <c r="H365" i="4"/>
  <c r="I365" i="4"/>
  <c r="J365" i="4"/>
  <c r="K365" i="4"/>
  <c r="B366" i="4"/>
  <c r="C366" i="4"/>
  <c r="D366" i="4"/>
  <c r="E366" i="4"/>
  <c r="F366" i="4"/>
  <c r="G366" i="4"/>
  <c r="H366" i="4"/>
  <c r="I366" i="4"/>
  <c r="J366" i="4"/>
  <c r="K366" i="4"/>
  <c r="B367" i="4"/>
  <c r="C367" i="4"/>
  <c r="D367" i="4"/>
  <c r="E367" i="4"/>
  <c r="F367" i="4"/>
  <c r="G367" i="4"/>
  <c r="H367" i="4"/>
  <c r="I367" i="4"/>
  <c r="J367" i="4"/>
  <c r="K367" i="4"/>
  <c r="B368" i="4"/>
  <c r="C368" i="4"/>
  <c r="D368" i="4"/>
  <c r="E368" i="4"/>
  <c r="F368" i="4"/>
  <c r="G368" i="4"/>
  <c r="H368" i="4"/>
  <c r="I368" i="4"/>
  <c r="J368" i="4"/>
  <c r="K368" i="4"/>
  <c r="B369" i="4"/>
  <c r="C369" i="4"/>
  <c r="D369" i="4"/>
  <c r="E369" i="4"/>
  <c r="F369" i="4"/>
  <c r="G369" i="4"/>
  <c r="H369" i="4"/>
  <c r="I369" i="4"/>
  <c r="J369" i="4"/>
  <c r="K369" i="4"/>
  <c r="B370" i="4"/>
  <c r="C370" i="4"/>
  <c r="D370" i="4"/>
  <c r="E370" i="4"/>
  <c r="F370" i="4"/>
  <c r="G370" i="4"/>
  <c r="H370" i="4"/>
  <c r="I370" i="4"/>
  <c r="J370" i="4"/>
  <c r="K370" i="4"/>
  <c r="B371" i="4"/>
  <c r="C371" i="4"/>
  <c r="D371" i="4"/>
  <c r="E371" i="4"/>
  <c r="F371" i="4"/>
  <c r="G371" i="4"/>
  <c r="H371" i="4"/>
  <c r="I371" i="4"/>
  <c r="J371" i="4"/>
  <c r="K371" i="4"/>
  <c r="B372" i="4"/>
  <c r="C372" i="4"/>
  <c r="D372" i="4"/>
  <c r="E372" i="4"/>
  <c r="F372" i="4"/>
  <c r="G372" i="4"/>
  <c r="H372" i="4"/>
  <c r="I372" i="4"/>
  <c r="J372" i="4"/>
  <c r="K372" i="4"/>
  <c r="B373" i="4"/>
  <c r="C373" i="4"/>
  <c r="D373" i="4"/>
  <c r="E373" i="4"/>
  <c r="F373" i="4"/>
  <c r="G373" i="4"/>
  <c r="H373" i="4"/>
  <c r="I373" i="4"/>
  <c r="J373" i="4"/>
  <c r="K373" i="4"/>
  <c r="B374" i="4"/>
  <c r="C374" i="4"/>
  <c r="D374" i="4"/>
  <c r="E374" i="4"/>
  <c r="F374" i="4"/>
  <c r="G374" i="4"/>
  <c r="H374" i="4"/>
  <c r="I374" i="4"/>
  <c r="J374" i="4"/>
  <c r="K374" i="4"/>
  <c r="B375" i="4"/>
  <c r="C375" i="4"/>
  <c r="D375" i="4"/>
  <c r="E375" i="4"/>
  <c r="F375" i="4"/>
  <c r="G375" i="4"/>
  <c r="H375" i="4"/>
  <c r="I375" i="4"/>
  <c r="J375" i="4"/>
  <c r="K375" i="4"/>
  <c r="B376" i="4"/>
  <c r="C376" i="4"/>
  <c r="D376" i="4"/>
  <c r="E376" i="4"/>
  <c r="F376" i="4"/>
  <c r="G376" i="4"/>
  <c r="H376" i="4"/>
  <c r="I376" i="4"/>
  <c r="J376" i="4"/>
  <c r="K376" i="4"/>
  <c r="B377" i="4"/>
  <c r="C377" i="4"/>
  <c r="D377" i="4"/>
  <c r="E377" i="4"/>
  <c r="F377" i="4"/>
  <c r="G377" i="4"/>
  <c r="H377" i="4"/>
  <c r="I377" i="4"/>
  <c r="J377" i="4"/>
  <c r="K377" i="4"/>
  <c r="B378" i="4"/>
  <c r="C378" i="4"/>
  <c r="D378" i="4"/>
  <c r="E378" i="4"/>
  <c r="F378" i="4"/>
  <c r="G378" i="4"/>
  <c r="H378" i="4"/>
  <c r="I378" i="4"/>
  <c r="J378" i="4"/>
  <c r="K378" i="4"/>
  <c r="B379" i="4"/>
  <c r="C379" i="4"/>
  <c r="D379" i="4"/>
  <c r="E379" i="4"/>
  <c r="F379" i="4"/>
  <c r="G379" i="4"/>
  <c r="H379" i="4"/>
  <c r="I379" i="4"/>
  <c r="J379" i="4"/>
  <c r="K379" i="4"/>
  <c r="B380" i="4"/>
  <c r="C380" i="4"/>
  <c r="D380" i="4"/>
  <c r="E380" i="4"/>
  <c r="F380" i="4"/>
  <c r="G380" i="4"/>
  <c r="H380" i="4"/>
  <c r="I380" i="4"/>
  <c r="J380" i="4"/>
  <c r="K380" i="4"/>
  <c r="B381" i="4"/>
  <c r="C381" i="4"/>
  <c r="D381" i="4"/>
  <c r="E381" i="4"/>
  <c r="F381" i="4"/>
  <c r="G381" i="4"/>
  <c r="H381" i="4"/>
  <c r="I381" i="4"/>
  <c r="J381" i="4"/>
  <c r="K381" i="4"/>
  <c r="B382" i="4"/>
  <c r="C382" i="4"/>
  <c r="D382" i="4"/>
  <c r="E382" i="4"/>
  <c r="F382" i="4"/>
  <c r="G382" i="4"/>
  <c r="H382" i="4"/>
  <c r="I382" i="4"/>
  <c r="J382" i="4"/>
  <c r="K382" i="4"/>
  <c r="B383" i="4"/>
  <c r="C383" i="4"/>
  <c r="D383" i="4"/>
  <c r="E383" i="4"/>
  <c r="F383" i="4"/>
  <c r="G383" i="4"/>
  <c r="H383" i="4"/>
  <c r="I383" i="4"/>
  <c r="J383" i="4"/>
  <c r="K383" i="4"/>
  <c r="B384" i="4"/>
  <c r="C384" i="4"/>
  <c r="D384" i="4"/>
  <c r="E384" i="4"/>
  <c r="F384" i="4"/>
  <c r="G384" i="4"/>
  <c r="H384" i="4"/>
  <c r="I384" i="4"/>
  <c r="J384" i="4"/>
  <c r="K384" i="4"/>
  <c r="B385" i="4"/>
  <c r="C385" i="4"/>
  <c r="D385" i="4"/>
  <c r="E385" i="4"/>
  <c r="F385" i="4"/>
  <c r="G385" i="4"/>
  <c r="H385" i="4"/>
  <c r="I385" i="4"/>
  <c r="J385" i="4"/>
  <c r="K385" i="4"/>
  <c r="B386" i="4"/>
  <c r="C386" i="4"/>
  <c r="D386" i="4"/>
  <c r="E386" i="4"/>
  <c r="F386" i="4"/>
  <c r="G386" i="4"/>
  <c r="H386" i="4"/>
  <c r="I386" i="4"/>
  <c r="J386" i="4"/>
  <c r="K386" i="4"/>
  <c r="B387" i="4"/>
  <c r="C387" i="4"/>
  <c r="D387" i="4"/>
  <c r="E387" i="4"/>
  <c r="F387" i="4"/>
  <c r="G387" i="4"/>
  <c r="H387" i="4"/>
  <c r="I387" i="4"/>
  <c r="J387" i="4"/>
  <c r="K387" i="4"/>
  <c r="B388" i="4"/>
  <c r="C388" i="4"/>
  <c r="D388" i="4"/>
  <c r="E388" i="4"/>
  <c r="F388" i="4"/>
  <c r="G388" i="4"/>
  <c r="H388" i="4"/>
  <c r="I388" i="4"/>
  <c r="J388" i="4"/>
  <c r="K388" i="4"/>
  <c r="B389" i="4"/>
  <c r="C389" i="4"/>
  <c r="D389" i="4"/>
  <c r="E389" i="4"/>
  <c r="F389" i="4"/>
  <c r="G389" i="4"/>
  <c r="H389" i="4"/>
  <c r="I389" i="4"/>
  <c r="J389" i="4"/>
  <c r="K389" i="4"/>
  <c r="B390" i="4"/>
  <c r="C390" i="4"/>
  <c r="D390" i="4"/>
  <c r="E390" i="4"/>
  <c r="F390" i="4"/>
  <c r="G390" i="4"/>
  <c r="H390" i="4"/>
  <c r="I390" i="4"/>
  <c r="J390" i="4"/>
  <c r="K390" i="4"/>
  <c r="B391" i="4"/>
  <c r="C391" i="4"/>
  <c r="D391" i="4"/>
  <c r="E391" i="4"/>
  <c r="F391" i="4"/>
  <c r="G391" i="4"/>
  <c r="H391" i="4"/>
  <c r="I391" i="4"/>
  <c r="J391" i="4"/>
  <c r="K391" i="4"/>
  <c r="B392" i="4"/>
  <c r="C392" i="4"/>
  <c r="D392" i="4"/>
  <c r="E392" i="4"/>
  <c r="F392" i="4"/>
  <c r="G392" i="4"/>
  <c r="H392" i="4"/>
  <c r="I392" i="4"/>
  <c r="J392" i="4"/>
  <c r="K392" i="4"/>
  <c r="B393" i="4"/>
  <c r="C393" i="4"/>
  <c r="D393" i="4"/>
  <c r="E393" i="4"/>
  <c r="F393" i="4"/>
  <c r="G393" i="4"/>
  <c r="H393" i="4"/>
  <c r="I393" i="4"/>
  <c r="J393" i="4"/>
  <c r="K393" i="4"/>
  <c r="B394" i="4"/>
  <c r="C394" i="4"/>
  <c r="D394" i="4"/>
  <c r="E394" i="4"/>
  <c r="F394" i="4"/>
  <c r="G394" i="4"/>
  <c r="H394" i="4"/>
  <c r="I394" i="4"/>
  <c r="J394" i="4"/>
  <c r="K394" i="4"/>
  <c r="B395" i="4"/>
  <c r="C395" i="4"/>
  <c r="D395" i="4"/>
  <c r="E395" i="4"/>
  <c r="F395" i="4"/>
  <c r="G395" i="4"/>
  <c r="H395" i="4"/>
  <c r="I395" i="4"/>
  <c r="J395" i="4"/>
  <c r="K395" i="4"/>
  <c r="B396" i="4"/>
  <c r="C396" i="4"/>
  <c r="D396" i="4"/>
  <c r="E396" i="4"/>
  <c r="F396" i="4"/>
  <c r="G396" i="4"/>
  <c r="H396" i="4"/>
  <c r="I396" i="4"/>
  <c r="J396" i="4"/>
  <c r="K396" i="4"/>
  <c r="B397" i="4"/>
  <c r="C397" i="4"/>
  <c r="D397" i="4"/>
  <c r="E397" i="4"/>
  <c r="F397" i="4"/>
  <c r="G397" i="4"/>
  <c r="H397" i="4"/>
  <c r="I397" i="4"/>
  <c r="J397" i="4"/>
  <c r="K397" i="4"/>
  <c r="B398" i="4"/>
  <c r="C398" i="4"/>
  <c r="D398" i="4"/>
  <c r="E398" i="4"/>
  <c r="F398" i="4"/>
  <c r="G398" i="4"/>
  <c r="H398" i="4"/>
  <c r="I398" i="4"/>
  <c r="J398" i="4"/>
  <c r="K398" i="4"/>
  <c r="B399" i="4"/>
  <c r="C399" i="4"/>
  <c r="D399" i="4"/>
  <c r="E399" i="4"/>
  <c r="F399" i="4"/>
  <c r="G399" i="4"/>
  <c r="H399" i="4"/>
  <c r="I399" i="4"/>
  <c r="J399" i="4"/>
  <c r="K399" i="4"/>
  <c r="B400" i="4"/>
  <c r="C400" i="4"/>
  <c r="D400" i="4"/>
  <c r="E400" i="4"/>
  <c r="F400" i="4"/>
  <c r="G400" i="4"/>
  <c r="H400" i="4"/>
  <c r="I400" i="4"/>
  <c r="J400" i="4"/>
  <c r="K400" i="4"/>
  <c r="B401" i="4"/>
  <c r="C401" i="4"/>
  <c r="D401" i="4"/>
  <c r="E401" i="4"/>
  <c r="F401" i="4"/>
  <c r="G401" i="4"/>
  <c r="H401" i="4"/>
  <c r="I401" i="4"/>
  <c r="J401" i="4"/>
  <c r="K401" i="4"/>
  <c r="B402" i="4"/>
  <c r="C402" i="4"/>
  <c r="D402" i="4"/>
  <c r="E402" i="4"/>
  <c r="F402" i="4"/>
  <c r="G402" i="4"/>
  <c r="H402" i="4"/>
  <c r="I402" i="4"/>
  <c r="J402" i="4"/>
  <c r="K402" i="4"/>
  <c r="B403" i="4"/>
  <c r="C403" i="4"/>
  <c r="D403" i="4"/>
  <c r="E403" i="4"/>
  <c r="F403" i="4"/>
  <c r="G403" i="4"/>
  <c r="H403" i="4"/>
  <c r="I403" i="4"/>
  <c r="J403" i="4"/>
  <c r="K403" i="4"/>
  <c r="B404" i="4"/>
  <c r="C404" i="4"/>
  <c r="D404" i="4"/>
  <c r="E404" i="4"/>
  <c r="F404" i="4"/>
  <c r="G404" i="4"/>
  <c r="H404" i="4"/>
  <c r="I404" i="4"/>
  <c r="J404" i="4"/>
  <c r="K404" i="4"/>
  <c r="B405" i="4"/>
  <c r="C405" i="4"/>
  <c r="D405" i="4"/>
  <c r="E405" i="4"/>
  <c r="F405" i="4"/>
  <c r="G405" i="4"/>
  <c r="H405" i="4"/>
  <c r="I405" i="4"/>
  <c r="J405" i="4"/>
  <c r="K405" i="4"/>
  <c r="B406" i="4"/>
  <c r="C406" i="4"/>
  <c r="D406" i="4"/>
  <c r="E406" i="4"/>
  <c r="F406" i="4"/>
  <c r="G406" i="4"/>
  <c r="H406" i="4"/>
  <c r="I406" i="4"/>
  <c r="J406" i="4"/>
  <c r="K406" i="4"/>
  <c r="B407" i="4"/>
  <c r="C407" i="4"/>
  <c r="D407" i="4"/>
  <c r="E407" i="4"/>
  <c r="F407" i="4"/>
  <c r="G407" i="4"/>
  <c r="H407" i="4"/>
  <c r="I407" i="4"/>
  <c r="J407" i="4"/>
  <c r="K407" i="4"/>
  <c r="B408" i="4"/>
  <c r="C408" i="4"/>
  <c r="D408" i="4"/>
  <c r="E408" i="4"/>
  <c r="F408" i="4"/>
  <c r="G408" i="4"/>
  <c r="H408" i="4"/>
  <c r="I408" i="4"/>
  <c r="J408" i="4"/>
  <c r="K408" i="4"/>
  <c r="B409" i="4"/>
  <c r="C409" i="4"/>
  <c r="D409" i="4"/>
  <c r="E409" i="4"/>
  <c r="F409" i="4"/>
  <c r="G409" i="4"/>
  <c r="H409" i="4"/>
  <c r="I409" i="4"/>
  <c r="J409" i="4"/>
  <c r="K409" i="4"/>
  <c r="B410" i="4"/>
  <c r="C410" i="4"/>
  <c r="D410" i="4"/>
  <c r="E410" i="4"/>
  <c r="F410" i="4"/>
  <c r="G410" i="4"/>
  <c r="H410" i="4"/>
  <c r="I410" i="4"/>
  <c r="J410" i="4"/>
  <c r="K410" i="4"/>
  <c r="B411" i="4"/>
  <c r="C411" i="4"/>
  <c r="D411" i="4"/>
  <c r="E411" i="4"/>
  <c r="F411" i="4"/>
  <c r="G411" i="4"/>
  <c r="H411" i="4"/>
  <c r="I411" i="4"/>
  <c r="J411" i="4"/>
  <c r="K411" i="4"/>
  <c r="B412" i="4"/>
  <c r="C412" i="4"/>
  <c r="D412" i="4"/>
  <c r="E412" i="4"/>
  <c r="F412" i="4"/>
  <c r="G412" i="4"/>
  <c r="H412" i="4"/>
  <c r="I412" i="4"/>
  <c r="J412" i="4"/>
  <c r="K412" i="4"/>
  <c r="B413" i="4"/>
  <c r="C413" i="4"/>
  <c r="D413" i="4"/>
  <c r="E413" i="4"/>
  <c r="F413" i="4"/>
  <c r="G413" i="4"/>
  <c r="H413" i="4"/>
  <c r="I413" i="4"/>
  <c r="J413" i="4"/>
  <c r="K413" i="4"/>
  <c r="B414" i="4"/>
  <c r="C414" i="4"/>
  <c r="D414" i="4"/>
  <c r="E414" i="4"/>
  <c r="F414" i="4"/>
  <c r="G414" i="4"/>
  <c r="H414" i="4"/>
  <c r="I414" i="4"/>
  <c r="J414" i="4"/>
  <c r="K414" i="4"/>
  <c r="B415" i="4"/>
  <c r="C415" i="4"/>
  <c r="D415" i="4"/>
  <c r="E415" i="4"/>
  <c r="F415" i="4"/>
  <c r="G415" i="4"/>
  <c r="H415" i="4"/>
  <c r="I415" i="4"/>
  <c r="J415" i="4"/>
  <c r="K415" i="4"/>
  <c r="B416" i="4"/>
  <c r="C416" i="4"/>
  <c r="D416" i="4"/>
  <c r="E416" i="4"/>
  <c r="F416" i="4"/>
  <c r="G416" i="4"/>
  <c r="H416" i="4"/>
  <c r="I416" i="4"/>
  <c r="J416" i="4"/>
  <c r="K416" i="4"/>
  <c r="B417" i="4"/>
  <c r="C417" i="4"/>
  <c r="D417" i="4"/>
  <c r="E417" i="4"/>
  <c r="F417" i="4"/>
  <c r="G417" i="4"/>
  <c r="H417" i="4"/>
  <c r="I417" i="4"/>
  <c r="J417" i="4"/>
  <c r="K417" i="4"/>
  <c r="B418" i="4"/>
  <c r="C418" i="4"/>
  <c r="D418" i="4"/>
  <c r="E418" i="4"/>
  <c r="F418" i="4"/>
  <c r="G418" i="4"/>
  <c r="H418" i="4"/>
  <c r="I418" i="4"/>
  <c r="J418" i="4"/>
  <c r="K418" i="4"/>
  <c r="B419" i="4"/>
  <c r="C419" i="4"/>
  <c r="D419" i="4"/>
  <c r="E419" i="4"/>
  <c r="F419" i="4"/>
  <c r="G419" i="4"/>
  <c r="H419" i="4"/>
  <c r="I419" i="4"/>
  <c r="J419" i="4"/>
  <c r="K419" i="4"/>
  <c r="B420" i="4"/>
  <c r="C420" i="4"/>
  <c r="D420" i="4"/>
  <c r="E420" i="4"/>
  <c r="F420" i="4"/>
  <c r="G420" i="4"/>
  <c r="H420" i="4"/>
  <c r="I420" i="4"/>
  <c r="J420" i="4"/>
  <c r="K420" i="4"/>
  <c r="B421" i="4"/>
  <c r="C421" i="4"/>
  <c r="D421" i="4"/>
  <c r="E421" i="4"/>
  <c r="F421" i="4"/>
  <c r="G421" i="4"/>
  <c r="H421" i="4"/>
  <c r="I421" i="4"/>
  <c r="J421" i="4"/>
  <c r="K421" i="4"/>
  <c r="B422" i="4"/>
  <c r="C422" i="4"/>
  <c r="D422" i="4"/>
  <c r="E422" i="4"/>
  <c r="F422" i="4"/>
  <c r="G422" i="4"/>
  <c r="H422" i="4"/>
  <c r="I422" i="4"/>
  <c r="J422" i="4"/>
  <c r="K422" i="4"/>
  <c r="B423" i="4"/>
  <c r="C423" i="4"/>
  <c r="D423" i="4"/>
  <c r="E423" i="4"/>
  <c r="F423" i="4"/>
  <c r="G423" i="4"/>
  <c r="H423" i="4"/>
  <c r="I423" i="4"/>
  <c r="J423" i="4"/>
  <c r="K423" i="4"/>
  <c r="B424" i="4"/>
  <c r="C424" i="4"/>
  <c r="D424" i="4"/>
  <c r="E424" i="4"/>
  <c r="F424" i="4"/>
  <c r="G424" i="4"/>
  <c r="H424" i="4"/>
  <c r="I424" i="4"/>
  <c r="J424" i="4"/>
  <c r="K424" i="4"/>
  <c r="B425" i="4"/>
  <c r="C425" i="4"/>
  <c r="D425" i="4"/>
  <c r="E425" i="4"/>
  <c r="F425" i="4"/>
  <c r="G425" i="4"/>
  <c r="H425" i="4"/>
  <c r="I425" i="4"/>
  <c r="J425" i="4"/>
  <c r="K425" i="4"/>
  <c r="B426" i="4"/>
  <c r="C426" i="4"/>
  <c r="D426" i="4"/>
  <c r="E426" i="4"/>
  <c r="F426" i="4"/>
  <c r="G426" i="4"/>
  <c r="H426" i="4"/>
  <c r="I426" i="4"/>
  <c r="J426" i="4"/>
  <c r="K426" i="4"/>
  <c r="B427" i="4"/>
  <c r="C427" i="4"/>
  <c r="D427" i="4"/>
  <c r="E427" i="4"/>
  <c r="F427" i="4"/>
  <c r="G427" i="4"/>
  <c r="H427" i="4"/>
  <c r="I427" i="4"/>
  <c r="J427" i="4"/>
  <c r="K427" i="4"/>
  <c r="B428" i="4"/>
  <c r="C428" i="4"/>
  <c r="D428" i="4"/>
  <c r="E428" i="4"/>
  <c r="F428" i="4"/>
  <c r="G428" i="4"/>
  <c r="H428" i="4"/>
  <c r="I428" i="4"/>
  <c r="J428" i="4"/>
  <c r="K428" i="4"/>
  <c r="B429" i="4"/>
  <c r="C429" i="4"/>
  <c r="D429" i="4"/>
  <c r="E429" i="4"/>
  <c r="F429" i="4"/>
  <c r="G429" i="4"/>
  <c r="H429" i="4"/>
  <c r="I429" i="4"/>
  <c r="J429" i="4"/>
  <c r="K429" i="4"/>
  <c r="B430" i="4"/>
  <c r="C430" i="4"/>
  <c r="D430" i="4"/>
  <c r="E430" i="4"/>
  <c r="F430" i="4"/>
  <c r="G430" i="4"/>
  <c r="H430" i="4"/>
  <c r="I430" i="4"/>
  <c r="J430" i="4"/>
  <c r="K430" i="4"/>
  <c r="B431" i="4"/>
  <c r="C431" i="4"/>
  <c r="D431" i="4"/>
  <c r="E431" i="4"/>
  <c r="F431" i="4"/>
  <c r="G431" i="4"/>
  <c r="H431" i="4"/>
  <c r="I431" i="4"/>
  <c r="J431" i="4"/>
  <c r="K431" i="4"/>
  <c r="B432" i="4"/>
  <c r="C432" i="4"/>
  <c r="D432" i="4"/>
  <c r="E432" i="4"/>
  <c r="F432" i="4"/>
  <c r="G432" i="4"/>
  <c r="H432" i="4"/>
  <c r="I432" i="4"/>
  <c r="J432" i="4"/>
  <c r="K432" i="4"/>
  <c r="B433" i="4"/>
  <c r="C433" i="4"/>
  <c r="D433" i="4"/>
  <c r="E433" i="4"/>
  <c r="F433" i="4"/>
  <c r="G433" i="4"/>
  <c r="H433" i="4"/>
  <c r="I433" i="4"/>
  <c r="J433" i="4"/>
  <c r="K433" i="4"/>
  <c r="B434" i="4"/>
  <c r="C434" i="4"/>
  <c r="D434" i="4"/>
  <c r="E434" i="4"/>
  <c r="F434" i="4"/>
  <c r="G434" i="4"/>
  <c r="H434" i="4"/>
  <c r="I434" i="4"/>
  <c r="J434" i="4"/>
  <c r="K434" i="4"/>
  <c r="B435" i="4"/>
  <c r="C435" i="4"/>
  <c r="D435" i="4"/>
  <c r="E435" i="4"/>
  <c r="F435" i="4"/>
  <c r="G435" i="4"/>
  <c r="H435" i="4"/>
  <c r="I435" i="4"/>
  <c r="J435" i="4"/>
  <c r="K435" i="4"/>
  <c r="B436" i="4"/>
  <c r="C436" i="4"/>
  <c r="D436" i="4"/>
  <c r="E436" i="4"/>
  <c r="F436" i="4"/>
  <c r="G436" i="4"/>
  <c r="H436" i="4"/>
  <c r="I436" i="4"/>
  <c r="J436" i="4"/>
  <c r="K436" i="4"/>
  <c r="B437" i="4"/>
  <c r="C437" i="4"/>
  <c r="D437" i="4"/>
  <c r="E437" i="4"/>
  <c r="F437" i="4"/>
  <c r="G437" i="4"/>
  <c r="H437" i="4"/>
  <c r="I437" i="4"/>
  <c r="J437" i="4"/>
  <c r="K437" i="4"/>
  <c r="B438" i="4"/>
  <c r="C438" i="4"/>
  <c r="D438" i="4"/>
  <c r="E438" i="4"/>
  <c r="F438" i="4"/>
  <c r="G438" i="4"/>
  <c r="H438" i="4"/>
  <c r="I438" i="4"/>
  <c r="J438" i="4"/>
  <c r="K438" i="4"/>
  <c r="B439" i="4"/>
  <c r="C439" i="4"/>
  <c r="D439" i="4"/>
  <c r="E439" i="4"/>
  <c r="F439" i="4"/>
  <c r="G439" i="4"/>
  <c r="H439" i="4"/>
  <c r="I439" i="4"/>
  <c r="J439" i="4"/>
  <c r="K439" i="4"/>
  <c r="B440" i="4"/>
  <c r="C440" i="4"/>
  <c r="D440" i="4"/>
  <c r="E440" i="4"/>
  <c r="F440" i="4"/>
  <c r="G440" i="4"/>
  <c r="H440" i="4"/>
  <c r="I440" i="4"/>
  <c r="J440" i="4"/>
  <c r="K440" i="4"/>
  <c r="B441" i="4"/>
  <c r="C441" i="4"/>
  <c r="D441" i="4"/>
  <c r="E441" i="4"/>
  <c r="F441" i="4"/>
  <c r="G441" i="4"/>
  <c r="H441" i="4"/>
  <c r="I441" i="4"/>
  <c r="J441" i="4"/>
  <c r="K441" i="4"/>
  <c r="B442" i="4"/>
  <c r="C442" i="4"/>
  <c r="D442" i="4"/>
  <c r="E442" i="4"/>
  <c r="F442" i="4"/>
  <c r="G442" i="4"/>
  <c r="H442" i="4"/>
  <c r="I442" i="4"/>
  <c r="J442" i="4"/>
  <c r="K442" i="4"/>
  <c r="B443" i="4"/>
  <c r="C443" i="4"/>
  <c r="D443" i="4"/>
  <c r="E443" i="4"/>
  <c r="F443" i="4"/>
  <c r="G443" i="4"/>
  <c r="H443" i="4"/>
  <c r="I443" i="4"/>
  <c r="J443" i="4"/>
  <c r="K443" i="4"/>
  <c r="B444" i="4"/>
  <c r="C444" i="4"/>
  <c r="D444" i="4"/>
  <c r="E444" i="4"/>
  <c r="F444" i="4"/>
  <c r="G444" i="4"/>
  <c r="H444" i="4"/>
  <c r="I444" i="4"/>
  <c r="J444" i="4"/>
  <c r="K444" i="4"/>
  <c r="B445" i="4"/>
  <c r="C445" i="4"/>
  <c r="D445" i="4"/>
  <c r="E445" i="4"/>
  <c r="F445" i="4"/>
  <c r="G445" i="4"/>
  <c r="H445" i="4"/>
  <c r="I445" i="4"/>
  <c r="J445" i="4"/>
  <c r="K445" i="4"/>
  <c r="B446" i="4"/>
  <c r="C446" i="4"/>
  <c r="D446" i="4"/>
  <c r="E446" i="4"/>
  <c r="F446" i="4"/>
  <c r="G446" i="4"/>
  <c r="H446" i="4"/>
  <c r="I446" i="4"/>
  <c r="J446" i="4"/>
  <c r="K446" i="4"/>
  <c r="B447" i="4"/>
  <c r="C447" i="4"/>
  <c r="D447" i="4"/>
  <c r="E447" i="4"/>
  <c r="F447" i="4"/>
  <c r="G447" i="4"/>
  <c r="H447" i="4"/>
  <c r="I447" i="4"/>
  <c r="J447" i="4"/>
  <c r="K447" i="4"/>
  <c r="B448" i="4"/>
  <c r="C448" i="4"/>
  <c r="D448" i="4"/>
  <c r="E448" i="4"/>
  <c r="F448" i="4"/>
  <c r="G448" i="4"/>
  <c r="H448" i="4"/>
  <c r="I448" i="4"/>
  <c r="J448" i="4"/>
  <c r="K448" i="4"/>
  <c r="B449" i="4"/>
  <c r="C449" i="4"/>
  <c r="D449" i="4"/>
  <c r="E449" i="4"/>
  <c r="F449" i="4"/>
  <c r="G449" i="4"/>
  <c r="H449" i="4"/>
  <c r="I449" i="4"/>
  <c r="J449" i="4"/>
  <c r="K449" i="4"/>
  <c r="B450" i="4"/>
  <c r="C450" i="4"/>
  <c r="D450" i="4"/>
  <c r="E450" i="4"/>
  <c r="F450" i="4"/>
  <c r="G450" i="4"/>
  <c r="H450" i="4"/>
  <c r="I450" i="4"/>
  <c r="J450" i="4"/>
  <c r="K450" i="4"/>
  <c r="B451" i="4"/>
  <c r="C451" i="4"/>
  <c r="D451" i="4"/>
  <c r="E451" i="4"/>
  <c r="F451" i="4"/>
  <c r="G451" i="4"/>
  <c r="H451" i="4"/>
  <c r="I451" i="4"/>
  <c r="J451" i="4"/>
  <c r="K451" i="4"/>
  <c r="B452" i="4"/>
  <c r="C452" i="4"/>
  <c r="D452" i="4"/>
  <c r="E452" i="4"/>
  <c r="F452" i="4"/>
  <c r="G452" i="4"/>
  <c r="H452" i="4"/>
  <c r="I452" i="4"/>
  <c r="J452" i="4"/>
  <c r="K452" i="4"/>
  <c r="B453" i="4"/>
  <c r="C453" i="4"/>
  <c r="D453" i="4"/>
  <c r="E453" i="4"/>
  <c r="F453" i="4"/>
  <c r="G453" i="4"/>
  <c r="H453" i="4"/>
  <c r="I453" i="4"/>
  <c r="J453" i="4"/>
  <c r="K453" i="4"/>
  <c r="B454" i="4"/>
  <c r="C454" i="4"/>
  <c r="D454" i="4"/>
  <c r="E454" i="4"/>
  <c r="F454" i="4"/>
  <c r="G454" i="4"/>
  <c r="H454" i="4"/>
  <c r="I454" i="4"/>
  <c r="J454" i="4"/>
  <c r="K454" i="4"/>
  <c r="B455" i="4"/>
  <c r="C455" i="4"/>
  <c r="D455" i="4"/>
  <c r="E455" i="4"/>
  <c r="F455" i="4"/>
  <c r="G455" i="4"/>
  <c r="H455" i="4"/>
  <c r="I455" i="4"/>
  <c r="J455" i="4"/>
  <c r="K455" i="4"/>
  <c r="B456" i="4"/>
  <c r="C456" i="4"/>
  <c r="D456" i="4"/>
  <c r="E456" i="4"/>
  <c r="F456" i="4"/>
  <c r="G456" i="4"/>
  <c r="H456" i="4"/>
  <c r="I456" i="4"/>
  <c r="J456" i="4"/>
  <c r="K456" i="4"/>
  <c r="B457" i="4"/>
  <c r="C457" i="4"/>
  <c r="D457" i="4"/>
  <c r="E457" i="4"/>
  <c r="F457" i="4"/>
  <c r="G457" i="4"/>
  <c r="H457" i="4"/>
  <c r="I457" i="4"/>
  <c r="J457" i="4"/>
  <c r="K457" i="4"/>
  <c r="B458" i="4"/>
  <c r="C458" i="4"/>
  <c r="D458" i="4"/>
  <c r="E458" i="4"/>
  <c r="F458" i="4"/>
  <c r="G458" i="4"/>
  <c r="H458" i="4"/>
  <c r="I458" i="4"/>
  <c r="J458" i="4"/>
  <c r="K458" i="4"/>
  <c r="B459" i="4"/>
  <c r="C459" i="4"/>
  <c r="D459" i="4"/>
  <c r="E459" i="4"/>
  <c r="F459" i="4"/>
  <c r="G459" i="4"/>
  <c r="H459" i="4"/>
  <c r="I459" i="4"/>
  <c r="J459" i="4"/>
  <c r="K459" i="4"/>
  <c r="B460" i="4"/>
  <c r="C460" i="4"/>
  <c r="D460" i="4"/>
  <c r="E460" i="4"/>
  <c r="F460" i="4"/>
  <c r="G460" i="4"/>
  <c r="H460" i="4"/>
  <c r="I460" i="4"/>
  <c r="J460" i="4"/>
  <c r="K460" i="4"/>
  <c r="B461" i="4"/>
  <c r="C461" i="4"/>
  <c r="D461" i="4"/>
  <c r="E461" i="4"/>
  <c r="F461" i="4"/>
  <c r="G461" i="4"/>
  <c r="H461" i="4"/>
  <c r="I461" i="4"/>
  <c r="J461" i="4"/>
  <c r="K461" i="4"/>
  <c r="B462" i="4"/>
  <c r="C462" i="4"/>
  <c r="D462" i="4"/>
  <c r="E462" i="4"/>
  <c r="F462" i="4"/>
  <c r="G462" i="4"/>
  <c r="H462" i="4"/>
  <c r="I462" i="4"/>
  <c r="J462" i="4"/>
  <c r="K462" i="4"/>
  <c r="B463" i="4"/>
  <c r="C463" i="4"/>
  <c r="D463" i="4"/>
  <c r="E463" i="4"/>
  <c r="F463" i="4"/>
  <c r="G463" i="4"/>
  <c r="H463" i="4"/>
  <c r="I463" i="4"/>
  <c r="J463" i="4"/>
  <c r="K463" i="4"/>
  <c r="B464" i="4"/>
  <c r="C464" i="4"/>
  <c r="D464" i="4"/>
  <c r="E464" i="4"/>
  <c r="F464" i="4"/>
  <c r="G464" i="4"/>
  <c r="H464" i="4"/>
  <c r="I464" i="4"/>
  <c r="J464" i="4"/>
  <c r="K464" i="4"/>
  <c r="B465" i="4"/>
  <c r="C465" i="4"/>
  <c r="D465" i="4"/>
  <c r="E465" i="4"/>
  <c r="F465" i="4"/>
  <c r="G465" i="4"/>
  <c r="H465" i="4"/>
  <c r="I465" i="4"/>
  <c r="J465" i="4"/>
  <c r="K465" i="4"/>
  <c r="B466" i="4"/>
  <c r="C466" i="4"/>
  <c r="D466" i="4"/>
  <c r="E466" i="4"/>
  <c r="F466" i="4"/>
  <c r="G466" i="4"/>
  <c r="H466" i="4"/>
  <c r="I466" i="4"/>
  <c r="J466" i="4"/>
  <c r="K466" i="4"/>
  <c r="B467" i="4"/>
  <c r="C467" i="4"/>
  <c r="D467" i="4"/>
  <c r="E467" i="4"/>
  <c r="F467" i="4"/>
  <c r="G467" i="4"/>
  <c r="H467" i="4"/>
  <c r="I467" i="4"/>
  <c r="J467" i="4"/>
  <c r="K467" i="4"/>
  <c r="B468" i="4"/>
  <c r="C468" i="4"/>
  <c r="D468" i="4"/>
  <c r="E468" i="4"/>
  <c r="F468" i="4"/>
  <c r="G468" i="4"/>
  <c r="H468" i="4"/>
  <c r="I468" i="4"/>
  <c r="J468" i="4"/>
  <c r="K468" i="4"/>
  <c r="B469" i="4"/>
  <c r="C469" i="4"/>
  <c r="D469" i="4"/>
  <c r="E469" i="4"/>
  <c r="F469" i="4"/>
  <c r="G469" i="4"/>
  <c r="H469" i="4"/>
  <c r="I469" i="4"/>
  <c r="J469" i="4"/>
  <c r="K469" i="4"/>
  <c r="B470" i="4"/>
  <c r="C470" i="4"/>
  <c r="D470" i="4"/>
  <c r="E470" i="4"/>
  <c r="F470" i="4"/>
  <c r="G470" i="4"/>
  <c r="H470" i="4"/>
  <c r="I470" i="4"/>
  <c r="J470" i="4"/>
  <c r="K470" i="4"/>
  <c r="B471" i="4"/>
  <c r="C471" i="4"/>
  <c r="D471" i="4"/>
  <c r="E471" i="4"/>
  <c r="F471" i="4"/>
  <c r="G471" i="4"/>
  <c r="H471" i="4"/>
  <c r="I471" i="4"/>
  <c r="J471" i="4"/>
  <c r="K471" i="4"/>
  <c r="B472" i="4"/>
  <c r="C472" i="4"/>
  <c r="D472" i="4"/>
  <c r="E472" i="4"/>
  <c r="F472" i="4"/>
  <c r="G472" i="4"/>
  <c r="H472" i="4"/>
  <c r="I472" i="4"/>
  <c r="J472" i="4"/>
  <c r="K472" i="4"/>
  <c r="B473" i="4"/>
  <c r="C473" i="4"/>
  <c r="D473" i="4"/>
  <c r="E473" i="4"/>
  <c r="F473" i="4"/>
  <c r="G473" i="4"/>
  <c r="H473" i="4"/>
  <c r="I473" i="4"/>
  <c r="J473" i="4"/>
  <c r="K473" i="4"/>
  <c r="B474" i="4"/>
  <c r="C474" i="4"/>
  <c r="D474" i="4"/>
  <c r="E474" i="4"/>
  <c r="F474" i="4"/>
  <c r="G474" i="4"/>
  <c r="H474" i="4"/>
  <c r="I474" i="4"/>
  <c r="J474" i="4"/>
  <c r="K474" i="4"/>
  <c r="B475" i="4"/>
  <c r="C475" i="4"/>
  <c r="D475" i="4"/>
  <c r="E475" i="4"/>
  <c r="F475" i="4"/>
  <c r="G475" i="4"/>
  <c r="H475" i="4"/>
  <c r="I475" i="4"/>
  <c r="J475" i="4"/>
  <c r="K475" i="4"/>
  <c r="B476" i="4"/>
  <c r="C476" i="4"/>
  <c r="D476" i="4"/>
  <c r="E476" i="4"/>
  <c r="F476" i="4"/>
  <c r="G476" i="4"/>
  <c r="H476" i="4"/>
  <c r="I476" i="4"/>
  <c r="J476" i="4"/>
  <c r="K476" i="4"/>
  <c r="B477" i="4"/>
  <c r="C477" i="4"/>
  <c r="D477" i="4"/>
  <c r="E477" i="4"/>
  <c r="F477" i="4"/>
  <c r="G477" i="4"/>
  <c r="H477" i="4"/>
  <c r="I477" i="4"/>
  <c r="J477" i="4"/>
  <c r="K477" i="4"/>
  <c r="B478" i="4"/>
  <c r="C478" i="4"/>
  <c r="D478" i="4"/>
  <c r="E478" i="4"/>
  <c r="F478" i="4"/>
  <c r="G478" i="4"/>
  <c r="H478" i="4"/>
  <c r="I478" i="4"/>
  <c r="J478" i="4"/>
  <c r="K478" i="4"/>
  <c r="B479" i="4"/>
  <c r="C479" i="4"/>
  <c r="D479" i="4"/>
  <c r="E479" i="4"/>
  <c r="F479" i="4"/>
  <c r="G479" i="4"/>
  <c r="H479" i="4"/>
  <c r="I479" i="4"/>
  <c r="J479" i="4"/>
  <c r="K479" i="4"/>
  <c r="B480" i="4"/>
  <c r="C480" i="4"/>
  <c r="D480" i="4"/>
  <c r="E480" i="4"/>
  <c r="F480" i="4"/>
  <c r="G480" i="4"/>
  <c r="H480" i="4"/>
  <c r="I480" i="4"/>
  <c r="J480" i="4"/>
  <c r="K480" i="4"/>
  <c r="B481" i="4"/>
  <c r="C481" i="4"/>
  <c r="D481" i="4"/>
  <c r="E481" i="4"/>
  <c r="F481" i="4"/>
  <c r="G481" i="4"/>
  <c r="H481" i="4"/>
  <c r="I481" i="4"/>
  <c r="J481" i="4"/>
  <c r="K481" i="4"/>
  <c r="B482" i="4"/>
  <c r="C482" i="4"/>
  <c r="D482" i="4"/>
  <c r="E482" i="4"/>
  <c r="F482" i="4"/>
  <c r="G482" i="4"/>
  <c r="H482" i="4"/>
  <c r="I482" i="4"/>
  <c r="J482" i="4"/>
  <c r="K482" i="4"/>
  <c r="B483" i="4"/>
  <c r="C483" i="4"/>
  <c r="D483" i="4"/>
  <c r="E483" i="4"/>
  <c r="F483" i="4"/>
  <c r="G483" i="4"/>
  <c r="H483" i="4"/>
  <c r="I483" i="4"/>
  <c r="J483" i="4"/>
  <c r="K483" i="4"/>
  <c r="B484" i="4"/>
  <c r="C484" i="4"/>
  <c r="D484" i="4"/>
  <c r="E484" i="4"/>
  <c r="F484" i="4"/>
  <c r="G484" i="4"/>
  <c r="H484" i="4"/>
  <c r="I484" i="4"/>
  <c r="J484" i="4"/>
  <c r="K484" i="4"/>
  <c r="B485" i="4"/>
  <c r="C485" i="4"/>
  <c r="D485" i="4"/>
  <c r="E485" i="4"/>
  <c r="F485" i="4"/>
  <c r="G485" i="4"/>
  <c r="H485" i="4"/>
  <c r="I485" i="4"/>
  <c r="J485" i="4"/>
  <c r="K485" i="4"/>
  <c r="B486" i="4"/>
  <c r="C486" i="4"/>
  <c r="D486" i="4"/>
  <c r="E486" i="4"/>
  <c r="F486" i="4"/>
  <c r="G486" i="4"/>
  <c r="H486" i="4"/>
  <c r="I486" i="4"/>
  <c r="J486" i="4"/>
  <c r="K486" i="4"/>
  <c r="B487" i="4"/>
  <c r="C487" i="4"/>
  <c r="D487" i="4"/>
  <c r="E487" i="4"/>
  <c r="F487" i="4"/>
  <c r="G487" i="4"/>
  <c r="H487" i="4"/>
  <c r="I487" i="4"/>
  <c r="J487" i="4"/>
  <c r="K487" i="4"/>
  <c r="B488" i="4"/>
  <c r="C488" i="4"/>
  <c r="D488" i="4"/>
  <c r="E488" i="4"/>
  <c r="F488" i="4"/>
  <c r="G488" i="4"/>
  <c r="H488" i="4"/>
  <c r="I488" i="4"/>
  <c r="J488" i="4"/>
  <c r="K488" i="4"/>
  <c r="B489" i="4"/>
  <c r="C489" i="4"/>
  <c r="D489" i="4"/>
  <c r="E489" i="4"/>
  <c r="F489" i="4"/>
  <c r="G489" i="4"/>
  <c r="H489" i="4"/>
  <c r="I489" i="4"/>
  <c r="J489" i="4"/>
  <c r="K489" i="4"/>
  <c r="B490" i="4"/>
  <c r="C490" i="4"/>
  <c r="D490" i="4"/>
  <c r="E490" i="4"/>
  <c r="F490" i="4"/>
  <c r="G490" i="4"/>
  <c r="H490" i="4"/>
  <c r="I490" i="4"/>
  <c r="J490" i="4"/>
  <c r="K490" i="4"/>
  <c r="B491" i="4"/>
  <c r="C491" i="4"/>
  <c r="D491" i="4"/>
  <c r="E491" i="4"/>
  <c r="F491" i="4"/>
  <c r="G491" i="4"/>
  <c r="H491" i="4"/>
  <c r="I491" i="4"/>
  <c r="J491" i="4"/>
  <c r="K491" i="4"/>
  <c r="B492" i="4"/>
  <c r="C492" i="4"/>
  <c r="D492" i="4"/>
  <c r="E492" i="4"/>
  <c r="F492" i="4"/>
  <c r="G492" i="4"/>
  <c r="H492" i="4"/>
  <c r="I492" i="4"/>
  <c r="J492" i="4"/>
  <c r="K492" i="4"/>
  <c r="B493" i="4"/>
  <c r="C493" i="4"/>
  <c r="D493" i="4"/>
  <c r="E493" i="4"/>
  <c r="F493" i="4"/>
  <c r="G493" i="4"/>
  <c r="H493" i="4"/>
  <c r="I493" i="4"/>
  <c r="J493" i="4"/>
  <c r="K493" i="4"/>
  <c r="B494" i="4"/>
  <c r="C494" i="4"/>
  <c r="D494" i="4"/>
  <c r="E494" i="4"/>
  <c r="F494" i="4"/>
  <c r="G494" i="4"/>
  <c r="H494" i="4"/>
  <c r="I494" i="4"/>
  <c r="J494" i="4"/>
  <c r="K494" i="4"/>
  <c r="B495" i="4"/>
  <c r="C495" i="4"/>
  <c r="D495" i="4"/>
  <c r="E495" i="4"/>
  <c r="F495" i="4"/>
  <c r="G495" i="4"/>
  <c r="H495" i="4"/>
  <c r="I495" i="4"/>
  <c r="J495" i="4"/>
  <c r="K495" i="4"/>
  <c r="B496" i="4"/>
  <c r="C496" i="4"/>
  <c r="D496" i="4"/>
  <c r="E496" i="4"/>
  <c r="F496" i="4"/>
  <c r="G496" i="4"/>
  <c r="H496" i="4"/>
  <c r="I496" i="4"/>
  <c r="J496" i="4"/>
  <c r="K496" i="4"/>
  <c r="B497" i="4"/>
  <c r="C497" i="4"/>
  <c r="D497" i="4"/>
  <c r="E497" i="4"/>
  <c r="F497" i="4"/>
  <c r="G497" i="4"/>
  <c r="H497" i="4"/>
  <c r="I497" i="4"/>
  <c r="J497" i="4"/>
  <c r="K497" i="4"/>
  <c r="B498" i="4"/>
  <c r="C498" i="4"/>
  <c r="D498" i="4"/>
  <c r="E498" i="4"/>
  <c r="F498" i="4"/>
  <c r="G498" i="4"/>
  <c r="H498" i="4"/>
  <c r="I498" i="4"/>
  <c r="J498" i="4"/>
  <c r="K498" i="4"/>
  <c r="B499" i="4"/>
  <c r="C499" i="4"/>
  <c r="D499" i="4"/>
  <c r="E499" i="4"/>
  <c r="F499" i="4"/>
  <c r="G499" i="4"/>
  <c r="H499" i="4"/>
  <c r="I499" i="4"/>
  <c r="J499" i="4"/>
  <c r="K499" i="4"/>
  <c r="B500" i="4"/>
  <c r="C500" i="4"/>
  <c r="D500" i="4"/>
  <c r="E500" i="4"/>
  <c r="F500" i="4"/>
  <c r="G500" i="4"/>
  <c r="H500" i="4"/>
  <c r="I500" i="4"/>
  <c r="J500" i="4"/>
  <c r="K500" i="4"/>
  <c r="B501" i="4"/>
  <c r="C501" i="4"/>
  <c r="D501" i="4"/>
  <c r="E501" i="4"/>
  <c r="F501" i="4"/>
  <c r="G501" i="4"/>
  <c r="H501" i="4"/>
  <c r="I501" i="4"/>
  <c r="J501" i="4"/>
  <c r="K501" i="4"/>
  <c r="B502" i="4"/>
  <c r="C502" i="4"/>
  <c r="D502" i="4"/>
  <c r="E502" i="4"/>
  <c r="F502" i="4"/>
  <c r="G502" i="4"/>
  <c r="H502" i="4"/>
  <c r="I502" i="4"/>
  <c r="J502" i="4"/>
  <c r="K502" i="4"/>
  <c r="B503" i="4"/>
  <c r="C503" i="4"/>
  <c r="D503" i="4"/>
  <c r="E503" i="4"/>
  <c r="F503" i="4"/>
  <c r="G503" i="4"/>
  <c r="H503" i="4"/>
  <c r="I503" i="4"/>
  <c r="J503" i="4"/>
  <c r="K503" i="4"/>
  <c r="B504" i="4"/>
  <c r="C504" i="4"/>
  <c r="D504" i="4"/>
  <c r="E504" i="4"/>
  <c r="F504" i="4"/>
  <c r="G504" i="4"/>
  <c r="H504" i="4"/>
  <c r="I504" i="4"/>
  <c r="J504" i="4"/>
  <c r="K504" i="4"/>
  <c r="B505" i="4"/>
  <c r="C505" i="4"/>
  <c r="D505" i="4"/>
  <c r="E505" i="4"/>
  <c r="F505" i="4"/>
  <c r="G505" i="4"/>
  <c r="H505" i="4"/>
  <c r="I505" i="4"/>
  <c r="J505" i="4"/>
  <c r="K505" i="4"/>
  <c r="B506" i="4"/>
  <c r="C506" i="4"/>
  <c r="D506" i="4"/>
  <c r="E506" i="4"/>
  <c r="F506" i="4"/>
  <c r="G506" i="4"/>
  <c r="H506" i="4"/>
  <c r="I506" i="4"/>
  <c r="J506" i="4"/>
  <c r="K506" i="4"/>
  <c r="B507" i="4"/>
  <c r="C507" i="4"/>
  <c r="D507" i="4"/>
  <c r="E507" i="4"/>
  <c r="F507" i="4"/>
  <c r="G507" i="4"/>
  <c r="H507" i="4"/>
  <c r="I507" i="4"/>
  <c r="J507" i="4"/>
  <c r="K507" i="4"/>
  <c r="B508" i="4"/>
  <c r="C508" i="4"/>
  <c r="D508" i="4"/>
  <c r="E508" i="4"/>
  <c r="F508" i="4"/>
  <c r="G508" i="4"/>
  <c r="H508" i="4"/>
  <c r="I508" i="4"/>
  <c r="J508" i="4"/>
  <c r="K508" i="4"/>
  <c r="B509" i="4"/>
  <c r="C509" i="4"/>
  <c r="D509" i="4"/>
  <c r="E509" i="4"/>
  <c r="F509" i="4"/>
  <c r="G509" i="4"/>
  <c r="H509" i="4"/>
  <c r="I509" i="4"/>
  <c r="J509" i="4"/>
  <c r="K509" i="4"/>
  <c r="B510" i="4"/>
  <c r="C510" i="4"/>
  <c r="D510" i="4"/>
  <c r="E510" i="4"/>
  <c r="F510" i="4"/>
  <c r="G510" i="4"/>
  <c r="H510" i="4"/>
  <c r="I510" i="4"/>
  <c r="J510" i="4"/>
  <c r="K510" i="4"/>
  <c r="B511" i="4"/>
  <c r="C511" i="4"/>
  <c r="D511" i="4"/>
  <c r="E511" i="4"/>
  <c r="F511" i="4"/>
  <c r="G511" i="4"/>
  <c r="H511" i="4"/>
  <c r="I511" i="4"/>
  <c r="J511" i="4"/>
  <c r="K511" i="4"/>
  <c r="B512" i="4"/>
  <c r="C512" i="4"/>
  <c r="D512" i="4"/>
  <c r="E512" i="4"/>
  <c r="F512" i="4"/>
  <c r="G512" i="4"/>
  <c r="H512" i="4"/>
  <c r="I512" i="4"/>
  <c r="J512" i="4"/>
  <c r="K512" i="4"/>
  <c r="B513" i="4"/>
  <c r="C513" i="4"/>
  <c r="D513" i="4"/>
  <c r="E513" i="4"/>
  <c r="F513" i="4"/>
  <c r="G513" i="4"/>
  <c r="H513" i="4"/>
  <c r="I513" i="4"/>
  <c r="J513" i="4"/>
  <c r="K513" i="4"/>
  <c r="B514" i="4"/>
  <c r="C514" i="4"/>
  <c r="D514" i="4"/>
  <c r="E514" i="4"/>
  <c r="F514" i="4"/>
  <c r="G514" i="4"/>
  <c r="H514" i="4"/>
  <c r="I514" i="4"/>
  <c r="J514" i="4"/>
  <c r="K514" i="4"/>
  <c r="B515" i="4"/>
  <c r="C515" i="4"/>
  <c r="D515" i="4"/>
  <c r="E515" i="4"/>
  <c r="F515" i="4"/>
  <c r="G515" i="4"/>
  <c r="H515" i="4"/>
  <c r="I515" i="4"/>
  <c r="J515" i="4"/>
  <c r="K515" i="4"/>
  <c r="B516" i="4"/>
  <c r="C516" i="4"/>
  <c r="D516" i="4"/>
  <c r="E516" i="4"/>
  <c r="F516" i="4"/>
  <c r="G516" i="4"/>
  <c r="H516" i="4"/>
  <c r="I516" i="4"/>
  <c r="J516" i="4"/>
  <c r="K516" i="4"/>
  <c r="B517" i="4"/>
  <c r="C517" i="4"/>
  <c r="D517" i="4"/>
  <c r="E517" i="4"/>
  <c r="F517" i="4"/>
  <c r="G517" i="4"/>
  <c r="H517" i="4"/>
  <c r="I517" i="4"/>
  <c r="J517" i="4"/>
  <c r="K517" i="4"/>
  <c r="B518" i="4"/>
  <c r="C518" i="4"/>
  <c r="D518" i="4"/>
  <c r="E518" i="4"/>
  <c r="F518" i="4"/>
  <c r="G518" i="4"/>
  <c r="H518" i="4"/>
  <c r="I518" i="4"/>
  <c r="J518" i="4"/>
  <c r="K518" i="4"/>
  <c r="B519" i="4"/>
  <c r="C519" i="4"/>
  <c r="D519" i="4"/>
  <c r="E519" i="4"/>
  <c r="F519" i="4"/>
  <c r="G519" i="4"/>
  <c r="H519" i="4"/>
  <c r="I519" i="4"/>
  <c r="J519" i="4"/>
  <c r="K519" i="4"/>
  <c r="B520" i="4"/>
  <c r="C520" i="4"/>
  <c r="D520" i="4"/>
  <c r="E520" i="4"/>
  <c r="F520" i="4"/>
  <c r="G520" i="4"/>
  <c r="H520" i="4"/>
  <c r="I520" i="4"/>
  <c r="J520" i="4"/>
  <c r="K520" i="4"/>
  <c r="B521" i="4"/>
  <c r="C521" i="4"/>
  <c r="D521" i="4"/>
  <c r="E521" i="4"/>
  <c r="F521" i="4"/>
  <c r="G521" i="4"/>
  <c r="H521" i="4"/>
  <c r="I521" i="4"/>
  <c r="J521" i="4"/>
  <c r="K521" i="4"/>
  <c r="B522" i="4"/>
  <c r="C522" i="4"/>
  <c r="D522" i="4"/>
  <c r="E522" i="4"/>
  <c r="F522" i="4"/>
  <c r="G522" i="4"/>
  <c r="H522" i="4"/>
  <c r="I522" i="4"/>
  <c r="J522" i="4"/>
  <c r="K522" i="4"/>
  <c r="B523" i="4"/>
  <c r="C523" i="4"/>
  <c r="D523" i="4"/>
  <c r="E523" i="4"/>
  <c r="F523" i="4"/>
  <c r="G523" i="4"/>
  <c r="H523" i="4"/>
  <c r="I523" i="4"/>
  <c r="J523" i="4"/>
  <c r="K523" i="4"/>
  <c r="B524" i="4"/>
  <c r="C524" i="4"/>
  <c r="D524" i="4"/>
  <c r="E524" i="4"/>
  <c r="F524" i="4"/>
  <c r="G524" i="4"/>
  <c r="H524" i="4"/>
  <c r="I524" i="4"/>
  <c r="J524" i="4"/>
  <c r="K524" i="4"/>
  <c r="B525" i="4"/>
  <c r="C525" i="4"/>
  <c r="D525" i="4"/>
  <c r="E525" i="4"/>
  <c r="F525" i="4"/>
  <c r="G525" i="4"/>
  <c r="H525" i="4"/>
  <c r="I525" i="4"/>
  <c r="J525" i="4"/>
  <c r="K525" i="4"/>
  <c r="B526" i="4"/>
  <c r="C526" i="4"/>
  <c r="D526" i="4"/>
  <c r="E526" i="4"/>
  <c r="F526" i="4"/>
  <c r="G526" i="4"/>
  <c r="H526" i="4"/>
  <c r="I526" i="4"/>
  <c r="J526" i="4"/>
  <c r="K526" i="4"/>
  <c r="B527" i="4"/>
  <c r="C527" i="4"/>
  <c r="D527" i="4"/>
  <c r="E527" i="4"/>
  <c r="F527" i="4"/>
  <c r="G527" i="4"/>
  <c r="H527" i="4"/>
  <c r="I527" i="4"/>
  <c r="J527" i="4"/>
  <c r="K527" i="4"/>
  <c r="B528" i="4"/>
  <c r="C528" i="4"/>
  <c r="D528" i="4"/>
  <c r="E528" i="4"/>
  <c r="F528" i="4"/>
  <c r="G528" i="4"/>
  <c r="H528" i="4"/>
  <c r="I528" i="4"/>
  <c r="J528" i="4"/>
  <c r="K528" i="4"/>
  <c r="B529" i="4"/>
  <c r="C529" i="4"/>
  <c r="D529" i="4"/>
  <c r="E529" i="4"/>
  <c r="F529" i="4"/>
  <c r="G529" i="4"/>
  <c r="H529" i="4"/>
  <c r="I529" i="4"/>
  <c r="J529" i="4"/>
  <c r="K529" i="4"/>
  <c r="B530" i="4"/>
  <c r="C530" i="4"/>
  <c r="D530" i="4"/>
  <c r="E530" i="4"/>
  <c r="F530" i="4"/>
  <c r="G530" i="4"/>
  <c r="H530" i="4"/>
  <c r="I530" i="4"/>
  <c r="J530" i="4"/>
  <c r="K530" i="4"/>
  <c r="B531" i="4"/>
  <c r="C531" i="4"/>
  <c r="D531" i="4"/>
  <c r="E531" i="4"/>
  <c r="F531" i="4"/>
  <c r="G531" i="4"/>
  <c r="H531" i="4"/>
  <c r="I531" i="4"/>
  <c r="J531" i="4"/>
  <c r="K531" i="4"/>
  <c r="B532" i="4"/>
  <c r="C532" i="4"/>
  <c r="D532" i="4"/>
  <c r="E532" i="4"/>
  <c r="F532" i="4"/>
  <c r="G532" i="4"/>
  <c r="H532" i="4"/>
  <c r="I532" i="4"/>
  <c r="J532" i="4"/>
  <c r="K532" i="4"/>
  <c r="B533" i="4"/>
  <c r="C533" i="4"/>
  <c r="D533" i="4"/>
  <c r="E533" i="4"/>
  <c r="F533" i="4"/>
  <c r="G533" i="4"/>
  <c r="H533" i="4"/>
  <c r="I533" i="4"/>
  <c r="J533" i="4"/>
  <c r="K533" i="4"/>
  <c r="B534" i="4"/>
  <c r="C534" i="4"/>
  <c r="D534" i="4"/>
  <c r="E534" i="4"/>
  <c r="F534" i="4"/>
  <c r="G534" i="4"/>
  <c r="H534" i="4"/>
  <c r="I534" i="4"/>
  <c r="J534" i="4"/>
  <c r="K534" i="4"/>
  <c r="B535" i="4"/>
  <c r="C535" i="4"/>
  <c r="D535" i="4"/>
  <c r="E535" i="4"/>
  <c r="F535" i="4"/>
  <c r="G535" i="4"/>
  <c r="H535" i="4"/>
  <c r="I535" i="4"/>
  <c r="J535" i="4"/>
  <c r="K535" i="4"/>
  <c r="B536" i="4"/>
  <c r="C536" i="4"/>
  <c r="D536" i="4"/>
  <c r="E536" i="4"/>
  <c r="F536" i="4"/>
  <c r="G536" i="4"/>
  <c r="H536" i="4"/>
  <c r="I536" i="4"/>
  <c r="J536" i="4"/>
  <c r="K536" i="4"/>
  <c r="B537" i="4"/>
  <c r="C537" i="4"/>
  <c r="D537" i="4"/>
  <c r="E537" i="4"/>
  <c r="F537" i="4"/>
  <c r="G537" i="4"/>
  <c r="H537" i="4"/>
  <c r="I537" i="4"/>
  <c r="J537" i="4"/>
  <c r="K537" i="4"/>
  <c r="B538" i="4"/>
  <c r="C538" i="4"/>
  <c r="D538" i="4"/>
  <c r="E538" i="4"/>
  <c r="F538" i="4"/>
  <c r="G538" i="4"/>
  <c r="H538" i="4"/>
  <c r="I538" i="4"/>
  <c r="J538" i="4"/>
  <c r="K538" i="4"/>
  <c r="B539" i="4"/>
  <c r="C539" i="4"/>
  <c r="D539" i="4"/>
  <c r="E539" i="4"/>
  <c r="F539" i="4"/>
  <c r="G539" i="4"/>
  <c r="H539" i="4"/>
  <c r="I539" i="4"/>
  <c r="J539" i="4"/>
  <c r="K539" i="4"/>
  <c r="B540" i="4"/>
  <c r="C540" i="4"/>
  <c r="D540" i="4"/>
  <c r="E540" i="4"/>
  <c r="F540" i="4"/>
  <c r="G540" i="4"/>
  <c r="H540" i="4"/>
  <c r="I540" i="4"/>
  <c r="J540" i="4"/>
  <c r="K540" i="4"/>
  <c r="B541" i="4"/>
  <c r="C541" i="4"/>
  <c r="D541" i="4"/>
  <c r="E541" i="4"/>
  <c r="F541" i="4"/>
  <c r="G541" i="4"/>
  <c r="H541" i="4"/>
  <c r="I541" i="4"/>
  <c r="J541" i="4"/>
  <c r="K541" i="4"/>
  <c r="B542" i="4"/>
  <c r="C542" i="4"/>
  <c r="D542" i="4"/>
  <c r="E542" i="4"/>
  <c r="F542" i="4"/>
  <c r="G542" i="4"/>
  <c r="H542" i="4"/>
  <c r="I542" i="4"/>
  <c r="J542" i="4"/>
  <c r="K542" i="4"/>
  <c r="B543" i="4"/>
  <c r="C543" i="4"/>
  <c r="D543" i="4"/>
  <c r="E543" i="4"/>
  <c r="F543" i="4"/>
  <c r="G543" i="4"/>
  <c r="H543" i="4"/>
  <c r="I543" i="4"/>
  <c r="J543" i="4"/>
  <c r="K543" i="4"/>
  <c r="B544" i="4"/>
  <c r="C544" i="4"/>
  <c r="D544" i="4"/>
  <c r="E544" i="4"/>
  <c r="F544" i="4"/>
  <c r="G544" i="4"/>
  <c r="H544" i="4"/>
  <c r="I544" i="4"/>
  <c r="J544" i="4"/>
  <c r="K544" i="4"/>
  <c r="B545" i="4"/>
  <c r="C545" i="4"/>
  <c r="D545" i="4"/>
  <c r="E545" i="4"/>
  <c r="F545" i="4"/>
  <c r="G545" i="4"/>
  <c r="H545" i="4"/>
  <c r="I545" i="4"/>
  <c r="J545" i="4"/>
  <c r="K545" i="4"/>
  <c r="B546" i="4"/>
  <c r="C546" i="4"/>
  <c r="D546" i="4"/>
  <c r="E546" i="4"/>
  <c r="F546" i="4"/>
  <c r="G546" i="4"/>
  <c r="H546" i="4"/>
  <c r="I546" i="4"/>
  <c r="J546" i="4"/>
  <c r="K546" i="4"/>
  <c r="B547" i="4"/>
  <c r="C547" i="4"/>
  <c r="D547" i="4"/>
  <c r="E547" i="4"/>
  <c r="F547" i="4"/>
  <c r="G547" i="4"/>
  <c r="H547" i="4"/>
  <c r="I547" i="4"/>
  <c r="J547" i="4"/>
  <c r="K547" i="4"/>
  <c r="B548" i="4"/>
  <c r="C548" i="4"/>
  <c r="D548" i="4"/>
  <c r="E548" i="4"/>
  <c r="F548" i="4"/>
  <c r="G548" i="4"/>
  <c r="H548" i="4"/>
  <c r="I548" i="4"/>
  <c r="J548" i="4"/>
  <c r="K548" i="4"/>
  <c r="B549" i="4"/>
  <c r="C549" i="4"/>
  <c r="D549" i="4"/>
  <c r="E549" i="4"/>
  <c r="F549" i="4"/>
  <c r="G549" i="4"/>
  <c r="H549" i="4"/>
  <c r="I549" i="4"/>
  <c r="J549" i="4"/>
  <c r="K549" i="4"/>
  <c r="B550" i="4"/>
  <c r="C550" i="4"/>
  <c r="D550" i="4"/>
  <c r="E550" i="4"/>
  <c r="F550" i="4"/>
  <c r="G550" i="4"/>
  <c r="H550" i="4"/>
  <c r="I550" i="4"/>
  <c r="J550" i="4"/>
  <c r="K550" i="4"/>
  <c r="B551" i="4"/>
  <c r="C551" i="4"/>
  <c r="D551" i="4"/>
  <c r="E551" i="4"/>
  <c r="F551" i="4"/>
  <c r="G551" i="4"/>
  <c r="H551" i="4"/>
  <c r="I551" i="4"/>
  <c r="J551" i="4"/>
  <c r="K551" i="4"/>
  <c r="B552" i="4"/>
  <c r="C552" i="4"/>
  <c r="D552" i="4"/>
  <c r="E552" i="4"/>
  <c r="F552" i="4"/>
  <c r="G552" i="4"/>
  <c r="H552" i="4"/>
  <c r="I552" i="4"/>
  <c r="J552" i="4"/>
  <c r="K552" i="4"/>
  <c r="B553" i="4"/>
  <c r="C553" i="4"/>
  <c r="D553" i="4"/>
  <c r="E553" i="4"/>
  <c r="F553" i="4"/>
  <c r="G553" i="4"/>
  <c r="H553" i="4"/>
  <c r="I553" i="4"/>
  <c r="J553" i="4"/>
  <c r="K553" i="4"/>
  <c r="B554" i="4"/>
  <c r="C554" i="4"/>
  <c r="D554" i="4"/>
  <c r="E554" i="4"/>
  <c r="F554" i="4"/>
  <c r="G554" i="4"/>
  <c r="H554" i="4"/>
  <c r="I554" i="4"/>
  <c r="J554" i="4"/>
  <c r="K554" i="4"/>
  <c r="B555" i="4"/>
  <c r="C555" i="4"/>
  <c r="D555" i="4"/>
  <c r="E555" i="4"/>
  <c r="F555" i="4"/>
  <c r="G555" i="4"/>
  <c r="H555" i="4"/>
  <c r="I555" i="4"/>
  <c r="J555" i="4"/>
  <c r="K555" i="4"/>
  <c r="B556" i="4"/>
  <c r="C556" i="4"/>
  <c r="D556" i="4"/>
  <c r="E556" i="4"/>
  <c r="F556" i="4"/>
  <c r="G556" i="4"/>
  <c r="H556" i="4"/>
  <c r="I556" i="4"/>
  <c r="J556" i="4"/>
  <c r="K556" i="4"/>
  <c r="B557" i="4"/>
  <c r="C557" i="4"/>
  <c r="D557" i="4"/>
  <c r="E557" i="4"/>
  <c r="F557" i="4"/>
  <c r="G557" i="4"/>
  <c r="H557" i="4"/>
  <c r="I557" i="4"/>
  <c r="J557" i="4"/>
  <c r="K557" i="4"/>
  <c r="B558" i="4"/>
  <c r="C558" i="4"/>
  <c r="D558" i="4"/>
  <c r="E558" i="4"/>
  <c r="F558" i="4"/>
  <c r="G558" i="4"/>
  <c r="H558" i="4"/>
  <c r="I558" i="4"/>
  <c r="J558" i="4"/>
  <c r="K558" i="4"/>
  <c r="B559" i="4"/>
  <c r="C559" i="4"/>
  <c r="D559" i="4"/>
  <c r="E559" i="4"/>
  <c r="F559" i="4"/>
  <c r="G559" i="4"/>
  <c r="H559" i="4"/>
  <c r="I559" i="4"/>
  <c r="J559" i="4"/>
  <c r="K559" i="4"/>
  <c r="B560" i="4"/>
  <c r="C560" i="4"/>
  <c r="D560" i="4"/>
  <c r="E560" i="4"/>
  <c r="F560" i="4"/>
  <c r="G560" i="4"/>
  <c r="H560" i="4"/>
  <c r="I560" i="4"/>
  <c r="J560" i="4"/>
  <c r="K560" i="4"/>
  <c r="B561" i="4"/>
  <c r="C561" i="4"/>
  <c r="D561" i="4"/>
  <c r="E561" i="4"/>
  <c r="F561" i="4"/>
  <c r="G561" i="4"/>
  <c r="H561" i="4"/>
  <c r="I561" i="4"/>
  <c r="J561" i="4"/>
  <c r="K561" i="4"/>
  <c r="B562" i="4"/>
  <c r="C562" i="4"/>
  <c r="D562" i="4"/>
  <c r="E562" i="4"/>
  <c r="F562" i="4"/>
  <c r="G562" i="4"/>
  <c r="H562" i="4"/>
  <c r="I562" i="4"/>
  <c r="J562" i="4"/>
  <c r="K562" i="4"/>
  <c r="B563" i="4"/>
  <c r="C563" i="4"/>
  <c r="D563" i="4"/>
  <c r="E563" i="4"/>
  <c r="F563" i="4"/>
  <c r="G563" i="4"/>
  <c r="H563" i="4"/>
  <c r="I563" i="4"/>
  <c r="J563" i="4"/>
  <c r="K563" i="4"/>
  <c r="B564" i="4"/>
  <c r="C564" i="4"/>
  <c r="D564" i="4"/>
  <c r="E564" i="4"/>
  <c r="F564" i="4"/>
  <c r="G564" i="4"/>
  <c r="H564" i="4"/>
  <c r="I564" i="4"/>
  <c r="J564" i="4"/>
  <c r="K564" i="4"/>
  <c r="B565" i="4"/>
  <c r="C565" i="4"/>
  <c r="D565" i="4"/>
  <c r="E565" i="4"/>
  <c r="F565" i="4"/>
  <c r="G565" i="4"/>
  <c r="H565" i="4"/>
  <c r="I565" i="4"/>
  <c r="J565" i="4"/>
  <c r="K565" i="4"/>
  <c r="B566" i="4"/>
  <c r="C566" i="4"/>
  <c r="D566" i="4"/>
  <c r="E566" i="4"/>
  <c r="F566" i="4"/>
  <c r="G566" i="4"/>
  <c r="H566" i="4"/>
  <c r="I566" i="4"/>
  <c r="J566" i="4"/>
  <c r="K566" i="4"/>
  <c r="B567" i="4"/>
  <c r="C567" i="4"/>
  <c r="D567" i="4"/>
  <c r="E567" i="4"/>
  <c r="F567" i="4"/>
  <c r="G567" i="4"/>
  <c r="H567" i="4"/>
  <c r="I567" i="4"/>
  <c r="J567" i="4"/>
  <c r="K567" i="4"/>
  <c r="B568" i="4"/>
  <c r="C568" i="4"/>
  <c r="D568" i="4"/>
  <c r="E568" i="4"/>
  <c r="F568" i="4"/>
  <c r="G568" i="4"/>
  <c r="H568" i="4"/>
  <c r="I568" i="4"/>
  <c r="J568" i="4"/>
  <c r="K568" i="4"/>
  <c r="B569" i="4"/>
  <c r="C569" i="4"/>
  <c r="D569" i="4"/>
  <c r="E569" i="4"/>
  <c r="F569" i="4"/>
  <c r="G569" i="4"/>
  <c r="H569" i="4"/>
  <c r="I569" i="4"/>
  <c r="J569" i="4"/>
  <c r="K569" i="4"/>
  <c r="B570" i="4"/>
  <c r="C570" i="4"/>
  <c r="D570" i="4"/>
  <c r="E570" i="4"/>
  <c r="F570" i="4"/>
  <c r="G570" i="4"/>
  <c r="H570" i="4"/>
  <c r="I570" i="4"/>
  <c r="J570" i="4"/>
  <c r="K570" i="4"/>
  <c r="B571" i="4"/>
  <c r="C571" i="4"/>
  <c r="D571" i="4"/>
  <c r="E571" i="4"/>
  <c r="F571" i="4"/>
  <c r="G571" i="4"/>
  <c r="H571" i="4"/>
  <c r="I571" i="4"/>
  <c r="J571" i="4"/>
  <c r="K571" i="4"/>
  <c r="B572" i="4"/>
  <c r="C572" i="4"/>
  <c r="D572" i="4"/>
  <c r="E572" i="4"/>
  <c r="F572" i="4"/>
  <c r="G572" i="4"/>
  <c r="H572" i="4"/>
  <c r="I572" i="4"/>
  <c r="J572" i="4"/>
  <c r="K572" i="4"/>
  <c r="B573" i="4"/>
  <c r="C573" i="4"/>
  <c r="D573" i="4"/>
  <c r="E573" i="4"/>
  <c r="F573" i="4"/>
  <c r="G573" i="4"/>
  <c r="H573" i="4"/>
  <c r="I573" i="4"/>
  <c r="J573" i="4"/>
  <c r="K573" i="4"/>
  <c r="B574" i="4"/>
  <c r="C574" i="4"/>
  <c r="D574" i="4"/>
  <c r="E574" i="4"/>
  <c r="F574" i="4"/>
  <c r="G574" i="4"/>
  <c r="H574" i="4"/>
  <c r="I574" i="4"/>
  <c r="J574" i="4"/>
  <c r="K574" i="4"/>
  <c r="B575" i="4"/>
  <c r="C575" i="4"/>
  <c r="D575" i="4"/>
  <c r="E575" i="4"/>
  <c r="F575" i="4"/>
  <c r="G575" i="4"/>
  <c r="H575" i="4"/>
  <c r="I575" i="4"/>
  <c r="J575" i="4"/>
  <c r="K575" i="4"/>
  <c r="B576" i="4"/>
  <c r="C576" i="4"/>
  <c r="D576" i="4"/>
  <c r="E576" i="4"/>
  <c r="F576" i="4"/>
  <c r="G576" i="4"/>
  <c r="H576" i="4"/>
  <c r="I576" i="4"/>
  <c r="J576" i="4"/>
  <c r="K576" i="4"/>
  <c r="B577" i="4"/>
  <c r="C577" i="4"/>
  <c r="D577" i="4"/>
  <c r="E577" i="4"/>
  <c r="F577" i="4"/>
  <c r="G577" i="4"/>
  <c r="H577" i="4"/>
  <c r="I577" i="4"/>
  <c r="J577" i="4"/>
  <c r="K577" i="4"/>
  <c r="B578" i="4"/>
  <c r="C578" i="4"/>
  <c r="D578" i="4"/>
  <c r="E578" i="4"/>
  <c r="F578" i="4"/>
  <c r="G578" i="4"/>
  <c r="H578" i="4"/>
  <c r="I578" i="4"/>
  <c r="J578" i="4"/>
  <c r="K578" i="4"/>
  <c r="B579" i="4"/>
  <c r="C579" i="4"/>
  <c r="D579" i="4"/>
  <c r="E579" i="4"/>
  <c r="F579" i="4"/>
  <c r="G579" i="4"/>
  <c r="H579" i="4"/>
  <c r="I579" i="4"/>
  <c r="J579" i="4"/>
  <c r="K579" i="4"/>
  <c r="B580" i="4"/>
  <c r="C580" i="4"/>
  <c r="D580" i="4"/>
  <c r="E580" i="4"/>
  <c r="F580" i="4"/>
  <c r="G580" i="4"/>
  <c r="H580" i="4"/>
  <c r="I580" i="4"/>
  <c r="J580" i="4"/>
  <c r="K580" i="4"/>
  <c r="B581" i="4"/>
  <c r="C581" i="4"/>
  <c r="D581" i="4"/>
  <c r="E581" i="4"/>
  <c r="F581" i="4"/>
  <c r="G581" i="4"/>
  <c r="H581" i="4"/>
  <c r="I581" i="4"/>
  <c r="J581" i="4"/>
  <c r="K581" i="4"/>
  <c r="B582" i="4"/>
  <c r="C582" i="4"/>
  <c r="D582" i="4"/>
  <c r="E582" i="4"/>
  <c r="F582" i="4"/>
  <c r="G582" i="4"/>
  <c r="H582" i="4"/>
  <c r="I582" i="4"/>
  <c r="J582" i="4"/>
  <c r="K582" i="4"/>
  <c r="B583" i="4"/>
  <c r="C583" i="4"/>
  <c r="D583" i="4"/>
  <c r="E583" i="4"/>
  <c r="F583" i="4"/>
  <c r="G583" i="4"/>
  <c r="H583" i="4"/>
  <c r="I583" i="4"/>
  <c r="J583" i="4"/>
  <c r="K583" i="4"/>
  <c r="B584" i="4"/>
  <c r="C584" i="4"/>
  <c r="D584" i="4"/>
  <c r="E584" i="4"/>
  <c r="F584" i="4"/>
  <c r="G584" i="4"/>
  <c r="H584" i="4"/>
  <c r="I584" i="4"/>
  <c r="J584" i="4"/>
  <c r="K584" i="4"/>
  <c r="B585" i="4"/>
  <c r="C585" i="4"/>
  <c r="D585" i="4"/>
  <c r="E585" i="4"/>
  <c r="F585" i="4"/>
  <c r="G585" i="4"/>
  <c r="H585" i="4"/>
  <c r="I585" i="4"/>
  <c r="J585" i="4"/>
  <c r="K585" i="4"/>
  <c r="B586" i="4"/>
  <c r="C586" i="4"/>
  <c r="D586" i="4"/>
  <c r="E586" i="4"/>
  <c r="F586" i="4"/>
  <c r="G586" i="4"/>
  <c r="H586" i="4"/>
  <c r="I586" i="4"/>
  <c r="J586" i="4"/>
  <c r="K586" i="4"/>
  <c r="B587" i="4"/>
  <c r="C587" i="4"/>
  <c r="D587" i="4"/>
  <c r="E587" i="4"/>
  <c r="F587" i="4"/>
  <c r="G587" i="4"/>
  <c r="H587" i="4"/>
  <c r="I587" i="4"/>
  <c r="J587" i="4"/>
  <c r="K587" i="4"/>
  <c r="B588" i="4"/>
  <c r="C588" i="4"/>
  <c r="D588" i="4"/>
  <c r="E588" i="4"/>
  <c r="F588" i="4"/>
  <c r="G588" i="4"/>
  <c r="H588" i="4"/>
  <c r="I588" i="4"/>
  <c r="J588" i="4"/>
  <c r="K588" i="4"/>
  <c r="B589" i="4"/>
  <c r="C589" i="4"/>
  <c r="D589" i="4"/>
  <c r="E589" i="4"/>
  <c r="F589" i="4"/>
  <c r="G589" i="4"/>
  <c r="H589" i="4"/>
  <c r="I589" i="4"/>
  <c r="J589" i="4"/>
  <c r="K589" i="4"/>
  <c r="B590" i="4"/>
  <c r="C590" i="4"/>
  <c r="D590" i="4"/>
  <c r="E590" i="4"/>
  <c r="F590" i="4"/>
  <c r="G590" i="4"/>
  <c r="H590" i="4"/>
  <c r="I590" i="4"/>
  <c r="J590" i="4"/>
  <c r="K590" i="4"/>
  <c r="B591" i="4"/>
  <c r="C591" i="4"/>
  <c r="D591" i="4"/>
  <c r="E591" i="4"/>
  <c r="F591" i="4"/>
  <c r="G591" i="4"/>
  <c r="H591" i="4"/>
  <c r="I591" i="4"/>
  <c r="J591" i="4"/>
  <c r="K591" i="4"/>
  <c r="B592" i="4"/>
  <c r="C592" i="4"/>
  <c r="D592" i="4"/>
  <c r="E592" i="4"/>
  <c r="F592" i="4"/>
  <c r="G592" i="4"/>
  <c r="H592" i="4"/>
  <c r="I592" i="4"/>
  <c r="J592" i="4"/>
  <c r="K592" i="4"/>
  <c r="B593" i="4"/>
  <c r="C593" i="4"/>
  <c r="D593" i="4"/>
  <c r="E593" i="4"/>
  <c r="F593" i="4"/>
  <c r="G593" i="4"/>
  <c r="H593" i="4"/>
  <c r="I593" i="4"/>
  <c r="J593" i="4"/>
  <c r="K593" i="4"/>
  <c r="B594" i="4"/>
  <c r="C594" i="4"/>
  <c r="D594" i="4"/>
  <c r="E594" i="4"/>
  <c r="F594" i="4"/>
  <c r="G594" i="4"/>
  <c r="H594" i="4"/>
  <c r="I594" i="4"/>
  <c r="J594" i="4"/>
  <c r="K594" i="4"/>
  <c r="B595" i="4"/>
  <c r="C595" i="4"/>
  <c r="D595" i="4"/>
  <c r="E595" i="4"/>
  <c r="F595" i="4"/>
  <c r="G595" i="4"/>
  <c r="H595" i="4"/>
  <c r="I595" i="4"/>
  <c r="J595" i="4"/>
  <c r="K595" i="4"/>
  <c r="B596" i="4"/>
  <c r="C596" i="4"/>
  <c r="D596" i="4"/>
  <c r="E596" i="4"/>
  <c r="F596" i="4"/>
  <c r="G596" i="4"/>
  <c r="H596" i="4"/>
  <c r="I596" i="4"/>
  <c r="J596" i="4"/>
  <c r="K596" i="4"/>
  <c r="B597" i="4"/>
  <c r="C597" i="4"/>
  <c r="D597" i="4"/>
  <c r="E597" i="4"/>
  <c r="F597" i="4"/>
  <c r="G597" i="4"/>
  <c r="H597" i="4"/>
  <c r="I597" i="4"/>
  <c r="J597" i="4"/>
  <c r="K597" i="4"/>
  <c r="B598" i="4"/>
  <c r="C598" i="4"/>
  <c r="D598" i="4"/>
  <c r="E598" i="4"/>
  <c r="F598" i="4"/>
  <c r="G598" i="4"/>
  <c r="H598" i="4"/>
  <c r="I598" i="4"/>
  <c r="J598" i="4"/>
  <c r="K598" i="4"/>
  <c r="B599" i="4"/>
  <c r="C599" i="4"/>
  <c r="D599" i="4"/>
  <c r="E599" i="4"/>
  <c r="F599" i="4"/>
  <c r="G599" i="4"/>
  <c r="H599" i="4"/>
  <c r="I599" i="4"/>
  <c r="J599" i="4"/>
  <c r="K599" i="4"/>
  <c r="B600" i="4"/>
  <c r="C600" i="4"/>
  <c r="D600" i="4"/>
  <c r="E600" i="4"/>
  <c r="F600" i="4"/>
  <c r="G600" i="4"/>
  <c r="H600" i="4"/>
  <c r="I600" i="4"/>
  <c r="J600" i="4"/>
  <c r="K600" i="4"/>
  <c r="B601" i="4"/>
  <c r="C601" i="4"/>
  <c r="D601" i="4"/>
  <c r="E601" i="4"/>
  <c r="F601" i="4"/>
  <c r="G601" i="4"/>
  <c r="H601" i="4"/>
  <c r="I601" i="4"/>
  <c r="J601" i="4"/>
  <c r="K601" i="4"/>
  <c r="B602" i="4"/>
  <c r="C602" i="4"/>
  <c r="D602" i="4"/>
  <c r="E602" i="4"/>
  <c r="F602" i="4"/>
  <c r="G602" i="4"/>
  <c r="H602" i="4"/>
  <c r="I602" i="4"/>
  <c r="J602" i="4"/>
  <c r="K602" i="4"/>
  <c r="B603" i="4"/>
  <c r="C603" i="4"/>
  <c r="D603" i="4"/>
  <c r="E603" i="4"/>
  <c r="F603" i="4"/>
  <c r="G603" i="4"/>
  <c r="H603" i="4"/>
  <c r="I603" i="4"/>
  <c r="J603" i="4"/>
  <c r="K603" i="4"/>
  <c r="B604" i="4"/>
  <c r="C604" i="4"/>
  <c r="D604" i="4"/>
  <c r="E604" i="4"/>
  <c r="F604" i="4"/>
  <c r="G604" i="4"/>
  <c r="H604" i="4"/>
  <c r="I604" i="4"/>
  <c r="J604" i="4"/>
  <c r="K604" i="4"/>
  <c r="B605" i="4"/>
  <c r="C605" i="4"/>
  <c r="D605" i="4"/>
  <c r="E605" i="4"/>
  <c r="F605" i="4"/>
  <c r="G605" i="4"/>
  <c r="H605" i="4"/>
  <c r="I605" i="4"/>
  <c r="J605" i="4"/>
  <c r="K605" i="4"/>
  <c r="B606" i="4"/>
  <c r="C606" i="4"/>
  <c r="D606" i="4"/>
  <c r="E606" i="4"/>
  <c r="F606" i="4"/>
  <c r="G606" i="4"/>
  <c r="H606" i="4"/>
  <c r="I606" i="4"/>
  <c r="J606" i="4"/>
  <c r="K606" i="4"/>
  <c r="B607" i="4"/>
  <c r="C607" i="4"/>
  <c r="D607" i="4"/>
  <c r="E607" i="4"/>
  <c r="F607" i="4"/>
  <c r="G607" i="4"/>
  <c r="H607" i="4"/>
  <c r="I607" i="4"/>
  <c r="J607" i="4"/>
  <c r="K607" i="4"/>
  <c r="B608" i="4"/>
  <c r="C608" i="4"/>
  <c r="D608" i="4"/>
  <c r="E608" i="4"/>
  <c r="F608" i="4"/>
  <c r="G608" i="4"/>
  <c r="H608" i="4"/>
  <c r="I608" i="4"/>
  <c r="J608" i="4"/>
  <c r="K608" i="4"/>
  <c r="B609" i="4"/>
  <c r="C609" i="4"/>
  <c r="D609" i="4"/>
  <c r="E609" i="4"/>
  <c r="F609" i="4"/>
  <c r="G609" i="4"/>
  <c r="H609" i="4"/>
  <c r="I609" i="4"/>
  <c r="J609" i="4"/>
  <c r="K609" i="4"/>
  <c r="B610" i="4"/>
  <c r="C610" i="4"/>
  <c r="D610" i="4"/>
  <c r="E610" i="4"/>
  <c r="F610" i="4"/>
  <c r="G610" i="4"/>
  <c r="H610" i="4"/>
  <c r="I610" i="4"/>
  <c r="J610" i="4"/>
  <c r="K610" i="4"/>
  <c r="B611" i="4"/>
  <c r="C611" i="4"/>
  <c r="D611" i="4"/>
  <c r="E611" i="4"/>
  <c r="F611" i="4"/>
  <c r="G611" i="4"/>
  <c r="H611" i="4"/>
  <c r="I611" i="4"/>
  <c r="J611" i="4"/>
  <c r="K611" i="4"/>
  <c r="B612" i="4"/>
  <c r="C612" i="4"/>
  <c r="D612" i="4"/>
  <c r="E612" i="4"/>
  <c r="F612" i="4"/>
  <c r="G612" i="4"/>
  <c r="H612" i="4"/>
  <c r="I612" i="4"/>
  <c r="J612" i="4"/>
  <c r="K612" i="4"/>
  <c r="B613" i="4"/>
  <c r="C613" i="4"/>
  <c r="D613" i="4"/>
  <c r="E613" i="4"/>
  <c r="F613" i="4"/>
  <c r="G613" i="4"/>
  <c r="H613" i="4"/>
  <c r="I613" i="4"/>
  <c r="J613" i="4"/>
  <c r="K613" i="4"/>
  <c r="B614" i="4"/>
  <c r="C614" i="4"/>
  <c r="D614" i="4"/>
  <c r="E614" i="4"/>
  <c r="F614" i="4"/>
  <c r="G614" i="4"/>
  <c r="H614" i="4"/>
  <c r="I614" i="4"/>
  <c r="J614" i="4"/>
  <c r="K614" i="4"/>
  <c r="B615" i="4"/>
  <c r="C615" i="4"/>
  <c r="D615" i="4"/>
  <c r="E615" i="4"/>
  <c r="F615" i="4"/>
  <c r="G615" i="4"/>
  <c r="H615" i="4"/>
  <c r="I615" i="4"/>
  <c r="J615" i="4"/>
  <c r="K615" i="4"/>
  <c r="B616" i="4"/>
  <c r="C616" i="4"/>
  <c r="D616" i="4"/>
  <c r="E616" i="4"/>
  <c r="F616" i="4"/>
  <c r="G616" i="4"/>
  <c r="H616" i="4"/>
  <c r="I616" i="4"/>
  <c r="J616" i="4"/>
  <c r="K616" i="4"/>
  <c r="B617" i="4"/>
  <c r="C617" i="4"/>
  <c r="D617" i="4"/>
  <c r="E617" i="4"/>
  <c r="F617" i="4"/>
  <c r="G617" i="4"/>
  <c r="H617" i="4"/>
  <c r="I617" i="4"/>
  <c r="J617" i="4"/>
  <c r="K617" i="4"/>
  <c r="B618" i="4"/>
  <c r="C618" i="4"/>
  <c r="D618" i="4"/>
  <c r="E618" i="4"/>
  <c r="F618" i="4"/>
  <c r="G618" i="4"/>
  <c r="H618" i="4"/>
  <c r="I618" i="4"/>
  <c r="J618" i="4"/>
  <c r="K618" i="4"/>
  <c r="B619" i="4"/>
  <c r="C619" i="4"/>
  <c r="D619" i="4"/>
  <c r="E619" i="4"/>
  <c r="F619" i="4"/>
  <c r="G619" i="4"/>
  <c r="H619" i="4"/>
  <c r="I619" i="4"/>
  <c r="J619" i="4"/>
  <c r="K619" i="4"/>
  <c r="B620" i="4"/>
  <c r="C620" i="4"/>
  <c r="D620" i="4"/>
  <c r="E620" i="4"/>
  <c r="F620" i="4"/>
  <c r="G620" i="4"/>
  <c r="H620" i="4"/>
  <c r="I620" i="4"/>
  <c r="J620" i="4"/>
  <c r="K620" i="4"/>
  <c r="B621" i="4"/>
  <c r="C621" i="4"/>
  <c r="D621" i="4"/>
  <c r="E621" i="4"/>
  <c r="F621" i="4"/>
  <c r="G621" i="4"/>
  <c r="H621" i="4"/>
  <c r="I621" i="4"/>
  <c r="J621" i="4"/>
  <c r="K621" i="4"/>
  <c r="B622" i="4"/>
  <c r="C622" i="4"/>
  <c r="D622" i="4"/>
  <c r="E622" i="4"/>
  <c r="F622" i="4"/>
  <c r="G622" i="4"/>
  <c r="H622" i="4"/>
  <c r="I622" i="4"/>
  <c r="J622" i="4"/>
  <c r="K622" i="4"/>
  <c r="B623" i="4"/>
  <c r="C623" i="4"/>
  <c r="D623" i="4"/>
  <c r="E623" i="4"/>
  <c r="F623" i="4"/>
  <c r="G623" i="4"/>
  <c r="H623" i="4"/>
  <c r="I623" i="4"/>
  <c r="J623" i="4"/>
  <c r="K623" i="4"/>
  <c r="B624" i="4"/>
  <c r="C624" i="4"/>
  <c r="D624" i="4"/>
  <c r="E624" i="4"/>
  <c r="F624" i="4"/>
  <c r="G624" i="4"/>
  <c r="H624" i="4"/>
  <c r="I624" i="4"/>
  <c r="J624" i="4"/>
  <c r="K624" i="4"/>
  <c r="B625" i="4"/>
  <c r="C625" i="4"/>
  <c r="D625" i="4"/>
  <c r="E625" i="4"/>
  <c r="F625" i="4"/>
  <c r="G625" i="4"/>
  <c r="H625" i="4"/>
  <c r="I625" i="4"/>
  <c r="J625" i="4"/>
  <c r="K625" i="4"/>
  <c r="B626" i="4"/>
  <c r="C626" i="4"/>
  <c r="D626" i="4"/>
  <c r="E626" i="4"/>
  <c r="F626" i="4"/>
  <c r="G626" i="4"/>
  <c r="H626" i="4"/>
  <c r="I626" i="4"/>
  <c r="J626" i="4"/>
  <c r="K626" i="4"/>
  <c r="B627" i="4"/>
  <c r="C627" i="4"/>
  <c r="D627" i="4"/>
  <c r="E627" i="4"/>
  <c r="F627" i="4"/>
  <c r="G627" i="4"/>
  <c r="H627" i="4"/>
  <c r="I627" i="4"/>
  <c r="J627" i="4"/>
  <c r="K627" i="4"/>
  <c r="B628" i="4"/>
  <c r="C628" i="4"/>
  <c r="D628" i="4"/>
  <c r="E628" i="4"/>
  <c r="F628" i="4"/>
  <c r="G628" i="4"/>
  <c r="H628" i="4"/>
  <c r="I628" i="4"/>
  <c r="J628" i="4"/>
  <c r="K628" i="4"/>
  <c r="B629" i="4"/>
  <c r="C629" i="4"/>
  <c r="D629" i="4"/>
  <c r="E629" i="4"/>
  <c r="F629" i="4"/>
  <c r="G629" i="4"/>
  <c r="H629" i="4"/>
  <c r="I629" i="4"/>
  <c r="J629" i="4"/>
  <c r="K629" i="4"/>
  <c r="B630" i="4"/>
  <c r="C630" i="4"/>
  <c r="D630" i="4"/>
  <c r="E630" i="4"/>
  <c r="F630" i="4"/>
  <c r="G630" i="4"/>
  <c r="H630" i="4"/>
  <c r="I630" i="4"/>
  <c r="J630" i="4"/>
  <c r="K630" i="4"/>
  <c r="B631" i="4"/>
  <c r="C631" i="4"/>
  <c r="D631" i="4"/>
  <c r="E631" i="4"/>
  <c r="F631" i="4"/>
  <c r="G631" i="4"/>
  <c r="H631" i="4"/>
  <c r="I631" i="4"/>
  <c r="J631" i="4"/>
  <c r="K631" i="4"/>
  <c r="B632" i="4"/>
  <c r="C632" i="4"/>
  <c r="D632" i="4"/>
  <c r="E632" i="4"/>
  <c r="F632" i="4"/>
  <c r="G632" i="4"/>
  <c r="H632" i="4"/>
  <c r="I632" i="4"/>
  <c r="J632" i="4"/>
  <c r="K632" i="4"/>
  <c r="B633" i="4"/>
  <c r="C633" i="4"/>
  <c r="D633" i="4"/>
  <c r="E633" i="4"/>
  <c r="F633" i="4"/>
  <c r="G633" i="4"/>
  <c r="H633" i="4"/>
  <c r="I633" i="4"/>
  <c r="J633" i="4"/>
  <c r="K633" i="4"/>
  <c r="B634" i="4"/>
  <c r="C634" i="4"/>
  <c r="D634" i="4"/>
  <c r="E634" i="4"/>
  <c r="F634" i="4"/>
  <c r="G634" i="4"/>
  <c r="H634" i="4"/>
  <c r="I634" i="4"/>
  <c r="J634" i="4"/>
  <c r="K634" i="4"/>
  <c r="B635" i="4"/>
  <c r="C635" i="4"/>
  <c r="D635" i="4"/>
  <c r="E635" i="4"/>
  <c r="F635" i="4"/>
  <c r="G635" i="4"/>
  <c r="H635" i="4"/>
  <c r="I635" i="4"/>
  <c r="J635" i="4"/>
  <c r="K635" i="4"/>
  <c r="B636" i="4"/>
  <c r="C636" i="4"/>
  <c r="D636" i="4"/>
  <c r="E636" i="4"/>
  <c r="F636" i="4"/>
  <c r="G636" i="4"/>
  <c r="H636" i="4"/>
  <c r="I636" i="4"/>
  <c r="J636" i="4"/>
  <c r="K636" i="4"/>
  <c r="B637" i="4"/>
  <c r="C637" i="4"/>
  <c r="D637" i="4"/>
  <c r="E637" i="4"/>
  <c r="F637" i="4"/>
  <c r="G637" i="4"/>
  <c r="H637" i="4"/>
  <c r="I637" i="4"/>
  <c r="J637" i="4"/>
  <c r="K637" i="4"/>
  <c r="B638" i="4"/>
  <c r="C638" i="4"/>
  <c r="D638" i="4"/>
  <c r="E638" i="4"/>
  <c r="F638" i="4"/>
  <c r="G638" i="4"/>
  <c r="H638" i="4"/>
  <c r="I638" i="4"/>
  <c r="J638" i="4"/>
  <c r="K638" i="4"/>
  <c r="B639" i="4"/>
  <c r="C639" i="4"/>
  <c r="D639" i="4"/>
  <c r="E639" i="4"/>
  <c r="F639" i="4"/>
  <c r="G639" i="4"/>
  <c r="H639" i="4"/>
  <c r="I639" i="4"/>
  <c r="J639" i="4"/>
  <c r="K639" i="4"/>
  <c r="B640" i="4"/>
  <c r="C640" i="4"/>
  <c r="D640" i="4"/>
  <c r="E640" i="4"/>
  <c r="F640" i="4"/>
  <c r="G640" i="4"/>
  <c r="H640" i="4"/>
  <c r="I640" i="4"/>
  <c r="J640" i="4"/>
  <c r="K640" i="4"/>
  <c r="B641" i="4"/>
  <c r="C641" i="4"/>
  <c r="D641" i="4"/>
  <c r="E641" i="4"/>
  <c r="F641" i="4"/>
  <c r="G641" i="4"/>
  <c r="H641" i="4"/>
  <c r="I641" i="4"/>
  <c r="J641" i="4"/>
  <c r="K641" i="4"/>
  <c r="B642" i="4"/>
  <c r="C642" i="4"/>
  <c r="D642" i="4"/>
  <c r="E642" i="4"/>
  <c r="F642" i="4"/>
  <c r="G642" i="4"/>
  <c r="H642" i="4"/>
  <c r="I642" i="4"/>
  <c r="J642" i="4"/>
  <c r="K642" i="4"/>
  <c r="B643" i="4"/>
  <c r="C643" i="4"/>
  <c r="D643" i="4"/>
  <c r="E643" i="4"/>
  <c r="F643" i="4"/>
  <c r="G643" i="4"/>
  <c r="H643" i="4"/>
  <c r="I643" i="4"/>
  <c r="J643" i="4"/>
  <c r="K643" i="4"/>
  <c r="B644" i="4"/>
  <c r="C644" i="4"/>
  <c r="D644" i="4"/>
  <c r="E644" i="4"/>
  <c r="F644" i="4"/>
  <c r="G644" i="4"/>
  <c r="H644" i="4"/>
  <c r="I644" i="4"/>
  <c r="J644" i="4"/>
  <c r="K644" i="4"/>
  <c r="B645" i="4"/>
  <c r="C645" i="4"/>
  <c r="D645" i="4"/>
  <c r="E645" i="4"/>
  <c r="F645" i="4"/>
  <c r="G645" i="4"/>
  <c r="H645" i="4"/>
  <c r="I645" i="4"/>
  <c r="J645" i="4"/>
  <c r="K645" i="4"/>
  <c r="B646" i="4"/>
  <c r="C646" i="4"/>
  <c r="D646" i="4"/>
  <c r="E646" i="4"/>
  <c r="F646" i="4"/>
  <c r="G646" i="4"/>
  <c r="H646" i="4"/>
  <c r="I646" i="4"/>
  <c r="J646" i="4"/>
  <c r="K646" i="4"/>
  <c r="B647" i="4"/>
  <c r="C647" i="4"/>
  <c r="D647" i="4"/>
  <c r="E647" i="4"/>
  <c r="F647" i="4"/>
  <c r="G647" i="4"/>
  <c r="H647" i="4"/>
  <c r="I647" i="4"/>
  <c r="J647" i="4"/>
  <c r="K647" i="4"/>
  <c r="B648" i="4"/>
  <c r="C648" i="4"/>
  <c r="D648" i="4"/>
  <c r="E648" i="4"/>
  <c r="F648" i="4"/>
  <c r="G648" i="4"/>
  <c r="H648" i="4"/>
  <c r="I648" i="4"/>
  <c r="J648" i="4"/>
  <c r="K648" i="4"/>
  <c r="B649" i="4"/>
  <c r="C649" i="4"/>
  <c r="D649" i="4"/>
  <c r="E649" i="4"/>
  <c r="F649" i="4"/>
  <c r="G649" i="4"/>
  <c r="H649" i="4"/>
  <c r="I649" i="4"/>
  <c r="J649" i="4"/>
  <c r="K649" i="4"/>
  <c r="B650" i="4"/>
  <c r="C650" i="4"/>
  <c r="D650" i="4"/>
  <c r="E650" i="4"/>
  <c r="F650" i="4"/>
  <c r="G650" i="4"/>
  <c r="H650" i="4"/>
  <c r="I650" i="4"/>
  <c r="J650" i="4"/>
  <c r="K650" i="4"/>
  <c r="B651" i="4"/>
  <c r="C651" i="4"/>
  <c r="D651" i="4"/>
  <c r="E651" i="4"/>
  <c r="F651" i="4"/>
  <c r="G651" i="4"/>
  <c r="H651" i="4"/>
  <c r="I651" i="4"/>
  <c r="J651" i="4"/>
  <c r="K651" i="4"/>
  <c r="B652" i="4"/>
  <c r="C652" i="4"/>
  <c r="D652" i="4"/>
  <c r="E652" i="4"/>
  <c r="F652" i="4"/>
  <c r="G652" i="4"/>
  <c r="H652" i="4"/>
  <c r="I652" i="4"/>
  <c r="J652" i="4"/>
  <c r="K652" i="4"/>
  <c r="B653" i="4"/>
  <c r="C653" i="4"/>
  <c r="D653" i="4"/>
  <c r="E653" i="4"/>
  <c r="F653" i="4"/>
  <c r="G653" i="4"/>
  <c r="H653" i="4"/>
  <c r="I653" i="4"/>
  <c r="J653" i="4"/>
  <c r="K653" i="4"/>
  <c r="B654" i="4"/>
  <c r="C654" i="4"/>
  <c r="D654" i="4"/>
  <c r="E654" i="4"/>
  <c r="F654" i="4"/>
  <c r="G654" i="4"/>
  <c r="H654" i="4"/>
  <c r="I654" i="4"/>
  <c r="J654" i="4"/>
  <c r="K654" i="4"/>
  <c r="B655" i="4"/>
  <c r="C655" i="4"/>
  <c r="D655" i="4"/>
  <c r="E655" i="4"/>
  <c r="F655" i="4"/>
  <c r="G655" i="4"/>
  <c r="H655" i="4"/>
  <c r="I655" i="4"/>
  <c r="J655" i="4"/>
  <c r="K655" i="4"/>
  <c r="B656" i="4"/>
  <c r="C656" i="4"/>
  <c r="D656" i="4"/>
  <c r="E656" i="4"/>
  <c r="F656" i="4"/>
  <c r="G656" i="4"/>
  <c r="H656" i="4"/>
  <c r="I656" i="4"/>
  <c r="J656" i="4"/>
  <c r="K656" i="4"/>
  <c r="B657" i="4"/>
  <c r="C657" i="4"/>
  <c r="D657" i="4"/>
  <c r="E657" i="4"/>
  <c r="F657" i="4"/>
  <c r="G657" i="4"/>
  <c r="H657" i="4"/>
  <c r="I657" i="4"/>
  <c r="J657" i="4"/>
  <c r="K657" i="4"/>
  <c r="B658" i="4"/>
  <c r="C658" i="4"/>
  <c r="D658" i="4"/>
  <c r="E658" i="4"/>
  <c r="F658" i="4"/>
  <c r="G658" i="4"/>
  <c r="H658" i="4"/>
  <c r="I658" i="4"/>
  <c r="J658" i="4"/>
  <c r="K658" i="4"/>
  <c r="B659" i="4"/>
  <c r="C659" i="4"/>
  <c r="D659" i="4"/>
  <c r="E659" i="4"/>
  <c r="F659" i="4"/>
  <c r="G659" i="4"/>
  <c r="H659" i="4"/>
  <c r="I659" i="4"/>
  <c r="J659" i="4"/>
  <c r="K659" i="4"/>
  <c r="B660" i="4"/>
  <c r="C660" i="4"/>
  <c r="D660" i="4"/>
  <c r="E660" i="4"/>
  <c r="F660" i="4"/>
  <c r="G660" i="4"/>
  <c r="H660" i="4"/>
  <c r="I660" i="4"/>
  <c r="J660" i="4"/>
  <c r="K660" i="4"/>
  <c r="B661" i="4"/>
  <c r="C661" i="4"/>
  <c r="D661" i="4"/>
  <c r="E661" i="4"/>
  <c r="F661" i="4"/>
  <c r="G661" i="4"/>
  <c r="H661" i="4"/>
  <c r="I661" i="4"/>
  <c r="J661" i="4"/>
  <c r="K661" i="4"/>
  <c r="B662" i="4"/>
  <c r="C662" i="4"/>
  <c r="D662" i="4"/>
  <c r="E662" i="4"/>
  <c r="F662" i="4"/>
  <c r="G662" i="4"/>
  <c r="H662" i="4"/>
  <c r="I662" i="4"/>
  <c r="J662" i="4"/>
  <c r="K662" i="4"/>
  <c r="B663" i="4"/>
  <c r="C663" i="4"/>
  <c r="D663" i="4"/>
  <c r="E663" i="4"/>
  <c r="F663" i="4"/>
  <c r="G663" i="4"/>
  <c r="H663" i="4"/>
  <c r="I663" i="4"/>
  <c r="J663" i="4"/>
  <c r="K663" i="4"/>
  <c r="B664" i="4"/>
  <c r="C664" i="4"/>
  <c r="D664" i="4"/>
  <c r="E664" i="4"/>
  <c r="F664" i="4"/>
  <c r="G664" i="4"/>
  <c r="H664" i="4"/>
  <c r="I664" i="4"/>
  <c r="J664" i="4"/>
  <c r="K664" i="4"/>
  <c r="B665" i="4"/>
  <c r="C665" i="4"/>
  <c r="D665" i="4"/>
  <c r="E665" i="4"/>
  <c r="F665" i="4"/>
  <c r="G665" i="4"/>
  <c r="H665" i="4"/>
  <c r="I665" i="4"/>
  <c r="J665" i="4"/>
  <c r="K665" i="4"/>
  <c r="B666" i="4"/>
  <c r="C666" i="4"/>
  <c r="D666" i="4"/>
  <c r="E666" i="4"/>
  <c r="F666" i="4"/>
  <c r="G666" i="4"/>
  <c r="H666" i="4"/>
  <c r="I666" i="4"/>
  <c r="J666" i="4"/>
  <c r="K666" i="4"/>
  <c r="B667" i="4"/>
  <c r="C667" i="4"/>
  <c r="D667" i="4"/>
  <c r="E667" i="4"/>
  <c r="F667" i="4"/>
  <c r="G667" i="4"/>
  <c r="H667" i="4"/>
  <c r="I667" i="4"/>
  <c r="J667" i="4"/>
  <c r="K667" i="4"/>
  <c r="B668" i="4"/>
  <c r="C668" i="4"/>
  <c r="D668" i="4"/>
  <c r="E668" i="4"/>
  <c r="F668" i="4"/>
  <c r="G668" i="4"/>
  <c r="H668" i="4"/>
  <c r="I668" i="4"/>
  <c r="J668" i="4"/>
  <c r="K668" i="4"/>
  <c r="B669" i="4"/>
  <c r="C669" i="4"/>
  <c r="D669" i="4"/>
  <c r="E669" i="4"/>
  <c r="F669" i="4"/>
  <c r="G669" i="4"/>
  <c r="H669" i="4"/>
  <c r="I669" i="4"/>
  <c r="J669" i="4"/>
  <c r="K669" i="4"/>
  <c r="B670" i="4"/>
  <c r="C670" i="4"/>
  <c r="D670" i="4"/>
  <c r="E670" i="4"/>
  <c r="F670" i="4"/>
  <c r="G670" i="4"/>
  <c r="H670" i="4"/>
  <c r="I670" i="4"/>
  <c r="J670" i="4"/>
  <c r="K670" i="4"/>
  <c r="B671" i="4"/>
  <c r="C671" i="4"/>
  <c r="D671" i="4"/>
  <c r="E671" i="4"/>
  <c r="F671" i="4"/>
  <c r="G671" i="4"/>
  <c r="H671" i="4"/>
  <c r="I671" i="4"/>
  <c r="J671" i="4"/>
  <c r="K671" i="4"/>
  <c r="B672" i="4"/>
  <c r="C672" i="4"/>
  <c r="D672" i="4"/>
  <c r="E672" i="4"/>
  <c r="F672" i="4"/>
  <c r="G672" i="4"/>
  <c r="H672" i="4"/>
  <c r="I672" i="4"/>
  <c r="J672" i="4"/>
  <c r="K672" i="4"/>
  <c r="B673" i="4"/>
  <c r="C673" i="4"/>
  <c r="D673" i="4"/>
  <c r="E673" i="4"/>
  <c r="F673" i="4"/>
  <c r="G673" i="4"/>
  <c r="H673" i="4"/>
  <c r="I673" i="4"/>
  <c r="J673" i="4"/>
  <c r="K673" i="4"/>
  <c r="B674" i="4"/>
  <c r="C674" i="4"/>
  <c r="D674" i="4"/>
  <c r="E674" i="4"/>
  <c r="F674" i="4"/>
  <c r="G674" i="4"/>
  <c r="H674" i="4"/>
  <c r="I674" i="4"/>
  <c r="J674" i="4"/>
  <c r="K674" i="4"/>
  <c r="B675" i="4"/>
  <c r="C675" i="4"/>
  <c r="D675" i="4"/>
  <c r="E675" i="4"/>
  <c r="F675" i="4"/>
  <c r="G675" i="4"/>
  <c r="H675" i="4"/>
  <c r="I675" i="4"/>
  <c r="J675" i="4"/>
  <c r="K675" i="4"/>
  <c r="B676" i="4"/>
  <c r="C676" i="4"/>
  <c r="D676" i="4"/>
  <c r="E676" i="4"/>
  <c r="F676" i="4"/>
  <c r="G676" i="4"/>
  <c r="H676" i="4"/>
  <c r="I676" i="4"/>
  <c r="J676" i="4"/>
  <c r="K676" i="4"/>
  <c r="B677" i="4"/>
  <c r="C677" i="4"/>
  <c r="D677" i="4"/>
  <c r="E677" i="4"/>
  <c r="F677" i="4"/>
  <c r="G677" i="4"/>
  <c r="H677" i="4"/>
  <c r="I677" i="4"/>
  <c r="J677" i="4"/>
  <c r="K677" i="4"/>
  <c r="B678" i="4"/>
  <c r="C678" i="4"/>
  <c r="D678" i="4"/>
  <c r="E678" i="4"/>
  <c r="F678" i="4"/>
  <c r="G678" i="4"/>
  <c r="H678" i="4"/>
  <c r="I678" i="4"/>
  <c r="J678" i="4"/>
  <c r="K678" i="4"/>
  <c r="B679" i="4"/>
  <c r="C679" i="4"/>
  <c r="D679" i="4"/>
  <c r="E679" i="4"/>
  <c r="F679" i="4"/>
  <c r="G679" i="4"/>
  <c r="H679" i="4"/>
  <c r="I679" i="4"/>
  <c r="J679" i="4"/>
  <c r="K679" i="4"/>
  <c r="B680" i="4"/>
  <c r="C680" i="4"/>
  <c r="D680" i="4"/>
  <c r="E680" i="4"/>
  <c r="F680" i="4"/>
  <c r="G680" i="4"/>
  <c r="H680" i="4"/>
  <c r="I680" i="4"/>
  <c r="J680" i="4"/>
  <c r="K680" i="4"/>
  <c r="B681" i="4"/>
  <c r="C681" i="4"/>
  <c r="D681" i="4"/>
  <c r="E681" i="4"/>
  <c r="F681" i="4"/>
  <c r="G681" i="4"/>
  <c r="H681" i="4"/>
  <c r="I681" i="4"/>
  <c r="J681" i="4"/>
  <c r="K681" i="4"/>
  <c r="B682" i="4"/>
  <c r="C682" i="4"/>
  <c r="D682" i="4"/>
  <c r="E682" i="4"/>
  <c r="F682" i="4"/>
  <c r="G682" i="4"/>
  <c r="H682" i="4"/>
  <c r="I682" i="4"/>
  <c r="J682" i="4"/>
  <c r="K682" i="4"/>
  <c r="B683" i="4"/>
  <c r="C683" i="4"/>
  <c r="D683" i="4"/>
  <c r="E683" i="4"/>
  <c r="F683" i="4"/>
  <c r="G683" i="4"/>
  <c r="H683" i="4"/>
  <c r="I683" i="4"/>
  <c r="J683" i="4"/>
  <c r="K683" i="4"/>
  <c r="B684" i="4"/>
  <c r="C684" i="4"/>
  <c r="D684" i="4"/>
  <c r="E684" i="4"/>
  <c r="F684" i="4"/>
  <c r="G684" i="4"/>
  <c r="H684" i="4"/>
  <c r="I684" i="4"/>
  <c r="J684" i="4"/>
  <c r="K684" i="4"/>
  <c r="B685" i="4"/>
  <c r="C685" i="4"/>
  <c r="D685" i="4"/>
  <c r="E685" i="4"/>
  <c r="F685" i="4"/>
  <c r="G685" i="4"/>
  <c r="H685" i="4"/>
  <c r="I685" i="4"/>
  <c r="J685" i="4"/>
  <c r="K685" i="4"/>
  <c r="B686" i="4"/>
  <c r="C686" i="4"/>
  <c r="D686" i="4"/>
  <c r="E686" i="4"/>
  <c r="F686" i="4"/>
  <c r="G686" i="4"/>
  <c r="H686" i="4"/>
  <c r="I686" i="4"/>
  <c r="J686" i="4"/>
  <c r="K686" i="4"/>
  <c r="B687" i="4"/>
  <c r="C687" i="4"/>
  <c r="D687" i="4"/>
  <c r="E687" i="4"/>
  <c r="F687" i="4"/>
  <c r="G687" i="4"/>
  <c r="H687" i="4"/>
  <c r="I687" i="4"/>
  <c r="J687" i="4"/>
  <c r="K687" i="4"/>
  <c r="B688" i="4"/>
  <c r="C688" i="4"/>
  <c r="D688" i="4"/>
  <c r="E688" i="4"/>
  <c r="F688" i="4"/>
  <c r="G688" i="4"/>
  <c r="H688" i="4"/>
  <c r="I688" i="4"/>
  <c r="J688" i="4"/>
  <c r="K688" i="4"/>
  <c r="B689" i="4"/>
  <c r="C689" i="4"/>
  <c r="D689" i="4"/>
  <c r="E689" i="4"/>
  <c r="F689" i="4"/>
  <c r="G689" i="4"/>
  <c r="H689" i="4"/>
  <c r="I689" i="4"/>
  <c r="J689" i="4"/>
  <c r="K689" i="4"/>
  <c r="B690" i="4"/>
  <c r="C690" i="4"/>
  <c r="D690" i="4"/>
  <c r="E690" i="4"/>
  <c r="F690" i="4"/>
  <c r="G690" i="4"/>
  <c r="H690" i="4"/>
  <c r="I690" i="4"/>
  <c r="J690" i="4"/>
  <c r="K690" i="4"/>
  <c r="B691" i="4"/>
  <c r="C691" i="4"/>
  <c r="D691" i="4"/>
  <c r="E691" i="4"/>
  <c r="F691" i="4"/>
  <c r="G691" i="4"/>
  <c r="H691" i="4"/>
  <c r="I691" i="4"/>
  <c r="J691" i="4"/>
  <c r="K691" i="4"/>
  <c r="B692" i="4"/>
  <c r="C692" i="4"/>
  <c r="D692" i="4"/>
  <c r="E692" i="4"/>
  <c r="F692" i="4"/>
  <c r="G692" i="4"/>
  <c r="H692" i="4"/>
  <c r="I692" i="4"/>
  <c r="J692" i="4"/>
  <c r="K692" i="4"/>
  <c r="B693" i="4"/>
  <c r="C693" i="4"/>
  <c r="D693" i="4"/>
  <c r="E693" i="4"/>
  <c r="F693" i="4"/>
  <c r="G693" i="4"/>
  <c r="H693" i="4"/>
  <c r="I693" i="4"/>
  <c r="J693" i="4"/>
  <c r="K693" i="4"/>
  <c r="B694" i="4"/>
  <c r="C694" i="4"/>
  <c r="D694" i="4"/>
  <c r="E694" i="4"/>
  <c r="F694" i="4"/>
  <c r="G694" i="4"/>
  <c r="H694" i="4"/>
  <c r="I694" i="4"/>
  <c r="J694" i="4"/>
  <c r="K694" i="4"/>
  <c r="B695" i="4"/>
  <c r="C695" i="4"/>
  <c r="D695" i="4"/>
  <c r="E695" i="4"/>
  <c r="F695" i="4"/>
  <c r="G695" i="4"/>
  <c r="H695" i="4"/>
  <c r="I695" i="4"/>
  <c r="J695" i="4"/>
  <c r="K695" i="4"/>
  <c r="B696" i="4"/>
  <c r="C696" i="4"/>
  <c r="D696" i="4"/>
  <c r="E696" i="4"/>
  <c r="F696" i="4"/>
  <c r="G696" i="4"/>
  <c r="H696" i="4"/>
  <c r="I696" i="4"/>
  <c r="J696" i="4"/>
  <c r="K696" i="4"/>
  <c r="B697" i="4"/>
  <c r="C697" i="4"/>
  <c r="D697" i="4"/>
  <c r="E697" i="4"/>
  <c r="F697" i="4"/>
  <c r="G697" i="4"/>
  <c r="H697" i="4"/>
  <c r="I697" i="4"/>
  <c r="J697" i="4"/>
  <c r="K697" i="4"/>
  <c r="B698" i="4"/>
  <c r="C698" i="4"/>
  <c r="D698" i="4"/>
  <c r="E698" i="4"/>
  <c r="F698" i="4"/>
  <c r="G698" i="4"/>
  <c r="H698" i="4"/>
  <c r="I698" i="4"/>
  <c r="J698" i="4"/>
  <c r="K698" i="4"/>
  <c r="B699" i="4"/>
  <c r="C699" i="4"/>
  <c r="D699" i="4"/>
  <c r="E699" i="4"/>
  <c r="F699" i="4"/>
  <c r="G699" i="4"/>
  <c r="H699" i="4"/>
  <c r="I699" i="4"/>
  <c r="J699" i="4"/>
  <c r="K699" i="4"/>
  <c r="B700" i="4"/>
  <c r="C700" i="4"/>
  <c r="D700" i="4"/>
  <c r="E700" i="4"/>
  <c r="F700" i="4"/>
  <c r="G700" i="4"/>
  <c r="H700" i="4"/>
  <c r="I700" i="4"/>
  <c r="J700" i="4"/>
  <c r="K700" i="4"/>
  <c r="B701" i="4"/>
  <c r="C701" i="4"/>
  <c r="D701" i="4"/>
  <c r="E701" i="4"/>
  <c r="F701" i="4"/>
  <c r="G701" i="4"/>
  <c r="H701" i="4"/>
  <c r="I701" i="4"/>
  <c r="J701" i="4"/>
  <c r="K701" i="4"/>
  <c r="B702" i="4"/>
  <c r="C702" i="4"/>
  <c r="D702" i="4"/>
  <c r="E702" i="4"/>
  <c r="F702" i="4"/>
  <c r="G702" i="4"/>
  <c r="H702" i="4"/>
  <c r="I702" i="4"/>
  <c r="J702" i="4"/>
  <c r="K702" i="4"/>
  <c r="B703" i="4"/>
  <c r="C703" i="4"/>
  <c r="D703" i="4"/>
  <c r="E703" i="4"/>
  <c r="F703" i="4"/>
  <c r="G703" i="4"/>
  <c r="H703" i="4"/>
  <c r="I703" i="4"/>
  <c r="J703" i="4"/>
  <c r="K703" i="4"/>
  <c r="B704" i="4"/>
  <c r="C704" i="4"/>
  <c r="D704" i="4"/>
  <c r="E704" i="4"/>
  <c r="F704" i="4"/>
  <c r="G704" i="4"/>
  <c r="H704" i="4"/>
  <c r="I704" i="4"/>
  <c r="J704" i="4"/>
  <c r="K704" i="4"/>
  <c r="B705" i="4"/>
  <c r="C705" i="4"/>
  <c r="D705" i="4"/>
  <c r="E705" i="4"/>
  <c r="F705" i="4"/>
  <c r="G705" i="4"/>
  <c r="H705" i="4"/>
  <c r="I705" i="4"/>
  <c r="J705" i="4"/>
  <c r="K705" i="4"/>
  <c r="B706" i="4"/>
  <c r="C706" i="4"/>
  <c r="D706" i="4"/>
  <c r="E706" i="4"/>
  <c r="F706" i="4"/>
  <c r="G706" i="4"/>
  <c r="H706" i="4"/>
  <c r="I706" i="4"/>
  <c r="J706" i="4"/>
  <c r="K706" i="4"/>
  <c r="B707" i="4"/>
  <c r="C707" i="4"/>
  <c r="D707" i="4"/>
  <c r="E707" i="4"/>
  <c r="F707" i="4"/>
  <c r="G707" i="4"/>
  <c r="H707" i="4"/>
  <c r="I707" i="4"/>
  <c r="J707" i="4"/>
  <c r="K707" i="4"/>
  <c r="B708" i="4"/>
  <c r="C708" i="4"/>
  <c r="D708" i="4"/>
  <c r="E708" i="4"/>
  <c r="F708" i="4"/>
  <c r="G708" i="4"/>
  <c r="H708" i="4"/>
  <c r="I708" i="4"/>
  <c r="J708" i="4"/>
  <c r="K708" i="4"/>
  <c r="B709" i="4"/>
  <c r="C709" i="4"/>
  <c r="D709" i="4"/>
  <c r="E709" i="4"/>
  <c r="F709" i="4"/>
  <c r="G709" i="4"/>
  <c r="H709" i="4"/>
  <c r="I709" i="4"/>
  <c r="J709" i="4"/>
  <c r="K709" i="4"/>
  <c r="B710" i="4"/>
  <c r="C710" i="4"/>
  <c r="D710" i="4"/>
  <c r="E710" i="4"/>
  <c r="F710" i="4"/>
  <c r="G710" i="4"/>
  <c r="H710" i="4"/>
  <c r="I710" i="4"/>
  <c r="J710" i="4"/>
  <c r="K710" i="4"/>
  <c r="B711" i="4"/>
  <c r="C711" i="4"/>
  <c r="D711" i="4"/>
  <c r="E711" i="4"/>
  <c r="F711" i="4"/>
  <c r="G711" i="4"/>
  <c r="H711" i="4"/>
  <c r="I711" i="4"/>
  <c r="J711" i="4"/>
  <c r="K711" i="4"/>
  <c r="B712" i="4"/>
  <c r="C712" i="4"/>
  <c r="D712" i="4"/>
  <c r="E712" i="4"/>
  <c r="F712" i="4"/>
  <c r="G712" i="4"/>
  <c r="H712" i="4"/>
  <c r="I712" i="4"/>
  <c r="J712" i="4"/>
  <c r="K712" i="4"/>
  <c r="B713" i="4"/>
  <c r="C713" i="4"/>
  <c r="D713" i="4"/>
  <c r="E713" i="4"/>
  <c r="F713" i="4"/>
  <c r="G713" i="4"/>
  <c r="H713" i="4"/>
  <c r="I713" i="4"/>
  <c r="J713" i="4"/>
  <c r="K713" i="4"/>
  <c r="B714" i="4"/>
  <c r="C714" i="4"/>
  <c r="D714" i="4"/>
  <c r="E714" i="4"/>
  <c r="F714" i="4"/>
  <c r="G714" i="4"/>
  <c r="H714" i="4"/>
  <c r="I714" i="4"/>
  <c r="J714" i="4"/>
  <c r="K714" i="4"/>
  <c r="B715" i="4"/>
  <c r="C715" i="4"/>
  <c r="D715" i="4"/>
  <c r="E715" i="4"/>
  <c r="F715" i="4"/>
  <c r="G715" i="4"/>
  <c r="H715" i="4"/>
  <c r="I715" i="4"/>
  <c r="J715" i="4"/>
  <c r="K715" i="4"/>
  <c r="B716" i="4"/>
  <c r="C716" i="4"/>
  <c r="D716" i="4"/>
  <c r="E716" i="4"/>
  <c r="F716" i="4"/>
  <c r="G716" i="4"/>
  <c r="H716" i="4"/>
  <c r="I716" i="4"/>
  <c r="J716" i="4"/>
  <c r="K716" i="4"/>
  <c r="B717" i="4"/>
  <c r="C717" i="4"/>
  <c r="D717" i="4"/>
  <c r="E717" i="4"/>
  <c r="F717" i="4"/>
  <c r="G717" i="4"/>
  <c r="H717" i="4"/>
  <c r="I717" i="4"/>
  <c r="J717" i="4"/>
  <c r="K717" i="4"/>
  <c r="B718" i="4"/>
  <c r="C718" i="4"/>
  <c r="D718" i="4"/>
  <c r="E718" i="4"/>
  <c r="F718" i="4"/>
  <c r="G718" i="4"/>
  <c r="H718" i="4"/>
  <c r="I718" i="4"/>
  <c r="J718" i="4"/>
  <c r="K718" i="4"/>
  <c r="B719" i="4"/>
  <c r="C719" i="4"/>
  <c r="D719" i="4"/>
  <c r="E719" i="4"/>
  <c r="F719" i="4"/>
  <c r="G719" i="4"/>
  <c r="H719" i="4"/>
  <c r="I719" i="4"/>
  <c r="J719" i="4"/>
  <c r="K719" i="4"/>
  <c r="B720" i="4"/>
  <c r="C720" i="4"/>
  <c r="D720" i="4"/>
  <c r="E720" i="4"/>
  <c r="F720" i="4"/>
  <c r="G720" i="4"/>
  <c r="H720" i="4"/>
  <c r="I720" i="4"/>
  <c r="J720" i="4"/>
  <c r="K720" i="4"/>
  <c r="B721" i="4"/>
  <c r="C721" i="4"/>
  <c r="D721" i="4"/>
  <c r="E721" i="4"/>
  <c r="F721" i="4"/>
  <c r="G721" i="4"/>
  <c r="H721" i="4"/>
  <c r="I721" i="4"/>
  <c r="J721" i="4"/>
  <c r="K721" i="4"/>
  <c r="B722" i="4"/>
  <c r="C722" i="4"/>
  <c r="D722" i="4"/>
  <c r="E722" i="4"/>
  <c r="F722" i="4"/>
  <c r="G722" i="4"/>
  <c r="H722" i="4"/>
  <c r="I722" i="4"/>
  <c r="J722" i="4"/>
  <c r="K722" i="4"/>
  <c r="B723" i="4"/>
  <c r="C723" i="4"/>
  <c r="D723" i="4"/>
  <c r="E723" i="4"/>
  <c r="F723" i="4"/>
  <c r="G723" i="4"/>
  <c r="H723" i="4"/>
  <c r="I723" i="4"/>
  <c r="J723" i="4"/>
  <c r="K723" i="4"/>
  <c r="B724" i="4"/>
  <c r="C724" i="4"/>
  <c r="D724" i="4"/>
  <c r="E724" i="4"/>
  <c r="F724" i="4"/>
  <c r="G724" i="4"/>
  <c r="H724" i="4"/>
  <c r="I724" i="4"/>
  <c r="J724" i="4"/>
  <c r="K724" i="4"/>
  <c r="B725" i="4"/>
  <c r="C725" i="4"/>
  <c r="D725" i="4"/>
  <c r="E725" i="4"/>
  <c r="F725" i="4"/>
  <c r="G725" i="4"/>
  <c r="H725" i="4"/>
  <c r="I725" i="4"/>
  <c r="J725" i="4"/>
  <c r="K725" i="4"/>
  <c r="B726" i="4"/>
  <c r="C726" i="4"/>
  <c r="D726" i="4"/>
  <c r="E726" i="4"/>
  <c r="F726" i="4"/>
  <c r="G726" i="4"/>
  <c r="H726" i="4"/>
  <c r="I726" i="4"/>
  <c r="J726" i="4"/>
  <c r="K726" i="4"/>
  <c r="B727" i="4"/>
  <c r="C727" i="4"/>
  <c r="D727" i="4"/>
  <c r="E727" i="4"/>
  <c r="F727" i="4"/>
  <c r="G727" i="4"/>
  <c r="H727" i="4"/>
  <c r="I727" i="4"/>
  <c r="J727" i="4"/>
  <c r="K727" i="4"/>
  <c r="B728" i="4"/>
  <c r="C728" i="4"/>
  <c r="D728" i="4"/>
  <c r="E728" i="4"/>
  <c r="F728" i="4"/>
  <c r="G728" i="4"/>
  <c r="H728" i="4"/>
  <c r="I728" i="4"/>
  <c r="J728" i="4"/>
  <c r="K728" i="4"/>
  <c r="B729" i="4"/>
  <c r="C729" i="4"/>
  <c r="D729" i="4"/>
  <c r="E729" i="4"/>
  <c r="F729" i="4"/>
  <c r="G729" i="4"/>
  <c r="H729" i="4"/>
  <c r="I729" i="4"/>
  <c r="J729" i="4"/>
  <c r="K729" i="4"/>
  <c r="B730" i="4"/>
  <c r="C730" i="4"/>
  <c r="D730" i="4"/>
  <c r="E730" i="4"/>
  <c r="F730" i="4"/>
  <c r="G730" i="4"/>
  <c r="H730" i="4"/>
  <c r="I730" i="4"/>
  <c r="J730" i="4"/>
  <c r="K730" i="4"/>
  <c r="B731" i="4"/>
  <c r="C731" i="4"/>
  <c r="D731" i="4"/>
  <c r="E731" i="4"/>
  <c r="F731" i="4"/>
  <c r="G731" i="4"/>
  <c r="H731" i="4"/>
  <c r="I731" i="4"/>
  <c r="J731" i="4"/>
  <c r="K731" i="4"/>
  <c r="B732" i="4"/>
  <c r="C732" i="4"/>
  <c r="D732" i="4"/>
  <c r="E732" i="4"/>
  <c r="F732" i="4"/>
  <c r="G732" i="4"/>
  <c r="H732" i="4"/>
  <c r="I732" i="4"/>
  <c r="J732" i="4"/>
  <c r="K732" i="4"/>
  <c r="B733" i="4"/>
  <c r="C733" i="4"/>
  <c r="D733" i="4"/>
  <c r="E733" i="4"/>
  <c r="F733" i="4"/>
  <c r="G733" i="4"/>
  <c r="H733" i="4"/>
  <c r="I733" i="4"/>
  <c r="J733" i="4"/>
  <c r="K733" i="4"/>
  <c r="B734" i="4"/>
  <c r="C734" i="4"/>
  <c r="D734" i="4"/>
  <c r="E734" i="4"/>
  <c r="F734" i="4"/>
  <c r="G734" i="4"/>
  <c r="H734" i="4"/>
  <c r="I734" i="4"/>
  <c r="J734" i="4"/>
  <c r="K734" i="4"/>
  <c r="B735" i="4"/>
  <c r="C735" i="4"/>
  <c r="D735" i="4"/>
  <c r="E735" i="4"/>
  <c r="F735" i="4"/>
  <c r="G735" i="4"/>
  <c r="H735" i="4"/>
  <c r="I735" i="4"/>
  <c r="J735" i="4"/>
  <c r="K735" i="4"/>
  <c r="B736" i="4"/>
  <c r="C736" i="4"/>
  <c r="D736" i="4"/>
  <c r="E736" i="4"/>
  <c r="F736" i="4"/>
  <c r="G736" i="4"/>
  <c r="H736" i="4"/>
  <c r="I736" i="4"/>
  <c r="J736" i="4"/>
  <c r="K736" i="4"/>
  <c r="B737" i="4"/>
  <c r="C737" i="4"/>
  <c r="D737" i="4"/>
  <c r="E737" i="4"/>
  <c r="F737" i="4"/>
  <c r="G737" i="4"/>
  <c r="H737" i="4"/>
  <c r="I737" i="4"/>
  <c r="J737" i="4"/>
  <c r="K737" i="4"/>
  <c r="B738" i="4"/>
  <c r="C738" i="4"/>
  <c r="D738" i="4"/>
  <c r="E738" i="4"/>
  <c r="F738" i="4"/>
  <c r="G738" i="4"/>
  <c r="H738" i="4"/>
  <c r="I738" i="4"/>
  <c r="J738" i="4"/>
  <c r="K738" i="4"/>
  <c r="B739" i="4"/>
  <c r="C739" i="4"/>
  <c r="D739" i="4"/>
  <c r="E739" i="4"/>
  <c r="F739" i="4"/>
  <c r="G739" i="4"/>
  <c r="H739" i="4"/>
  <c r="I739" i="4"/>
  <c r="J739" i="4"/>
  <c r="K739" i="4"/>
  <c r="B740" i="4"/>
  <c r="C740" i="4"/>
  <c r="D740" i="4"/>
  <c r="E740" i="4"/>
  <c r="F740" i="4"/>
  <c r="G740" i="4"/>
  <c r="H740" i="4"/>
  <c r="I740" i="4"/>
  <c r="J740" i="4"/>
  <c r="K740" i="4"/>
  <c r="B741" i="4"/>
  <c r="C741" i="4"/>
  <c r="D741" i="4"/>
  <c r="E741" i="4"/>
  <c r="F741" i="4"/>
  <c r="G741" i="4"/>
  <c r="H741" i="4"/>
  <c r="I741" i="4"/>
  <c r="J741" i="4"/>
  <c r="K741" i="4"/>
  <c r="B742" i="4"/>
  <c r="C742" i="4"/>
  <c r="D742" i="4"/>
  <c r="E742" i="4"/>
  <c r="F742" i="4"/>
  <c r="G742" i="4"/>
  <c r="H742" i="4"/>
  <c r="I742" i="4"/>
  <c r="J742" i="4"/>
  <c r="K742" i="4"/>
  <c r="B743" i="4"/>
  <c r="C743" i="4"/>
  <c r="D743" i="4"/>
  <c r="E743" i="4"/>
  <c r="F743" i="4"/>
  <c r="G743" i="4"/>
  <c r="H743" i="4"/>
  <c r="I743" i="4"/>
  <c r="J743" i="4"/>
  <c r="K743" i="4"/>
  <c r="B744" i="4"/>
  <c r="C744" i="4"/>
  <c r="D744" i="4"/>
  <c r="E744" i="4"/>
  <c r="F744" i="4"/>
  <c r="G744" i="4"/>
  <c r="H744" i="4"/>
  <c r="I744" i="4"/>
  <c r="J744" i="4"/>
  <c r="K744" i="4"/>
  <c r="B745" i="4"/>
  <c r="C745" i="4"/>
  <c r="D745" i="4"/>
  <c r="E745" i="4"/>
  <c r="F745" i="4"/>
  <c r="G745" i="4"/>
  <c r="H745" i="4"/>
  <c r="I745" i="4"/>
  <c r="J745" i="4"/>
  <c r="K745" i="4"/>
  <c r="B746" i="4"/>
  <c r="C746" i="4"/>
  <c r="D746" i="4"/>
  <c r="E746" i="4"/>
  <c r="F746" i="4"/>
  <c r="G746" i="4"/>
  <c r="H746" i="4"/>
  <c r="I746" i="4"/>
  <c r="J746" i="4"/>
  <c r="K746" i="4"/>
  <c r="B747" i="4"/>
  <c r="C747" i="4"/>
  <c r="D747" i="4"/>
  <c r="E747" i="4"/>
  <c r="F747" i="4"/>
  <c r="G747" i="4"/>
  <c r="H747" i="4"/>
  <c r="I747" i="4"/>
  <c r="J747" i="4"/>
  <c r="K747" i="4"/>
  <c r="B748" i="4"/>
  <c r="C748" i="4"/>
  <c r="D748" i="4"/>
  <c r="E748" i="4"/>
  <c r="F748" i="4"/>
  <c r="G748" i="4"/>
  <c r="H748" i="4"/>
  <c r="I748" i="4"/>
  <c r="J748" i="4"/>
  <c r="K748" i="4"/>
  <c r="B749" i="4"/>
  <c r="C749" i="4"/>
  <c r="D749" i="4"/>
  <c r="E749" i="4"/>
  <c r="F749" i="4"/>
  <c r="G749" i="4"/>
  <c r="H749" i="4"/>
  <c r="I749" i="4"/>
  <c r="J749" i="4"/>
  <c r="K749" i="4"/>
  <c r="B750" i="4"/>
  <c r="C750" i="4"/>
  <c r="D750" i="4"/>
  <c r="E750" i="4"/>
  <c r="F750" i="4"/>
  <c r="G750" i="4"/>
  <c r="H750" i="4"/>
  <c r="I750" i="4"/>
  <c r="J750" i="4"/>
  <c r="K750" i="4"/>
  <c r="B751" i="4"/>
  <c r="C751" i="4"/>
  <c r="D751" i="4"/>
  <c r="E751" i="4"/>
  <c r="F751" i="4"/>
  <c r="G751" i="4"/>
  <c r="H751" i="4"/>
  <c r="I751" i="4"/>
  <c r="J751" i="4"/>
  <c r="K751" i="4"/>
  <c r="B752" i="4"/>
  <c r="C752" i="4"/>
  <c r="D752" i="4"/>
  <c r="E752" i="4"/>
  <c r="F752" i="4"/>
  <c r="G752" i="4"/>
  <c r="H752" i="4"/>
  <c r="I752" i="4"/>
  <c r="J752" i="4"/>
  <c r="K752" i="4"/>
  <c r="B753" i="4"/>
  <c r="C753" i="4"/>
  <c r="D753" i="4"/>
  <c r="E753" i="4"/>
  <c r="F753" i="4"/>
  <c r="G753" i="4"/>
  <c r="H753" i="4"/>
  <c r="I753" i="4"/>
  <c r="J753" i="4"/>
  <c r="K753" i="4"/>
  <c r="B754" i="4"/>
  <c r="C754" i="4"/>
  <c r="D754" i="4"/>
  <c r="E754" i="4"/>
  <c r="F754" i="4"/>
  <c r="G754" i="4"/>
  <c r="H754" i="4"/>
  <c r="I754" i="4"/>
  <c r="J754" i="4"/>
  <c r="K754" i="4"/>
  <c r="B755" i="4"/>
  <c r="C755" i="4"/>
  <c r="D755" i="4"/>
  <c r="E755" i="4"/>
  <c r="F755" i="4"/>
  <c r="G755" i="4"/>
  <c r="H755" i="4"/>
  <c r="I755" i="4"/>
  <c r="J755" i="4"/>
  <c r="K755" i="4"/>
  <c r="B756" i="4"/>
  <c r="C756" i="4"/>
  <c r="D756" i="4"/>
  <c r="E756" i="4"/>
  <c r="F756" i="4"/>
  <c r="G756" i="4"/>
  <c r="H756" i="4"/>
  <c r="I756" i="4"/>
  <c r="J756" i="4"/>
  <c r="K756" i="4"/>
  <c r="B757" i="4"/>
  <c r="C757" i="4"/>
  <c r="D757" i="4"/>
  <c r="E757" i="4"/>
  <c r="F757" i="4"/>
  <c r="G757" i="4"/>
  <c r="H757" i="4"/>
  <c r="I757" i="4"/>
  <c r="J757" i="4"/>
  <c r="K757" i="4"/>
  <c r="B758" i="4"/>
  <c r="C758" i="4"/>
  <c r="D758" i="4"/>
  <c r="E758" i="4"/>
  <c r="F758" i="4"/>
  <c r="G758" i="4"/>
  <c r="H758" i="4"/>
  <c r="I758" i="4"/>
  <c r="J758" i="4"/>
  <c r="K758" i="4"/>
  <c r="B759" i="4"/>
  <c r="C759" i="4"/>
  <c r="D759" i="4"/>
  <c r="E759" i="4"/>
  <c r="F759" i="4"/>
  <c r="G759" i="4"/>
  <c r="H759" i="4"/>
  <c r="I759" i="4"/>
  <c r="J759" i="4"/>
  <c r="K759" i="4"/>
  <c r="B760" i="4"/>
  <c r="C760" i="4"/>
  <c r="D760" i="4"/>
  <c r="E760" i="4"/>
  <c r="F760" i="4"/>
  <c r="G760" i="4"/>
  <c r="H760" i="4"/>
  <c r="I760" i="4"/>
  <c r="J760" i="4"/>
  <c r="K760" i="4"/>
  <c r="B761" i="4"/>
  <c r="C761" i="4"/>
  <c r="D761" i="4"/>
  <c r="E761" i="4"/>
  <c r="F761" i="4"/>
  <c r="G761" i="4"/>
  <c r="H761" i="4"/>
  <c r="I761" i="4"/>
  <c r="J761" i="4"/>
  <c r="K761" i="4"/>
  <c r="B762" i="4"/>
  <c r="C762" i="4"/>
  <c r="D762" i="4"/>
  <c r="E762" i="4"/>
  <c r="F762" i="4"/>
  <c r="G762" i="4"/>
  <c r="H762" i="4"/>
  <c r="I762" i="4"/>
  <c r="J762" i="4"/>
  <c r="K762" i="4"/>
  <c r="B763" i="4"/>
  <c r="C763" i="4"/>
  <c r="D763" i="4"/>
  <c r="E763" i="4"/>
  <c r="F763" i="4"/>
  <c r="G763" i="4"/>
  <c r="H763" i="4"/>
  <c r="I763" i="4"/>
  <c r="J763" i="4"/>
  <c r="K763" i="4"/>
  <c r="B764" i="4"/>
  <c r="C764" i="4"/>
  <c r="D764" i="4"/>
  <c r="E764" i="4"/>
  <c r="F764" i="4"/>
  <c r="G764" i="4"/>
  <c r="H764" i="4"/>
  <c r="I764" i="4"/>
  <c r="J764" i="4"/>
  <c r="K764" i="4"/>
  <c r="B765" i="4"/>
  <c r="C765" i="4"/>
  <c r="D765" i="4"/>
  <c r="E765" i="4"/>
  <c r="F765" i="4"/>
  <c r="G765" i="4"/>
  <c r="H765" i="4"/>
  <c r="I765" i="4"/>
  <c r="J765" i="4"/>
  <c r="K765" i="4"/>
  <c r="B766" i="4"/>
  <c r="C766" i="4"/>
  <c r="D766" i="4"/>
  <c r="E766" i="4"/>
  <c r="F766" i="4"/>
  <c r="G766" i="4"/>
  <c r="H766" i="4"/>
  <c r="I766" i="4"/>
  <c r="J766" i="4"/>
  <c r="K766" i="4"/>
  <c r="B767" i="4"/>
  <c r="C767" i="4"/>
  <c r="D767" i="4"/>
  <c r="E767" i="4"/>
  <c r="F767" i="4"/>
  <c r="G767" i="4"/>
  <c r="H767" i="4"/>
  <c r="I767" i="4"/>
  <c r="J767" i="4"/>
  <c r="K767" i="4"/>
  <c r="B768" i="4"/>
  <c r="C768" i="4"/>
  <c r="D768" i="4"/>
  <c r="E768" i="4"/>
  <c r="F768" i="4"/>
  <c r="G768" i="4"/>
  <c r="H768" i="4"/>
  <c r="I768" i="4"/>
  <c r="J768" i="4"/>
  <c r="K768" i="4"/>
  <c r="B769" i="4"/>
  <c r="C769" i="4"/>
  <c r="D769" i="4"/>
  <c r="E769" i="4"/>
  <c r="F769" i="4"/>
  <c r="G769" i="4"/>
  <c r="H769" i="4"/>
  <c r="I769" i="4"/>
  <c r="J769" i="4"/>
  <c r="K769" i="4"/>
  <c r="B770" i="4"/>
  <c r="C770" i="4"/>
  <c r="D770" i="4"/>
  <c r="E770" i="4"/>
  <c r="F770" i="4"/>
  <c r="G770" i="4"/>
  <c r="H770" i="4"/>
  <c r="I770" i="4"/>
  <c r="J770" i="4"/>
  <c r="K770" i="4"/>
  <c r="B771" i="4"/>
  <c r="C771" i="4"/>
  <c r="D771" i="4"/>
  <c r="E771" i="4"/>
  <c r="F771" i="4"/>
  <c r="G771" i="4"/>
  <c r="H771" i="4"/>
  <c r="I771" i="4"/>
  <c r="J771" i="4"/>
  <c r="K771" i="4"/>
  <c r="B772" i="4"/>
  <c r="C772" i="4"/>
  <c r="D772" i="4"/>
  <c r="E772" i="4"/>
  <c r="F772" i="4"/>
  <c r="G772" i="4"/>
  <c r="H772" i="4"/>
  <c r="I772" i="4"/>
  <c r="J772" i="4"/>
  <c r="K772" i="4"/>
  <c r="B773" i="4"/>
  <c r="C773" i="4"/>
  <c r="D773" i="4"/>
  <c r="E773" i="4"/>
  <c r="F773" i="4"/>
  <c r="G773" i="4"/>
  <c r="H773" i="4"/>
  <c r="I773" i="4"/>
  <c r="J773" i="4"/>
  <c r="K773" i="4"/>
  <c r="B774" i="4"/>
  <c r="C774" i="4"/>
  <c r="D774" i="4"/>
  <c r="E774" i="4"/>
  <c r="F774" i="4"/>
  <c r="G774" i="4"/>
  <c r="H774" i="4"/>
  <c r="I774" i="4"/>
  <c r="J774" i="4"/>
  <c r="K774" i="4"/>
  <c r="B775" i="4"/>
  <c r="C775" i="4"/>
  <c r="D775" i="4"/>
  <c r="E775" i="4"/>
  <c r="F775" i="4"/>
  <c r="G775" i="4"/>
  <c r="H775" i="4"/>
  <c r="I775" i="4"/>
  <c r="J775" i="4"/>
  <c r="K775" i="4"/>
  <c r="B776" i="4"/>
  <c r="C776" i="4"/>
  <c r="D776" i="4"/>
  <c r="E776" i="4"/>
  <c r="F776" i="4"/>
  <c r="G776" i="4"/>
  <c r="H776" i="4"/>
  <c r="I776" i="4"/>
  <c r="J776" i="4"/>
  <c r="K776" i="4"/>
  <c r="B777" i="4"/>
  <c r="C777" i="4"/>
  <c r="D777" i="4"/>
  <c r="E777" i="4"/>
  <c r="F777" i="4"/>
  <c r="G777" i="4"/>
  <c r="H777" i="4"/>
  <c r="I777" i="4"/>
  <c r="J777" i="4"/>
  <c r="K777" i="4"/>
  <c r="B778" i="4"/>
  <c r="C778" i="4"/>
  <c r="D778" i="4"/>
  <c r="E778" i="4"/>
  <c r="F778" i="4"/>
  <c r="G778" i="4"/>
  <c r="H778" i="4"/>
  <c r="I778" i="4"/>
  <c r="J778" i="4"/>
  <c r="K778" i="4"/>
  <c r="B779" i="4"/>
  <c r="C779" i="4"/>
  <c r="D779" i="4"/>
  <c r="E779" i="4"/>
  <c r="F779" i="4"/>
  <c r="G779" i="4"/>
  <c r="H779" i="4"/>
  <c r="I779" i="4"/>
  <c r="J779" i="4"/>
  <c r="K779" i="4"/>
  <c r="B780" i="4"/>
  <c r="C780" i="4"/>
  <c r="D780" i="4"/>
  <c r="E780" i="4"/>
  <c r="F780" i="4"/>
  <c r="G780" i="4"/>
  <c r="H780" i="4"/>
  <c r="I780" i="4"/>
  <c r="J780" i="4"/>
  <c r="K780" i="4"/>
  <c r="B781" i="4"/>
  <c r="C781" i="4"/>
  <c r="D781" i="4"/>
  <c r="E781" i="4"/>
  <c r="F781" i="4"/>
  <c r="G781" i="4"/>
  <c r="H781" i="4"/>
  <c r="I781" i="4"/>
  <c r="J781" i="4"/>
  <c r="K781" i="4"/>
  <c r="B782" i="4"/>
  <c r="C782" i="4"/>
  <c r="D782" i="4"/>
  <c r="E782" i="4"/>
  <c r="F782" i="4"/>
  <c r="G782" i="4"/>
  <c r="H782" i="4"/>
  <c r="I782" i="4"/>
  <c r="J782" i="4"/>
  <c r="K782" i="4"/>
  <c r="B783" i="4"/>
  <c r="C783" i="4"/>
  <c r="D783" i="4"/>
  <c r="E783" i="4"/>
  <c r="F783" i="4"/>
  <c r="G783" i="4"/>
  <c r="H783" i="4"/>
  <c r="I783" i="4"/>
  <c r="J783" i="4"/>
  <c r="K783" i="4"/>
  <c r="B784" i="4"/>
  <c r="C784" i="4"/>
  <c r="D784" i="4"/>
  <c r="E784" i="4"/>
  <c r="F784" i="4"/>
  <c r="G784" i="4"/>
  <c r="H784" i="4"/>
  <c r="I784" i="4"/>
  <c r="J784" i="4"/>
  <c r="K784" i="4"/>
  <c r="B785" i="4"/>
  <c r="C785" i="4"/>
  <c r="D785" i="4"/>
  <c r="E785" i="4"/>
  <c r="F785" i="4"/>
  <c r="G785" i="4"/>
  <c r="H785" i="4"/>
  <c r="I785" i="4"/>
  <c r="J785" i="4"/>
  <c r="K785" i="4"/>
  <c r="B786" i="4"/>
  <c r="C786" i="4"/>
  <c r="D786" i="4"/>
  <c r="E786" i="4"/>
  <c r="F786" i="4"/>
  <c r="G786" i="4"/>
  <c r="H786" i="4"/>
  <c r="I786" i="4"/>
  <c r="J786" i="4"/>
  <c r="K786" i="4"/>
  <c r="B787" i="4"/>
  <c r="C787" i="4"/>
  <c r="D787" i="4"/>
  <c r="E787" i="4"/>
  <c r="F787" i="4"/>
  <c r="G787" i="4"/>
  <c r="H787" i="4"/>
  <c r="I787" i="4"/>
  <c r="J787" i="4"/>
  <c r="K787" i="4"/>
  <c r="B788" i="4"/>
  <c r="C788" i="4"/>
  <c r="D788" i="4"/>
  <c r="E788" i="4"/>
  <c r="F788" i="4"/>
  <c r="G788" i="4"/>
  <c r="H788" i="4"/>
  <c r="I788" i="4"/>
  <c r="J788" i="4"/>
  <c r="K788" i="4"/>
  <c r="B789" i="4"/>
  <c r="C789" i="4"/>
  <c r="D789" i="4"/>
  <c r="E789" i="4"/>
  <c r="F789" i="4"/>
  <c r="G789" i="4"/>
  <c r="H789" i="4"/>
  <c r="I789" i="4"/>
  <c r="J789" i="4"/>
  <c r="K789" i="4"/>
  <c r="B790" i="4"/>
  <c r="C790" i="4"/>
  <c r="D790" i="4"/>
  <c r="E790" i="4"/>
  <c r="F790" i="4"/>
  <c r="G790" i="4"/>
  <c r="H790" i="4"/>
  <c r="I790" i="4"/>
  <c r="J790" i="4"/>
  <c r="K790" i="4"/>
  <c r="B791" i="4"/>
  <c r="C791" i="4"/>
  <c r="D791" i="4"/>
  <c r="E791" i="4"/>
  <c r="F791" i="4"/>
  <c r="G791" i="4"/>
  <c r="H791" i="4"/>
  <c r="I791" i="4"/>
  <c r="J791" i="4"/>
  <c r="K791" i="4"/>
  <c r="B792" i="4"/>
  <c r="C792" i="4"/>
  <c r="D792" i="4"/>
  <c r="E792" i="4"/>
  <c r="F792" i="4"/>
  <c r="G792" i="4"/>
  <c r="H792" i="4"/>
  <c r="I792" i="4"/>
  <c r="J792" i="4"/>
  <c r="K792" i="4"/>
  <c r="B793" i="4"/>
  <c r="C793" i="4"/>
  <c r="D793" i="4"/>
  <c r="E793" i="4"/>
  <c r="F793" i="4"/>
  <c r="G793" i="4"/>
  <c r="H793" i="4"/>
  <c r="I793" i="4"/>
  <c r="J793" i="4"/>
  <c r="K793" i="4"/>
  <c r="B794" i="4"/>
  <c r="C794" i="4"/>
  <c r="D794" i="4"/>
  <c r="E794" i="4"/>
  <c r="F794" i="4"/>
  <c r="G794" i="4"/>
  <c r="H794" i="4"/>
  <c r="I794" i="4"/>
  <c r="J794" i="4"/>
  <c r="K794" i="4"/>
  <c r="B795" i="4"/>
  <c r="C795" i="4"/>
  <c r="D795" i="4"/>
  <c r="E795" i="4"/>
  <c r="F795" i="4"/>
  <c r="G795" i="4"/>
  <c r="H795" i="4"/>
  <c r="I795" i="4"/>
  <c r="J795" i="4"/>
  <c r="K795" i="4"/>
  <c r="B796" i="4"/>
  <c r="C796" i="4"/>
  <c r="D796" i="4"/>
  <c r="E796" i="4"/>
  <c r="F796" i="4"/>
  <c r="G796" i="4"/>
  <c r="H796" i="4"/>
  <c r="I796" i="4"/>
  <c r="J796" i="4"/>
  <c r="K796" i="4"/>
  <c r="B797" i="4"/>
  <c r="C797" i="4"/>
  <c r="D797" i="4"/>
  <c r="E797" i="4"/>
  <c r="F797" i="4"/>
  <c r="G797" i="4"/>
  <c r="H797" i="4"/>
  <c r="I797" i="4"/>
  <c r="J797" i="4"/>
  <c r="K797" i="4"/>
  <c r="B798" i="4"/>
  <c r="C798" i="4"/>
  <c r="D798" i="4"/>
  <c r="E798" i="4"/>
  <c r="F798" i="4"/>
  <c r="G798" i="4"/>
  <c r="H798" i="4"/>
  <c r="I798" i="4"/>
  <c r="J798" i="4"/>
  <c r="K798" i="4"/>
  <c r="B799" i="4"/>
  <c r="C799" i="4"/>
  <c r="D799" i="4"/>
  <c r="E799" i="4"/>
  <c r="F799" i="4"/>
  <c r="G799" i="4"/>
  <c r="H799" i="4"/>
  <c r="I799" i="4"/>
  <c r="J799" i="4"/>
  <c r="K799" i="4"/>
  <c r="B800" i="4"/>
  <c r="C800" i="4"/>
  <c r="D800" i="4"/>
  <c r="E800" i="4"/>
  <c r="F800" i="4"/>
  <c r="G800" i="4"/>
  <c r="H800" i="4"/>
  <c r="I800" i="4"/>
  <c r="J800" i="4"/>
  <c r="K800" i="4"/>
  <c r="B801" i="4"/>
  <c r="C801" i="4"/>
  <c r="D801" i="4"/>
  <c r="E801" i="4"/>
  <c r="F801" i="4"/>
  <c r="G801" i="4"/>
  <c r="H801" i="4"/>
  <c r="I801" i="4"/>
  <c r="J801" i="4"/>
  <c r="K801" i="4"/>
  <c r="B802" i="4"/>
  <c r="C802" i="4"/>
  <c r="D802" i="4"/>
  <c r="E802" i="4"/>
  <c r="F802" i="4"/>
  <c r="G802" i="4"/>
  <c r="H802" i="4"/>
  <c r="I802" i="4"/>
  <c r="J802" i="4"/>
  <c r="K802" i="4"/>
  <c r="B803" i="4"/>
  <c r="C803" i="4"/>
  <c r="D803" i="4"/>
  <c r="E803" i="4"/>
  <c r="F803" i="4"/>
  <c r="G803" i="4"/>
  <c r="H803" i="4"/>
  <c r="I803" i="4"/>
  <c r="J803" i="4"/>
  <c r="K803" i="4"/>
  <c r="B804" i="4"/>
  <c r="C804" i="4"/>
  <c r="D804" i="4"/>
  <c r="E804" i="4"/>
  <c r="F804" i="4"/>
  <c r="G804" i="4"/>
  <c r="H804" i="4"/>
  <c r="I804" i="4"/>
  <c r="J804" i="4"/>
  <c r="K804" i="4"/>
  <c r="B805" i="4"/>
  <c r="C805" i="4"/>
  <c r="D805" i="4"/>
  <c r="E805" i="4"/>
  <c r="F805" i="4"/>
  <c r="G805" i="4"/>
  <c r="H805" i="4"/>
  <c r="I805" i="4"/>
  <c r="J805" i="4"/>
  <c r="K805" i="4"/>
  <c r="B806" i="4"/>
  <c r="C806" i="4"/>
  <c r="D806" i="4"/>
  <c r="E806" i="4"/>
  <c r="F806" i="4"/>
  <c r="G806" i="4"/>
  <c r="H806" i="4"/>
  <c r="I806" i="4"/>
  <c r="J806" i="4"/>
  <c r="K806" i="4"/>
  <c r="B807" i="4"/>
  <c r="C807" i="4"/>
  <c r="D807" i="4"/>
  <c r="E807" i="4"/>
  <c r="F807" i="4"/>
  <c r="G807" i="4"/>
  <c r="H807" i="4"/>
  <c r="I807" i="4"/>
  <c r="J807" i="4"/>
  <c r="K807" i="4"/>
  <c r="B808" i="4"/>
  <c r="C808" i="4"/>
  <c r="D808" i="4"/>
  <c r="E808" i="4"/>
  <c r="F808" i="4"/>
  <c r="G808" i="4"/>
  <c r="H808" i="4"/>
  <c r="I808" i="4"/>
  <c r="J808" i="4"/>
  <c r="K808" i="4"/>
  <c r="B809" i="4"/>
  <c r="C809" i="4"/>
  <c r="D809" i="4"/>
  <c r="E809" i="4"/>
  <c r="F809" i="4"/>
  <c r="G809" i="4"/>
  <c r="H809" i="4"/>
  <c r="I809" i="4"/>
  <c r="J809" i="4"/>
  <c r="K809" i="4"/>
  <c r="B810" i="4"/>
  <c r="C810" i="4"/>
  <c r="D810" i="4"/>
  <c r="E810" i="4"/>
  <c r="F810" i="4"/>
  <c r="G810" i="4"/>
  <c r="H810" i="4"/>
  <c r="I810" i="4"/>
  <c r="J810" i="4"/>
  <c r="K810" i="4"/>
  <c r="B811" i="4"/>
  <c r="C811" i="4"/>
  <c r="D811" i="4"/>
  <c r="E811" i="4"/>
  <c r="F811" i="4"/>
  <c r="G811" i="4"/>
  <c r="H811" i="4"/>
  <c r="I811" i="4"/>
  <c r="J811" i="4"/>
  <c r="K811" i="4"/>
  <c r="B812" i="4"/>
  <c r="C812" i="4"/>
  <c r="D812" i="4"/>
  <c r="E812" i="4"/>
  <c r="F812" i="4"/>
  <c r="G812" i="4"/>
  <c r="H812" i="4"/>
  <c r="I812" i="4"/>
  <c r="J812" i="4"/>
  <c r="K812" i="4"/>
  <c r="B813" i="4"/>
  <c r="C813" i="4"/>
  <c r="D813" i="4"/>
  <c r="E813" i="4"/>
  <c r="F813" i="4"/>
  <c r="G813" i="4"/>
  <c r="H813" i="4"/>
  <c r="I813" i="4"/>
  <c r="J813" i="4"/>
  <c r="K813" i="4"/>
  <c r="B814" i="4"/>
  <c r="C814" i="4"/>
  <c r="D814" i="4"/>
  <c r="E814" i="4"/>
  <c r="F814" i="4"/>
  <c r="G814" i="4"/>
  <c r="H814" i="4"/>
  <c r="I814" i="4"/>
  <c r="J814" i="4"/>
  <c r="K814" i="4"/>
  <c r="B815" i="4"/>
  <c r="C815" i="4"/>
  <c r="D815" i="4"/>
  <c r="E815" i="4"/>
  <c r="F815" i="4"/>
  <c r="G815" i="4"/>
  <c r="H815" i="4"/>
  <c r="I815" i="4"/>
  <c r="J815" i="4"/>
  <c r="K815" i="4"/>
  <c r="B816" i="4"/>
  <c r="C816" i="4"/>
  <c r="D816" i="4"/>
  <c r="E816" i="4"/>
  <c r="F816" i="4"/>
  <c r="G816" i="4"/>
  <c r="H816" i="4"/>
  <c r="I816" i="4"/>
  <c r="J816" i="4"/>
  <c r="K816" i="4"/>
  <c r="B817" i="4"/>
  <c r="C817" i="4"/>
  <c r="D817" i="4"/>
  <c r="E817" i="4"/>
  <c r="F817" i="4"/>
  <c r="G817" i="4"/>
  <c r="H817" i="4"/>
  <c r="I817" i="4"/>
  <c r="J817" i="4"/>
  <c r="K817" i="4"/>
  <c r="B818" i="4"/>
  <c r="C818" i="4"/>
  <c r="D818" i="4"/>
  <c r="E818" i="4"/>
  <c r="F818" i="4"/>
  <c r="G818" i="4"/>
  <c r="H818" i="4"/>
  <c r="I818" i="4"/>
  <c r="J818" i="4"/>
  <c r="K818" i="4"/>
  <c r="B819" i="4"/>
  <c r="C819" i="4"/>
  <c r="D819" i="4"/>
  <c r="E819" i="4"/>
  <c r="F819" i="4"/>
  <c r="G819" i="4"/>
  <c r="H819" i="4"/>
  <c r="I819" i="4"/>
  <c r="J819" i="4"/>
  <c r="K819" i="4"/>
  <c r="B820" i="4"/>
  <c r="C820" i="4"/>
  <c r="D820" i="4"/>
  <c r="E820" i="4"/>
  <c r="F820" i="4"/>
  <c r="G820" i="4"/>
  <c r="H820" i="4"/>
  <c r="I820" i="4"/>
  <c r="J820" i="4"/>
  <c r="K820" i="4"/>
  <c r="B821" i="4"/>
  <c r="C821" i="4"/>
  <c r="D821" i="4"/>
  <c r="E821" i="4"/>
  <c r="F821" i="4"/>
  <c r="G821" i="4"/>
  <c r="H821" i="4"/>
  <c r="I821" i="4"/>
  <c r="J821" i="4"/>
  <c r="K821" i="4"/>
  <c r="B822" i="4"/>
  <c r="C822" i="4"/>
  <c r="D822" i="4"/>
  <c r="E822" i="4"/>
  <c r="F822" i="4"/>
  <c r="G822" i="4"/>
  <c r="H822" i="4"/>
  <c r="I822" i="4"/>
  <c r="J822" i="4"/>
  <c r="K822" i="4"/>
  <c r="B823" i="4"/>
  <c r="C823" i="4"/>
  <c r="D823" i="4"/>
  <c r="E823" i="4"/>
  <c r="F823" i="4"/>
  <c r="G823" i="4"/>
  <c r="H823" i="4"/>
  <c r="I823" i="4"/>
  <c r="J823" i="4"/>
  <c r="K823" i="4"/>
  <c r="B824" i="4"/>
  <c r="C824" i="4"/>
  <c r="D824" i="4"/>
  <c r="E824" i="4"/>
  <c r="F824" i="4"/>
  <c r="G824" i="4"/>
  <c r="H824" i="4"/>
  <c r="I824" i="4"/>
  <c r="J824" i="4"/>
  <c r="K824" i="4"/>
  <c r="B825" i="4"/>
  <c r="C825" i="4"/>
  <c r="D825" i="4"/>
  <c r="E825" i="4"/>
  <c r="F825" i="4"/>
  <c r="G825" i="4"/>
  <c r="H825" i="4"/>
  <c r="I825" i="4"/>
  <c r="J825" i="4"/>
  <c r="K825" i="4"/>
  <c r="B826" i="4"/>
  <c r="C826" i="4"/>
  <c r="D826" i="4"/>
  <c r="E826" i="4"/>
  <c r="F826" i="4"/>
  <c r="G826" i="4"/>
  <c r="H826" i="4"/>
  <c r="I826" i="4"/>
  <c r="J826" i="4"/>
  <c r="K826" i="4"/>
  <c r="B827" i="4"/>
  <c r="C827" i="4"/>
  <c r="D827" i="4"/>
  <c r="E827" i="4"/>
  <c r="F827" i="4"/>
  <c r="G827" i="4"/>
  <c r="H827" i="4"/>
  <c r="I827" i="4"/>
  <c r="J827" i="4"/>
  <c r="K827" i="4"/>
  <c r="B828" i="4"/>
  <c r="C828" i="4"/>
  <c r="D828" i="4"/>
  <c r="E828" i="4"/>
  <c r="F828" i="4"/>
  <c r="G828" i="4"/>
  <c r="H828" i="4"/>
  <c r="I828" i="4"/>
  <c r="J828" i="4"/>
  <c r="K828" i="4"/>
  <c r="B829" i="4"/>
  <c r="C829" i="4"/>
  <c r="D829" i="4"/>
  <c r="E829" i="4"/>
  <c r="F829" i="4"/>
  <c r="G829" i="4"/>
  <c r="H829" i="4"/>
  <c r="I829" i="4"/>
  <c r="J829" i="4"/>
  <c r="K829" i="4"/>
  <c r="B830" i="4"/>
  <c r="C830" i="4"/>
  <c r="D830" i="4"/>
  <c r="E830" i="4"/>
  <c r="F830" i="4"/>
  <c r="G830" i="4"/>
  <c r="H830" i="4"/>
  <c r="I830" i="4"/>
  <c r="J830" i="4"/>
  <c r="K830" i="4"/>
  <c r="B831" i="4"/>
  <c r="C831" i="4"/>
  <c r="D831" i="4"/>
  <c r="E831" i="4"/>
  <c r="F831" i="4"/>
  <c r="G831" i="4"/>
  <c r="H831" i="4"/>
  <c r="I831" i="4"/>
  <c r="J831" i="4"/>
  <c r="K831" i="4"/>
  <c r="B832" i="4"/>
  <c r="C832" i="4"/>
  <c r="D832" i="4"/>
  <c r="E832" i="4"/>
  <c r="F832" i="4"/>
  <c r="G832" i="4"/>
  <c r="H832" i="4"/>
  <c r="I832" i="4"/>
  <c r="J832" i="4"/>
  <c r="K832" i="4"/>
  <c r="B833" i="4"/>
  <c r="C833" i="4"/>
  <c r="D833" i="4"/>
  <c r="E833" i="4"/>
  <c r="F833" i="4"/>
  <c r="G833" i="4"/>
  <c r="H833" i="4"/>
  <c r="I833" i="4"/>
  <c r="J833" i="4"/>
  <c r="K833" i="4"/>
  <c r="B834" i="4"/>
  <c r="C834" i="4"/>
  <c r="D834" i="4"/>
  <c r="E834" i="4"/>
  <c r="F834" i="4"/>
  <c r="G834" i="4"/>
  <c r="H834" i="4"/>
  <c r="I834" i="4"/>
  <c r="J834" i="4"/>
  <c r="K834" i="4"/>
  <c r="B835" i="4"/>
  <c r="C835" i="4"/>
  <c r="D835" i="4"/>
  <c r="E835" i="4"/>
  <c r="F835" i="4"/>
  <c r="G835" i="4"/>
  <c r="H835" i="4"/>
  <c r="I835" i="4"/>
  <c r="J835" i="4"/>
  <c r="K835" i="4"/>
  <c r="B836" i="4"/>
  <c r="C836" i="4"/>
  <c r="D836" i="4"/>
  <c r="E836" i="4"/>
  <c r="F836" i="4"/>
  <c r="G836" i="4"/>
  <c r="H836" i="4"/>
  <c r="I836" i="4"/>
  <c r="J836" i="4"/>
  <c r="K836" i="4"/>
  <c r="B837" i="4"/>
  <c r="C837" i="4"/>
  <c r="D837" i="4"/>
  <c r="E837" i="4"/>
  <c r="F837" i="4"/>
  <c r="G837" i="4"/>
  <c r="H837" i="4"/>
  <c r="I837" i="4"/>
  <c r="J837" i="4"/>
  <c r="K837" i="4"/>
  <c r="B838" i="4"/>
  <c r="C838" i="4"/>
  <c r="D838" i="4"/>
  <c r="E838" i="4"/>
  <c r="F838" i="4"/>
  <c r="G838" i="4"/>
  <c r="H838" i="4"/>
  <c r="I838" i="4"/>
  <c r="J838" i="4"/>
  <c r="K838" i="4"/>
  <c r="B839" i="4"/>
  <c r="C839" i="4"/>
  <c r="D839" i="4"/>
  <c r="E839" i="4"/>
  <c r="F839" i="4"/>
  <c r="G839" i="4"/>
  <c r="H839" i="4"/>
  <c r="I839" i="4"/>
  <c r="J839" i="4"/>
  <c r="K839" i="4"/>
  <c r="B840" i="4"/>
  <c r="C840" i="4"/>
  <c r="D840" i="4"/>
  <c r="E840" i="4"/>
  <c r="F840" i="4"/>
  <c r="G840" i="4"/>
  <c r="H840" i="4"/>
  <c r="I840" i="4"/>
  <c r="J840" i="4"/>
  <c r="K840" i="4"/>
  <c r="B841" i="4"/>
  <c r="C841" i="4"/>
  <c r="D841" i="4"/>
  <c r="E841" i="4"/>
  <c r="F841" i="4"/>
  <c r="G841" i="4"/>
  <c r="H841" i="4"/>
  <c r="I841" i="4"/>
  <c r="J841" i="4"/>
  <c r="K841" i="4"/>
  <c r="B842" i="4"/>
  <c r="C842" i="4"/>
  <c r="D842" i="4"/>
  <c r="E842" i="4"/>
  <c r="F842" i="4"/>
  <c r="G842" i="4"/>
  <c r="H842" i="4"/>
  <c r="I842" i="4"/>
  <c r="J842" i="4"/>
  <c r="K842" i="4"/>
  <c r="B843" i="4"/>
  <c r="C843" i="4"/>
  <c r="D843" i="4"/>
  <c r="E843" i="4"/>
  <c r="F843" i="4"/>
  <c r="G843" i="4"/>
  <c r="H843" i="4"/>
  <c r="I843" i="4"/>
  <c r="J843" i="4"/>
  <c r="K843" i="4"/>
  <c r="B844" i="4"/>
  <c r="C844" i="4"/>
  <c r="D844" i="4"/>
  <c r="E844" i="4"/>
  <c r="F844" i="4"/>
  <c r="G844" i="4"/>
  <c r="H844" i="4"/>
  <c r="I844" i="4"/>
  <c r="J844" i="4"/>
  <c r="K844" i="4"/>
  <c r="B845" i="4"/>
  <c r="C845" i="4"/>
  <c r="D845" i="4"/>
  <c r="E845" i="4"/>
  <c r="F845" i="4"/>
  <c r="G845" i="4"/>
  <c r="H845" i="4"/>
  <c r="I845" i="4"/>
  <c r="J845" i="4"/>
  <c r="K845" i="4"/>
  <c r="B846" i="4"/>
  <c r="C846" i="4"/>
  <c r="D846" i="4"/>
  <c r="E846" i="4"/>
  <c r="F846" i="4"/>
  <c r="G846" i="4"/>
  <c r="H846" i="4"/>
  <c r="I846" i="4"/>
  <c r="J846" i="4"/>
  <c r="K846" i="4"/>
  <c r="B847" i="4"/>
  <c r="C847" i="4"/>
  <c r="D847" i="4"/>
  <c r="E847" i="4"/>
  <c r="F847" i="4"/>
  <c r="G847" i="4"/>
  <c r="H847" i="4"/>
  <c r="I847" i="4"/>
  <c r="J847" i="4"/>
  <c r="K847" i="4"/>
  <c r="B848" i="4"/>
  <c r="C848" i="4"/>
  <c r="D848" i="4"/>
  <c r="E848" i="4"/>
  <c r="F848" i="4"/>
  <c r="G848" i="4"/>
  <c r="H848" i="4"/>
  <c r="I848" i="4"/>
  <c r="J848" i="4"/>
  <c r="K848" i="4"/>
  <c r="B849" i="4"/>
  <c r="C849" i="4"/>
  <c r="D849" i="4"/>
  <c r="E849" i="4"/>
  <c r="F849" i="4"/>
  <c r="G849" i="4"/>
  <c r="H849" i="4"/>
  <c r="I849" i="4"/>
  <c r="J849" i="4"/>
  <c r="K849" i="4"/>
  <c r="B850" i="4"/>
  <c r="C850" i="4"/>
  <c r="D850" i="4"/>
  <c r="E850" i="4"/>
  <c r="F850" i="4"/>
  <c r="G850" i="4"/>
  <c r="H850" i="4"/>
  <c r="I850" i="4"/>
  <c r="J850" i="4"/>
  <c r="K850" i="4"/>
  <c r="B851" i="4"/>
  <c r="C851" i="4"/>
  <c r="D851" i="4"/>
  <c r="E851" i="4"/>
  <c r="F851" i="4"/>
  <c r="G851" i="4"/>
  <c r="H851" i="4"/>
  <c r="I851" i="4"/>
  <c r="J851" i="4"/>
  <c r="K851" i="4"/>
  <c r="B852" i="4"/>
  <c r="C852" i="4"/>
  <c r="D852" i="4"/>
  <c r="E852" i="4"/>
  <c r="F852" i="4"/>
  <c r="G852" i="4"/>
  <c r="H852" i="4"/>
  <c r="I852" i="4"/>
  <c r="J852" i="4"/>
  <c r="K852" i="4"/>
  <c r="B853" i="4"/>
  <c r="C853" i="4"/>
  <c r="D853" i="4"/>
  <c r="E853" i="4"/>
  <c r="F853" i="4"/>
  <c r="G853" i="4"/>
  <c r="H853" i="4"/>
  <c r="I853" i="4"/>
  <c r="J853" i="4"/>
  <c r="K853" i="4"/>
  <c r="B854" i="4"/>
  <c r="C854" i="4"/>
  <c r="D854" i="4"/>
  <c r="E854" i="4"/>
  <c r="F854" i="4"/>
  <c r="G854" i="4"/>
  <c r="H854" i="4"/>
  <c r="I854" i="4"/>
  <c r="J854" i="4"/>
  <c r="K854" i="4"/>
  <c r="B855" i="4"/>
  <c r="C855" i="4"/>
  <c r="D855" i="4"/>
  <c r="E855" i="4"/>
  <c r="F855" i="4"/>
  <c r="G855" i="4"/>
  <c r="H855" i="4"/>
  <c r="I855" i="4"/>
  <c r="J855" i="4"/>
  <c r="K855" i="4"/>
  <c r="B856" i="4"/>
  <c r="C856" i="4"/>
  <c r="D856" i="4"/>
  <c r="E856" i="4"/>
  <c r="F856" i="4"/>
  <c r="G856" i="4"/>
  <c r="H856" i="4"/>
  <c r="I856" i="4"/>
  <c r="J856" i="4"/>
  <c r="K856" i="4"/>
  <c r="B857" i="4"/>
  <c r="C857" i="4"/>
  <c r="D857" i="4"/>
  <c r="E857" i="4"/>
  <c r="F857" i="4"/>
  <c r="G857" i="4"/>
  <c r="H857" i="4"/>
  <c r="I857" i="4"/>
  <c r="J857" i="4"/>
  <c r="K857" i="4"/>
  <c r="B858" i="4"/>
  <c r="C858" i="4"/>
  <c r="D858" i="4"/>
  <c r="E858" i="4"/>
  <c r="F858" i="4"/>
  <c r="G858" i="4"/>
  <c r="H858" i="4"/>
  <c r="I858" i="4"/>
  <c r="J858" i="4"/>
  <c r="K858" i="4"/>
  <c r="B859" i="4"/>
  <c r="C859" i="4"/>
  <c r="D859" i="4"/>
  <c r="E859" i="4"/>
  <c r="F859" i="4"/>
  <c r="G859" i="4"/>
  <c r="H859" i="4"/>
  <c r="I859" i="4"/>
  <c r="J859" i="4"/>
  <c r="K859" i="4"/>
  <c r="B860" i="4"/>
  <c r="C860" i="4"/>
  <c r="D860" i="4"/>
  <c r="E860" i="4"/>
  <c r="F860" i="4"/>
  <c r="G860" i="4"/>
  <c r="H860" i="4"/>
  <c r="I860" i="4"/>
  <c r="J860" i="4"/>
  <c r="K860" i="4"/>
  <c r="B861" i="4"/>
  <c r="C861" i="4"/>
  <c r="D861" i="4"/>
  <c r="E861" i="4"/>
  <c r="F861" i="4"/>
  <c r="G861" i="4"/>
  <c r="H861" i="4"/>
  <c r="I861" i="4"/>
  <c r="J861" i="4"/>
  <c r="K861" i="4"/>
  <c r="B862" i="4"/>
  <c r="C862" i="4"/>
  <c r="D862" i="4"/>
  <c r="E862" i="4"/>
  <c r="F862" i="4"/>
  <c r="G862" i="4"/>
  <c r="H862" i="4"/>
  <c r="I862" i="4"/>
  <c r="J862" i="4"/>
  <c r="K862" i="4"/>
  <c r="B863" i="4"/>
  <c r="C863" i="4"/>
  <c r="D863" i="4"/>
  <c r="E863" i="4"/>
  <c r="F863" i="4"/>
  <c r="G863" i="4"/>
  <c r="H863" i="4"/>
  <c r="I863" i="4"/>
  <c r="J863" i="4"/>
  <c r="K863" i="4"/>
  <c r="B864" i="4"/>
  <c r="C864" i="4"/>
  <c r="D864" i="4"/>
  <c r="E864" i="4"/>
  <c r="F864" i="4"/>
  <c r="G864" i="4"/>
  <c r="H864" i="4"/>
  <c r="I864" i="4"/>
  <c r="J864" i="4"/>
  <c r="K864" i="4"/>
  <c r="B865" i="4"/>
  <c r="C865" i="4"/>
  <c r="D865" i="4"/>
  <c r="E865" i="4"/>
  <c r="F865" i="4"/>
  <c r="G865" i="4"/>
  <c r="H865" i="4"/>
  <c r="I865" i="4"/>
  <c r="J865" i="4"/>
  <c r="K865" i="4"/>
  <c r="B866" i="4"/>
  <c r="C866" i="4"/>
  <c r="D866" i="4"/>
  <c r="E866" i="4"/>
  <c r="F866" i="4"/>
  <c r="G866" i="4"/>
  <c r="H866" i="4"/>
  <c r="I866" i="4"/>
  <c r="J866" i="4"/>
  <c r="K866" i="4"/>
  <c r="B867" i="4"/>
  <c r="C867" i="4"/>
  <c r="D867" i="4"/>
  <c r="E867" i="4"/>
  <c r="F867" i="4"/>
  <c r="G867" i="4"/>
  <c r="H867" i="4"/>
  <c r="I867" i="4"/>
  <c r="J867" i="4"/>
  <c r="K867" i="4"/>
  <c r="B868" i="4"/>
  <c r="C868" i="4"/>
  <c r="D868" i="4"/>
  <c r="E868" i="4"/>
  <c r="F868" i="4"/>
  <c r="G868" i="4"/>
  <c r="H868" i="4"/>
  <c r="I868" i="4"/>
  <c r="J868" i="4"/>
  <c r="K868" i="4"/>
  <c r="B869" i="4"/>
  <c r="C869" i="4"/>
  <c r="D869" i="4"/>
  <c r="E869" i="4"/>
  <c r="F869" i="4"/>
  <c r="G869" i="4"/>
  <c r="H869" i="4"/>
  <c r="I869" i="4"/>
  <c r="J869" i="4"/>
  <c r="K869" i="4"/>
  <c r="B870" i="4"/>
  <c r="C870" i="4"/>
  <c r="D870" i="4"/>
  <c r="E870" i="4"/>
  <c r="F870" i="4"/>
  <c r="G870" i="4"/>
  <c r="H870" i="4"/>
  <c r="I870" i="4"/>
  <c r="J870" i="4"/>
  <c r="K870" i="4"/>
  <c r="B871" i="4"/>
  <c r="C871" i="4"/>
  <c r="D871" i="4"/>
  <c r="E871" i="4"/>
  <c r="F871" i="4"/>
  <c r="G871" i="4"/>
  <c r="H871" i="4"/>
  <c r="I871" i="4"/>
  <c r="J871" i="4"/>
  <c r="K871" i="4"/>
  <c r="B872" i="4"/>
  <c r="C872" i="4"/>
  <c r="D872" i="4"/>
  <c r="E872" i="4"/>
  <c r="F872" i="4"/>
  <c r="G872" i="4"/>
  <c r="H872" i="4"/>
  <c r="I872" i="4"/>
  <c r="J872" i="4"/>
  <c r="K872" i="4"/>
  <c r="B873" i="4"/>
  <c r="C873" i="4"/>
  <c r="D873" i="4"/>
  <c r="E873" i="4"/>
  <c r="F873" i="4"/>
  <c r="G873" i="4"/>
  <c r="H873" i="4"/>
  <c r="I873" i="4"/>
  <c r="J873" i="4"/>
  <c r="K873" i="4"/>
  <c r="B874" i="4"/>
  <c r="C874" i="4"/>
  <c r="D874" i="4"/>
  <c r="E874" i="4"/>
  <c r="F874" i="4"/>
  <c r="G874" i="4"/>
  <c r="H874" i="4"/>
  <c r="I874" i="4"/>
  <c r="J874" i="4"/>
  <c r="K874" i="4"/>
  <c r="B875" i="4"/>
  <c r="C875" i="4"/>
  <c r="D875" i="4"/>
  <c r="E875" i="4"/>
  <c r="F875" i="4"/>
  <c r="G875" i="4"/>
  <c r="H875" i="4"/>
  <c r="I875" i="4"/>
  <c r="J875" i="4"/>
  <c r="K875" i="4"/>
  <c r="B876" i="4"/>
  <c r="C876" i="4"/>
  <c r="D876" i="4"/>
  <c r="E876" i="4"/>
  <c r="F876" i="4"/>
  <c r="G876" i="4"/>
  <c r="H876" i="4"/>
  <c r="I876" i="4"/>
  <c r="J876" i="4"/>
  <c r="K876" i="4"/>
  <c r="B877" i="4"/>
  <c r="C877" i="4"/>
  <c r="D877" i="4"/>
  <c r="E877" i="4"/>
  <c r="F877" i="4"/>
  <c r="G877" i="4"/>
  <c r="H877" i="4"/>
  <c r="I877" i="4"/>
  <c r="J877" i="4"/>
  <c r="K877" i="4"/>
  <c r="B878" i="4"/>
  <c r="C878" i="4"/>
  <c r="D878" i="4"/>
  <c r="E878" i="4"/>
  <c r="F878" i="4"/>
  <c r="G878" i="4"/>
  <c r="H878" i="4"/>
  <c r="I878" i="4"/>
  <c r="J878" i="4"/>
  <c r="K878" i="4"/>
  <c r="B879" i="4"/>
  <c r="C879" i="4"/>
  <c r="D879" i="4"/>
  <c r="E879" i="4"/>
  <c r="F879" i="4"/>
  <c r="G879" i="4"/>
  <c r="H879" i="4"/>
  <c r="I879" i="4"/>
  <c r="J879" i="4"/>
  <c r="K879" i="4"/>
  <c r="B880" i="4"/>
  <c r="C880" i="4"/>
  <c r="D880" i="4"/>
  <c r="E880" i="4"/>
  <c r="F880" i="4"/>
  <c r="G880" i="4"/>
  <c r="H880" i="4"/>
  <c r="I880" i="4"/>
  <c r="J880" i="4"/>
  <c r="K880" i="4"/>
  <c r="B881" i="4"/>
  <c r="C881" i="4"/>
  <c r="D881" i="4"/>
  <c r="E881" i="4"/>
  <c r="F881" i="4"/>
  <c r="G881" i="4"/>
  <c r="H881" i="4"/>
  <c r="I881" i="4"/>
  <c r="J881" i="4"/>
  <c r="K881" i="4"/>
  <c r="B882" i="4"/>
  <c r="C882" i="4"/>
  <c r="D882" i="4"/>
  <c r="E882" i="4"/>
  <c r="F882" i="4"/>
  <c r="G882" i="4"/>
  <c r="H882" i="4"/>
  <c r="I882" i="4"/>
  <c r="J882" i="4"/>
  <c r="K882" i="4"/>
  <c r="B883" i="4"/>
  <c r="C883" i="4"/>
  <c r="D883" i="4"/>
  <c r="E883" i="4"/>
  <c r="F883" i="4"/>
  <c r="G883" i="4"/>
  <c r="H883" i="4"/>
  <c r="I883" i="4"/>
  <c r="J883" i="4"/>
  <c r="K883" i="4"/>
  <c r="B884" i="4"/>
  <c r="C884" i="4"/>
  <c r="D884" i="4"/>
  <c r="E884" i="4"/>
  <c r="F884" i="4"/>
  <c r="G884" i="4"/>
  <c r="H884" i="4"/>
  <c r="I884" i="4"/>
  <c r="J884" i="4"/>
  <c r="K884" i="4"/>
  <c r="B885" i="4"/>
  <c r="C885" i="4"/>
  <c r="D885" i="4"/>
  <c r="E885" i="4"/>
  <c r="F885" i="4"/>
  <c r="G885" i="4"/>
  <c r="H885" i="4"/>
  <c r="I885" i="4"/>
  <c r="J885" i="4"/>
  <c r="K885" i="4"/>
  <c r="B886" i="4"/>
  <c r="C886" i="4"/>
  <c r="D886" i="4"/>
  <c r="E886" i="4"/>
  <c r="F886" i="4"/>
  <c r="G886" i="4"/>
  <c r="H886" i="4"/>
  <c r="I886" i="4"/>
  <c r="J886" i="4"/>
  <c r="K886" i="4"/>
  <c r="B887" i="4"/>
  <c r="C887" i="4"/>
  <c r="D887" i="4"/>
  <c r="E887" i="4"/>
  <c r="F887" i="4"/>
  <c r="G887" i="4"/>
  <c r="H887" i="4"/>
  <c r="I887" i="4"/>
  <c r="J887" i="4"/>
  <c r="K887" i="4"/>
  <c r="B888" i="4"/>
  <c r="C888" i="4"/>
  <c r="D888" i="4"/>
  <c r="E888" i="4"/>
  <c r="F888" i="4"/>
  <c r="G888" i="4"/>
  <c r="H888" i="4"/>
  <c r="I888" i="4"/>
  <c r="J888" i="4"/>
  <c r="K888" i="4"/>
  <c r="B889" i="4"/>
  <c r="C889" i="4"/>
  <c r="D889" i="4"/>
  <c r="E889" i="4"/>
  <c r="F889" i="4"/>
  <c r="G889" i="4"/>
  <c r="H889" i="4"/>
  <c r="I889" i="4"/>
  <c r="J889" i="4"/>
  <c r="K889" i="4"/>
  <c r="B890" i="4"/>
  <c r="C890" i="4"/>
  <c r="D890" i="4"/>
  <c r="E890" i="4"/>
  <c r="F890" i="4"/>
  <c r="G890" i="4"/>
  <c r="H890" i="4"/>
  <c r="I890" i="4"/>
  <c r="J890" i="4"/>
  <c r="K890" i="4"/>
  <c r="B891" i="4"/>
  <c r="C891" i="4"/>
  <c r="D891" i="4"/>
  <c r="E891" i="4"/>
  <c r="F891" i="4"/>
  <c r="G891" i="4"/>
  <c r="H891" i="4"/>
  <c r="I891" i="4"/>
  <c r="J891" i="4"/>
  <c r="K891" i="4"/>
  <c r="B892" i="4"/>
  <c r="C892" i="4"/>
  <c r="D892" i="4"/>
  <c r="E892" i="4"/>
  <c r="F892" i="4"/>
  <c r="G892" i="4"/>
  <c r="H892" i="4"/>
  <c r="I892" i="4"/>
  <c r="J892" i="4"/>
  <c r="K892" i="4"/>
  <c r="B893" i="4"/>
  <c r="C893" i="4"/>
  <c r="D893" i="4"/>
  <c r="E893" i="4"/>
  <c r="F893" i="4"/>
  <c r="G893" i="4"/>
  <c r="H893" i="4"/>
  <c r="I893" i="4"/>
  <c r="J893" i="4"/>
  <c r="K893" i="4"/>
  <c r="B894" i="4"/>
  <c r="C894" i="4"/>
  <c r="D894" i="4"/>
  <c r="E894" i="4"/>
  <c r="F894" i="4"/>
  <c r="G894" i="4"/>
  <c r="H894" i="4"/>
  <c r="I894" i="4"/>
  <c r="J894" i="4"/>
  <c r="K894" i="4"/>
  <c r="B895" i="4"/>
  <c r="C895" i="4"/>
  <c r="D895" i="4"/>
  <c r="E895" i="4"/>
  <c r="F895" i="4"/>
  <c r="G895" i="4"/>
  <c r="H895" i="4"/>
  <c r="I895" i="4"/>
  <c r="J895" i="4"/>
  <c r="K895" i="4"/>
  <c r="B896" i="4"/>
  <c r="C896" i="4"/>
  <c r="D896" i="4"/>
  <c r="E896" i="4"/>
  <c r="F896" i="4"/>
  <c r="G896" i="4"/>
  <c r="H896" i="4"/>
  <c r="I896" i="4"/>
  <c r="J896" i="4"/>
  <c r="K896" i="4"/>
  <c r="B897" i="4"/>
  <c r="C897" i="4"/>
  <c r="D897" i="4"/>
  <c r="E897" i="4"/>
  <c r="F897" i="4"/>
  <c r="G897" i="4"/>
  <c r="H897" i="4"/>
  <c r="I897" i="4"/>
  <c r="J897" i="4"/>
  <c r="K897" i="4"/>
  <c r="B898" i="4"/>
  <c r="C898" i="4"/>
  <c r="D898" i="4"/>
  <c r="E898" i="4"/>
  <c r="F898" i="4"/>
  <c r="G898" i="4"/>
  <c r="H898" i="4"/>
  <c r="I898" i="4"/>
  <c r="J898" i="4"/>
  <c r="K898" i="4"/>
  <c r="B899" i="4"/>
  <c r="C899" i="4"/>
  <c r="D899" i="4"/>
  <c r="E899" i="4"/>
  <c r="F899" i="4"/>
  <c r="G899" i="4"/>
  <c r="H899" i="4"/>
  <c r="I899" i="4"/>
  <c r="J899" i="4"/>
  <c r="K899" i="4"/>
  <c r="B900" i="4"/>
  <c r="C900" i="4"/>
  <c r="D900" i="4"/>
  <c r="E900" i="4"/>
  <c r="F900" i="4"/>
  <c r="G900" i="4"/>
  <c r="H900" i="4"/>
  <c r="I900" i="4"/>
  <c r="J900" i="4"/>
  <c r="K900" i="4"/>
  <c r="B901" i="4"/>
  <c r="C901" i="4"/>
  <c r="D901" i="4"/>
  <c r="E901" i="4"/>
  <c r="F901" i="4"/>
  <c r="G901" i="4"/>
  <c r="H901" i="4"/>
  <c r="I901" i="4"/>
  <c r="J901" i="4"/>
  <c r="K901" i="4"/>
  <c r="B902" i="4"/>
  <c r="C902" i="4"/>
  <c r="D902" i="4"/>
  <c r="E902" i="4"/>
  <c r="F902" i="4"/>
  <c r="G902" i="4"/>
  <c r="H902" i="4"/>
  <c r="I902" i="4"/>
  <c r="J902" i="4"/>
  <c r="K902" i="4"/>
  <c r="B903" i="4"/>
  <c r="C903" i="4"/>
  <c r="D903" i="4"/>
  <c r="E903" i="4"/>
  <c r="F903" i="4"/>
  <c r="G903" i="4"/>
  <c r="H903" i="4"/>
  <c r="I903" i="4"/>
  <c r="J903" i="4"/>
  <c r="K903" i="4"/>
  <c r="B904" i="4"/>
  <c r="C904" i="4"/>
  <c r="D904" i="4"/>
  <c r="E904" i="4"/>
  <c r="F904" i="4"/>
  <c r="G904" i="4"/>
  <c r="H904" i="4"/>
  <c r="I904" i="4"/>
  <c r="J904" i="4"/>
  <c r="K904" i="4"/>
  <c r="B905" i="4"/>
  <c r="C905" i="4"/>
  <c r="D905" i="4"/>
  <c r="E905" i="4"/>
  <c r="F905" i="4"/>
  <c r="G905" i="4"/>
  <c r="H905" i="4"/>
  <c r="I905" i="4"/>
  <c r="J905" i="4"/>
  <c r="K905" i="4"/>
  <c r="B906" i="4"/>
  <c r="C906" i="4"/>
  <c r="D906" i="4"/>
  <c r="E906" i="4"/>
  <c r="F906" i="4"/>
  <c r="G906" i="4"/>
  <c r="H906" i="4"/>
  <c r="I906" i="4"/>
  <c r="J906" i="4"/>
  <c r="K906" i="4"/>
  <c r="B907" i="4"/>
  <c r="C907" i="4"/>
  <c r="D907" i="4"/>
  <c r="E907" i="4"/>
  <c r="F907" i="4"/>
  <c r="G907" i="4"/>
  <c r="H907" i="4"/>
  <c r="I907" i="4"/>
  <c r="J907" i="4"/>
  <c r="K907" i="4"/>
  <c r="B908" i="4"/>
  <c r="C908" i="4"/>
  <c r="D908" i="4"/>
  <c r="E908" i="4"/>
  <c r="F908" i="4"/>
  <c r="G908" i="4"/>
  <c r="H908" i="4"/>
  <c r="I908" i="4"/>
  <c r="J908" i="4"/>
  <c r="K908" i="4"/>
  <c r="B909" i="4"/>
  <c r="C909" i="4"/>
  <c r="D909" i="4"/>
  <c r="E909" i="4"/>
  <c r="F909" i="4"/>
  <c r="G909" i="4"/>
  <c r="H909" i="4"/>
  <c r="I909" i="4"/>
  <c r="J909" i="4"/>
  <c r="K909" i="4"/>
  <c r="B910" i="4"/>
  <c r="C910" i="4"/>
  <c r="D910" i="4"/>
  <c r="E910" i="4"/>
  <c r="F910" i="4"/>
  <c r="G910" i="4"/>
  <c r="H910" i="4"/>
  <c r="I910" i="4"/>
  <c r="J910" i="4"/>
  <c r="K910" i="4"/>
  <c r="B911" i="4"/>
  <c r="C911" i="4"/>
  <c r="D911" i="4"/>
  <c r="E911" i="4"/>
  <c r="F911" i="4"/>
  <c r="G911" i="4"/>
  <c r="H911" i="4"/>
  <c r="I911" i="4"/>
  <c r="J911" i="4"/>
  <c r="K911" i="4"/>
  <c r="B912" i="4"/>
  <c r="C912" i="4"/>
  <c r="D912" i="4"/>
  <c r="E912" i="4"/>
  <c r="F912" i="4"/>
  <c r="G912" i="4"/>
  <c r="H912" i="4"/>
  <c r="I912" i="4"/>
  <c r="J912" i="4"/>
  <c r="K912" i="4"/>
  <c r="B913" i="4"/>
  <c r="C913" i="4"/>
  <c r="D913" i="4"/>
  <c r="E913" i="4"/>
  <c r="F913" i="4"/>
  <c r="G913" i="4"/>
  <c r="H913" i="4"/>
  <c r="I913" i="4"/>
  <c r="J913" i="4"/>
  <c r="K913" i="4"/>
  <c r="B914" i="4"/>
  <c r="C914" i="4"/>
  <c r="D914" i="4"/>
  <c r="E914" i="4"/>
  <c r="F914" i="4"/>
  <c r="G914" i="4"/>
  <c r="H914" i="4"/>
  <c r="I914" i="4"/>
  <c r="J914" i="4"/>
  <c r="K914" i="4"/>
  <c r="B915" i="4"/>
  <c r="C915" i="4"/>
  <c r="D915" i="4"/>
  <c r="E915" i="4"/>
  <c r="F915" i="4"/>
  <c r="G915" i="4"/>
  <c r="H915" i="4"/>
  <c r="I915" i="4"/>
  <c r="J915" i="4"/>
  <c r="K915" i="4"/>
  <c r="B916" i="4"/>
  <c r="C916" i="4"/>
  <c r="D916" i="4"/>
  <c r="E916" i="4"/>
  <c r="F916" i="4"/>
  <c r="G916" i="4"/>
  <c r="H916" i="4"/>
  <c r="I916" i="4"/>
  <c r="J916" i="4"/>
  <c r="K916" i="4"/>
  <c r="B917" i="4"/>
  <c r="C917" i="4"/>
  <c r="D917" i="4"/>
  <c r="E917" i="4"/>
  <c r="F917" i="4"/>
  <c r="G917" i="4"/>
  <c r="H917" i="4"/>
  <c r="I917" i="4"/>
  <c r="J917" i="4"/>
  <c r="K917" i="4"/>
  <c r="B918" i="4"/>
  <c r="C918" i="4"/>
  <c r="D918" i="4"/>
  <c r="E918" i="4"/>
  <c r="F918" i="4"/>
  <c r="G918" i="4"/>
  <c r="H918" i="4"/>
  <c r="I918" i="4"/>
  <c r="J918" i="4"/>
  <c r="K918" i="4"/>
  <c r="B919" i="4"/>
  <c r="C919" i="4"/>
  <c r="D919" i="4"/>
  <c r="E919" i="4"/>
  <c r="F919" i="4"/>
  <c r="G919" i="4"/>
  <c r="H919" i="4"/>
  <c r="I919" i="4"/>
  <c r="J919" i="4"/>
  <c r="K919" i="4"/>
  <c r="B920" i="4"/>
  <c r="C920" i="4"/>
  <c r="D920" i="4"/>
  <c r="E920" i="4"/>
  <c r="F920" i="4"/>
  <c r="G920" i="4"/>
  <c r="H920" i="4"/>
  <c r="I920" i="4"/>
  <c r="J920" i="4"/>
  <c r="K920" i="4"/>
  <c r="B921" i="4"/>
  <c r="C921" i="4"/>
  <c r="D921" i="4"/>
  <c r="E921" i="4"/>
  <c r="F921" i="4"/>
  <c r="G921" i="4"/>
  <c r="H921" i="4"/>
  <c r="I921" i="4"/>
  <c r="J921" i="4"/>
  <c r="K921" i="4"/>
  <c r="B922" i="4"/>
  <c r="C922" i="4"/>
  <c r="D922" i="4"/>
  <c r="E922" i="4"/>
  <c r="F922" i="4"/>
  <c r="G922" i="4"/>
  <c r="H922" i="4"/>
  <c r="I922" i="4"/>
  <c r="J922" i="4"/>
  <c r="K922" i="4"/>
  <c r="B923" i="4"/>
  <c r="C923" i="4"/>
  <c r="D923" i="4"/>
  <c r="E923" i="4"/>
  <c r="F923" i="4"/>
  <c r="G923" i="4"/>
  <c r="H923" i="4"/>
  <c r="I923" i="4"/>
  <c r="J923" i="4"/>
  <c r="K923" i="4"/>
  <c r="B924" i="4"/>
  <c r="C924" i="4"/>
  <c r="D924" i="4"/>
  <c r="E924" i="4"/>
  <c r="F924" i="4"/>
  <c r="G924" i="4"/>
  <c r="H924" i="4"/>
  <c r="I924" i="4"/>
  <c r="J924" i="4"/>
  <c r="K924" i="4"/>
  <c r="B925" i="4"/>
  <c r="C925" i="4"/>
  <c r="D925" i="4"/>
  <c r="E925" i="4"/>
  <c r="F925" i="4"/>
  <c r="G925" i="4"/>
  <c r="H925" i="4"/>
  <c r="I925" i="4"/>
  <c r="J925" i="4"/>
  <c r="K925" i="4"/>
  <c r="B926" i="4"/>
  <c r="C926" i="4"/>
  <c r="D926" i="4"/>
  <c r="E926" i="4"/>
  <c r="F926" i="4"/>
  <c r="G926" i="4"/>
  <c r="H926" i="4"/>
  <c r="I926" i="4"/>
  <c r="J926" i="4"/>
  <c r="K926" i="4"/>
  <c r="B927" i="4"/>
  <c r="C927" i="4"/>
  <c r="D927" i="4"/>
  <c r="E927" i="4"/>
  <c r="F927" i="4"/>
  <c r="G927" i="4"/>
  <c r="H927" i="4"/>
  <c r="I927" i="4"/>
  <c r="J927" i="4"/>
  <c r="K927" i="4"/>
  <c r="B928" i="4"/>
  <c r="C928" i="4"/>
  <c r="D928" i="4"/>
  <c r="E928" i="4"/>
  <c r="F928" i="4"/>
  <c r="G928" i="4"/>
  <c r="H928" i="4"/>
  <c r="I928" i="4"/>
  <c r="J928" i="4"/>
  <c r="K928" i="4"/>
  <c r="B929" i="4"/>
  <c r="C929" i="4"/>
  <c r="D929" i="4"/>
  <c r="E929" i="4"/>
  <c r="F929" i="4"/>
  <c r="G929" i="4"/>
  <c r="H929" i="4"/>
  <c r="I929" i="4"/>
  <c r="J929" i="4"/>
  <c r="K929" i="4"/>
  <c r="B930" i="4"/>
  <c r="C930" i="4"/>
  <c r="D930" i="4"/>
  <c r="E930" i="4"/>
  <c r="F930" i="4"/>
  <c r="G930" i="4"/>
  <c r="H930" i="4"/>
  <c r="I930" i="4"/>
  <c r="J930" i="4"/>
  <c r="K930" i="4"/>
  <c r="B931" i="4"/>
  <c r="C931" i="4"/>
  <c r="D931" i="4"/>
  <c r="E931" i="4"/>
  <c r="F931" i="4"/>
  <c r="G931" i="4"/>
  <c r="H931" i="4"/>
  <c r="I931" i="4"/>
  <c r="J931" i="4"/>
  <c r="K931" i="4"/>
  <c r="B932" i="4"/>
  <c r="C932" i="4"/>
  <c r="D932" i="4"/>
  <c r="E932" i="4"/>
  <c r="F932" i="4"/>
  <c r="G932" i="4"/>
  <c r="H932" i="4"/>
  <c r="I932" i="4"/>
  <c r="J932" i="4"/>
  <c r="K932" i="4"/>
  <c r="B933" i="4"/>
  <c r="C933" i="4"/>
  <c r="D933" i="4"/>
  <c r="E933" i="4"/>
  <c r="F933" i="4"/>
  <c r="G933" i="4"/>
  <c r="H933" i="4"/>
  <c r="I933" i="4"/>
  <c r="J933" i="4"/>
  <c r="K933" i="4"/>
  <c r="B934" i="4"/>
  <c r="C934" i="4"/>
  <c r="D934" i="4"/>
  <c r="E934" i="4"/>
  <c r="F934" i="4"/>
  <c r="G934" i="4"/>
  <c r="H934" i="4"/>
  <c r="I934" i="4"/>
  <c r="J934" i="4"/>
  <c r="K934" i="4"/>
  <c r="B935" i="4"/>
  <c r="C935" i="4"/>
  <c r="D935" i="4"/>
  <c r="E935" i="4"/>
  <c r="F935" i="4"/>
  <c r="G935" i="4"/>
  <c r="H935" i="4"/>
  <c r="I935" i="4"/>
  <c r="J935" i="4"/>
  <c r="K935" i="4"/>
  <c r="B936" i="4"/>
  <c r="C936" i="4"/>
  <c r="D936" i="4"/>
  <c r="E936" i="4"/>
  <c r="F936" i="4"/>
  <c r="G936" i="4"/>
  <c r="H936" i="4"/>
  <c r="I936" i="4"/>
  <c r="J936" i="4"/>
  <c r="K936" i="4"/>
  <c r="B937" i="4"/>
  <c r="C937" i="4"/>
  <c r="D937" i="4"/>
  <c r="E937" i="4"/>
  <c r="F937" i="4"/>
  <c r="G937" i="4"/>
  <c r="H937" i="4"/>
  <c r="I937" i="4"/>
  <c r="J937" i="4"/>
  <c r="K937" i="4"/>
  <c r="B938" i="4"/>
  <c r="C938" i="4"/>
  <c r="D938" i="4"/>
  <c r="E938" i="4"/>
  <c r="F938" i="4"/>
  <c r="G938" i="4"/>
  <c r="H938" i="4"/>
  <c r="I938" i="4"/>
  <c r="J938" i="4"/>
  <c r="K938" i="4"/>
  <c r="B939" i="4"/>
  <c r="C939" i="4"/>
  <c r="D939" i="4"/>
  <c r="E939" i="4"/>
  <c r="F939" i="4"/>
  <c r="G939" i="4"/>
  <c r="H939" i="4"/>
  <c r="I939" i="4"/>
  <c r="J939" i="4"/>
  <c r="K939" i="4"/>
  <c r="B940" i="4"/>
  <c r="C940" i="4"/>
  <c r="D940" i="4"/>
  <c r="E940" i="4"/>
  <c r="F940" i="4"/>
  <c r="G940" i="4"/>
  <c r="H940" i="4"/>
  <c r="I940" i="4"/>
  <c r="J940" i="4"/>
  <c r="K940" i="4"/>
  <c r="B941" i="4"/>
  <c r="C941" i="4"/>
  <c r="D941" i="4"/>
  <c r="E941" i="4"/>
  <c r="F941" i="4"/>
  <c r="G941" i="4"/>
  <c r="H941" i="4"/>
  <c r="I941" i="4"/>
  <c r="J941" i="4"/>
  <c r="K941" i="4"/>
  <c r="B942" i="4"/>
  <c r="C942" i="4"/>
  <c r="D942" i="4"/>
  <c r="E942" i="4"/>
  <c r="F942" i="4"/>
  <c r="G942" i="4"/>
  <c r="H942" i="4"/>
  <c r="I942" i="4"/>
  <c r="J942" i="4"/>
  <c r="K942" i="4"/>
  <c r="B943" i="4"/>
  <c r="C943" i="4"/>
  <c r="D943" i="4"/>
  <c r="E943" i="4"/>
  <c r="F943" i="4"/>
  <c r="G943" i="4"/>
  <c r="H943" i="4"/>
  <c r="I943" i="4"/>
  <c r="J943" i="4"/>
  <c r="K943" i="4"/>
  <c r="B944" i="4"/>
  <c r="C944" i="4"/>
  <c r="D944" i="4"/>
  <c r="E944" i="4"/>
  <c r="F944" i="4"/>
  <c r="G944" i="4"/>
  <c r="H944" i="4"/>
  <c r="I944" i="4"/>
  <c r="J944" i="4"/>
  <c r="K944" i="4"/>
  <c r="B945" i="4"/>
  <c r="C945" i="4"/>
  <c r="D945" i="4"/>
  <c r="E945" i="4"/>
  <c r="F945" i="4"/>
  <c r="G945" i="4"/>
  <c r="H945" i="4"/>
  <c r="I945" i="4"/>
  <c r="J945" i="4"/>
  <c r="K945" i="4"/>
  <c r="B946" i="4"/>
  <c r="C946" i="4"/>
  <c r="D946" i="4"/>
  <c r="E946" i="4"/>
  <c r="F946" i="4"/>
  <c r="G946" i="4"/>
  <c r="H946" i="4"/>
  <c r="I946" i="4"/>
  <c r="J946" i="4"/>
  <c r="K946" i="4"/>
  <c r="B947" i="4"/>
  <c r="C947" i="4"/>
  <c r="D947" i="4"/>
  <c r="E947" i="4"/>
  <c r="F947" i="4"/>
  <c r="G947" i="4"/>
  <c r="H947" i="4"/>
  <c r="I947" i="4"/>
  <c r="J947" i="4"/>
  <c r="K947" i="4"/>
  <c r="B948" i="4"/>
  <c r="C948" i="4"/>
  <c r="D948" i="4"/>
  <c r="E948" i="4"/>
  <c r="F948" i="4"/>
  <c r="G948" i="4"/>
  <c r="H948" i="4"/>
  <c r="I948" i="4"/>
  <c r="J948" i="4"/>
  <c r="K948" i="4"/>
  <c r="B949" i="4"/>
  <c r="C949" i="4"/>
  <c r="D949" i="4"/>
  <c r="E949" i="4"/>
  <c r="F949" i="4"/>
  <c r="G949" i="4"/>
  <c r="H949" i="4"/>
  <c r="I949" i="4"/>
  <c r="J949" i="4"/>
  <c r="K949" i="4"/>
  <c r="B950" i="4"/>
  <c r="C950" i="4"/>
  <c r="D950" i="4"/>
  <c r="E950" i="4"/>
  <c r="F950" i="4"/>
  <c r="G950" i="4"/>
  <c r="H950" i="4"/>
  <c r="I950" i="4"/>
  <c r="J950" i="4"/>
  <c r="K950" i="4"/>
  <c r="B951" i="4"/>
  <c r="C951" i="4"/>
  <c r="D951" i="4"/>
  <c r="E951" i="4"/>
  <c r="F951" i="4"/>
  <c r="G951" i="4"/>
  <c r="H951" i="4"/>
  <c r="I951" i="4"/>
  <c r="J951" i="4"/>
  <c r="K951" i="4"/>
  <c r="B952" i="4"/>
  <c r="C952" i="4"/>
  <c r="D952" i="4"/>
  <c r="E952" i="4"/>
  <c r="F952" i="4"/>
  <c r="G952" i="4"/>
  <c r="H952" i="4"/>
  <c r="I952" i="4"/>
  <c r="J952" i="4"/>
  <c r="K952" i="4"/>
  <c r="B953" i="4"/>
  <c r="C953" i="4"/>
  <c r="D953" i="4"/>
  <c r="E953" i="4"/>
  <c r="F953" i="4"/>
  <c r="G953" i="4"/>
  <c r="H953" i="4"/>
  <c r="I953" i="4"/>
  <c r="J953" i="4"/>
  <c r="K953" i="4"/>
  <c r="B954" i="4"/>
  <c r="C954" i="4"/>
  <c r="D954" i="4"/>
  <c r="E954" i="4"/>
  <c r="F954" i="4"/>
  <c r="G954" i="4"/>
  <c r="H954" i="4"/>
  <c r="I954" i="4"/>
  <c r="J954" i="4"/>
  <c r="K954" i="4"/>
  <c r="B955" i="4"/>
  <c r="C955" i="4"/>
  <c r="D955" i="4"/>
  <c r="E955" i="4"/>
  <c r="F955" i="4"/>
  <c r="G955" i="4"/>
  <c r="H955" i="4"/>
  <c r="I955" i="4"/>
  <c r="J955" i="4"/>
  <c r="K955" i="4"/>
  <c r="B956" i="4"/>
  <c r="C956" i="4"/>
  <c r="D956" i="4"/>
  <c r="E956" i="4"/>
  <c r="F956" i="4"/>
  <c r="G956" i="4"/>
  <c r="H956" i="4"/>
  <c r="I956" i="4"/>
  <c r="J956" i="4"/>
  <c r="K956" i="4"/>
  <c r="B957" i="4"/>
  <c r="C957" i="4"/>
  <c r="D957" i="4"/>
  <c r="E957" i="4"/>
  <c r="F957" i="4"/>
  <c r="G957" i="4"/>
  <c r="H957" i="4"/>
  <c r="I957" i="4"/>
  <c r="J957" i="4"/>
  <c r="K957" i="4"/>
  <c r="B958" i="4"/>
  <c r="C958" i="4"/>
  <c r="D958" i="4"/>
  <c r="E958" i="4"/>
  <c r="F958" i="4"/>
  <c r="G958" i="4"/>
  <c r="H958" i="4"/>
  <c r="I958" i="4"/>
  <c r="J958" i="4"/>
  <c r="K958" i="4"/>
  <c r="B959" i="4"/>
  <c r="C959" i="4"/>
  <c r="D959" i="4"/>
  <c r="E959" i="4"/>
  <c r="F959" i="4"/>
  <c r="G959" i="4"/>
  <c r="H959" i="4"/>
  <c r="I959" i="4"/>
  <c r="J959" i="4"/>
  <c r="K959" i="4"/>
  <c r="B960" i="4"/>
  <c r="C960" i="4"/>
  <c r="D960" i="4"/>
  <c r="E960" i="4"/>
  <c r="F960" i="4"/>
  <c r="G960" i="4"/>
  <c r="H960" i="4"/>
  <c r="I960" i="4"/>
  <c r="J960" i="4"/>
  <c r="K960" i="4"/>
  <c r="B961" i="4"/>
  <c r="C961" i="4"/>
  <c r="D961" i="4"/>
  <c r="E961" i="4"/>
  <c r="F961" i="4"/>
  <c r="G961" i="4"/>
  <c r="H961" i="4"/>
  <c r="I961" i="4"/>
  <c r="J961" i="4"/>
  <c r="K961" i="4"/>
  <c r="B962" i="4"/>
  <c r="C962" i="4"/>
  <c r="D962" i="4"/>
  <c r="E962" i="4"/>
  <c r="F962" i="4"/>
  <c r="G962" i="4"/>
  <c r="H962" i="4"/>
  <c r="I962" i="4"/>
  <c r="J962" i="4"/>
  <c r="K962" i="4"/>
  <c r="B963" i="4"/>
  <c r="C963" i="4"/>
  <c r="D963" i="4"/>
  <c r="E963" i="4"/>
  <c r="F963" i="4"/>
  <c r="G963" i="4"/>
  <c r="H963" i="4"/>
  <c r="I963" i="4"/>
  <c r="J963" i="4"/>
  <c r="K963" i="4"/>
  <c r="B964" i="4"/>
  <c r="C964" i="4"/>
  <c r="D964" i="4"/>
  <c r="E964" i="4"/>
  <c r="F964" i="4"/>
  <c r="G964" i="4"/>
  <c r="H964" i="4"/>
  <c r="I964" i="4"/>
  <c r="J964" i="4"/>
  <c r="K964" i="4"/>
  <c r="B965" i="4"/>
  <c r="C965" i="4"/>
  <c r="D965" i="4"/>
  <c r="E965" i="4"/>
  <c r="F965" i="4"/>
  <c r="G965" i="4"/>
  <c r="H965" i="4"/>
  <c r="I965" i="4"/>
  <c r="J965" i="4"/>
  <c r="K965" i="4"/>
  <c r="B966" i="4"/>
  <c r="C966" i="4"/>
  <c r="D966" i="4"/>
  <c r="E966" i="4"/>
  <c r="F966" i="4"/>
  <c r="G966" i="4"/>
  <c r="H966" i="4"/>
  <c r="I966" i="4"/>
  <c r="J966" i="4"/>
  <c r="K966" i="4"/>
  <c r="B967" i="4"/>
  <c r="C967" i="4"/>
  <c r="D967" i="4"/>
  <c r="E967" i="4"/>
  <c r="F967" i="4"/>
  <c r="G967" i="4"/>
  <c r="H967" i="4"/>
  <c r="I967" i="4"/>
  <c r="J967" i="4"/>
  <c r="K967" i="4"/>
  <c r="B968" i="4"/>
  <c r="C968" i="4"/>
  <c r="D968" i="4"/>
  <c r="E968" i="4"/>
  <c r="F968" i="4"/>
  <c r="G968" i="4"/>
  <c r="H968" i="4"/>
  <c r="I968" i="4"/>
  <c r="J968" i="4"/>
  <c r="K968" i="4"/>
  <c r="B969" i="4"/>
  <c r="C969" i="4"/>
  <c r="D969" i="4"/>
  <c r="E969" i="4"/>
  <c r="F969" i="4"/>
  <c r="G969" i="4"/>
  <c r="H969" i="4"/>
  <c r="I969" i="4"/>
  <c r="J969" i="4"/>
  <c r="K969" i="4"/>
  <c r="B970" i="4"/>
  <c r="C970" i="4"/>
  <c r="D970" i="4"/>
  <c r="E970" i="4"/>
  <c r="F970" i="4"/>
  <c r="G970" i="4"/>
  <c r="H970" i="4"/>
  <c r="I970" i="4"/>
  <c r="J970" i="4"/>
  <c r="K970" i="4"/>
  <c r="B971" i="4"/>
  <c r="C971" i="4"/>
  <c r="D971" i="4"/>
  <c r="E971" i="4"/>
  <c r="F971" i="4"/>
  <c r="G971" i="4"/>
  <c r="H971" i="4"/>
  <c r="I971" i="4"/>
  <c r="J971" i="4"/>
  <c r="K971" i="4"/>
  <c r="B972" i="4"/>
  <c r="C972" i="4"/>
  <c r="D972" i="4"/>
  <c r="E972" i="4"/>
  <c r="F972" i="4"/>
  <c r="G972" i="4"/>
  <c r="H972" i="4"/>
  <c r="I972" i="4"/>
  <c r="J972" i="4"/>
  <c r="K972" i="4"/>
  <c r="B973" i="4"/>
  <c r="C973" i="4"/>
  <c r="D973" i="4"/>
  <c r="E973" i="4"/>
  <c r="F973" i="4"/>
  <c r="G973" i="4"/>
  <c r="H973" i="4"/>
  <c r="I973" i="4"/>
  <c r="J973" i="4"/>
  <c r="K973" i="4"/>
  <c r="B974" i="4"/>
  <c r="C974" i="4"/>
  <c r="D974" i="4"/>
  <c r="E974" i="4"/>
  <c r="F974" i="4"/>
  <c r="G974" i="4"/>
  <c r="H974" i="4"/>
  <c r="I974" i="4"/>
  <c r="J974" i="4"/>
  <c r="K974" i="4"/>
  <c r="B975" i="4"/>
  <c r="C975" i="4"/>
  <c r="D975" i="4"/>
  <c r="E975" i="4"/>
  <c r="F975" i="4"/>
  <c r="G975" i="4"/>
  <c r="H975" i="4"/>
  <c r="I975" i="4"/>
  <c r="J975" i="4"/>
  <c r="K975" i="4"/>
  <c r="B976" i="4"/>
  <c r="C976" i="4"/>
  <c r="D976" i="4"/>
  <c r="E976" i="4"/>
  <c r="F976" i="4"/>
  <c r="G976" i="4"/>
  <c r="H976" i="4"/>
  <c r="I976" i="4"/>
  <c r="J976" i="4"/>
  <c r="K976" i="4"/>
  <c r="B977" i="4"/>
  <c r="C977" i="4"/>
  <c r="D977" i="4"/>
  <c r="E977" i="4"/>
  <c r="F977" i="4"/>
  <c r="G977" i="4"/>
  <c r="H977" i="4"/>
  <c r="I977" i="4"/>
  <c r="J977" i="4"/>
  <c r="K977" i="4"/>
  <c r="B978" i="4"/>
  <c r="C978" i="4"/>
  <c r="D978" i="4"/>
  <c r="E978" i="4"/>
  <c r="F978" i="4"/>
  <c r="G978" i="4"/>
  <c r="H978" i="4"/>
  <c r="I978" i="4"/>
  <c r="J978" i="4"/>
  <c r="K978" i="4"/>
  <c r="B979" i="4"/>
  <c r="C979" i="4"/>
  <c r="D979" i="4"/>
  <c r="E979" i="4"/>
  <c r="F979" i="4"/>
  <c r="G979" i="4"/>
  <c r="H979" i="4"/>
  <c r="I979" i="4"/>
  <c r="J979" i="4"/>
  <c r="K979" i="4"/>
  <c r="B980" i="4"/>
  <c r="C980" i="4"/>
  <c r="D980" i="4"/>
  <c r="E980" i="4"/>
  <c r="F980" i="4"/>
  <c r="G980" i="4"/>
  <c r="H980" i="4"/>
  <c r="I980" i="4"/>
  <c r="J980" i="4"/>
  <c r="K980" i="4"/>
  <c r="B981" i="4"/>
  <c r="C981" i="4"/>
  <c r="D981" i="4"/>
  <c r="E981" i="4"/>
  <c r="F981" i="4"/>
  <c r="G981" i="4"/>
  <c r="H981" i="4"/>
  <c r="I981" i="4"/>
  <c r="J981" i="4"/>
  <c r="K981" i="4"/>
  <c r="B982" i="4"/>
  <c r="C982" i="4"/>
  <c r="D982" i="4"/>
  <c r="E982" i="4"/>
  <c r="F982" i="4"/>
  <c r="G982" i="4"/>
  <c r="H982" i="4"/>
  <c r="I982" i="4"/>
  <c r="J982" i="4"/>
  <c r="K982" i="4"/>
  <c r="B983" i="4"/>
  <c r="C983" i="4"/>
  <c r="D983" i="4"/>
  <c r="E983" i="4"/>
  <c r="F983" i="4"/>
  <c r="G983" i="4"/>
  <c r="H983" i="4"/>
  <c r="I983" i="4"/>
  <c r="J983" i="4"/>
  <c r="K983" i="4"/>
  <c r="B984" i="4"/>
  <c r="C984" i="4"/>
  <c r="D984" i="4"/>
  <c r="E984" i="4"/>
  <c r="F984" i="4"/>
  <c r="G984" i="4"/>
  <c r="H984" i="4"/>
  <c r="I984" i="4"/>
  <c r="J984" i="4"/>
  <c r="K984" i="4"/>
  <c r="B985" i="4"/>
  <c r="C985" i="4"/>
  <c r="D985" i="4"/>
  <c r="E985" i="4"/>
  <c r="F985" i="4"/>
  <c r="G985" i="4"/>
  <c r="H985" i="4"/>
  <c r="I985" i="4"/>
  <c r="J985" i="4"/>
  <c r="K985" i="4"/>
  <c r="B986" i="4"/>
  <c r="C986" i="4"/>
  <c r="D986" i="4"/>
  <c r="E986" i="4"/>
  <c r="F986" i="4"/>
  <c r="G986" i="4"/>
  <c r="H986" i="4"/>
  <c r="I986" i="4"/>
  <c r="J986" i="4"/>
  <c r="K986" i="4"/>
  <c r="B987" i="4"/>
  <c r="C987" i="4"/>
  <c r="D987" i="4"/>
  <c r="E987" i="4"/>
  <c r="F987" i="4"/>
  <c r="G987" i="4"/>
  <c r="H987" i="4"/>
  <c r="I987" i="4"/>
  <c r="J987" i="4"/>
  <c r="K987" i="4"/>
  <c r="B988" i="4"/>
  <c r="C988" i="4"/>
  <c r="D988" i="4"/>
  <c r="E988" i="4"/>
  <c r="F988" i="4"/>
  <c r="G988" i="4"/>
  <c r="H988" i="4"/>
  <c r="I988" i="4"/>
  <c r="J988" i="4"/>
  <c r="K988" i="4"/>
  <c r="B989" i="4"/>
  <c r="C989" i="4"/>
  <c r="D989" i="4"/>
  <c r="E989" i="4"/>
  <c r="F989" i="4"/>
  <c r="G989" i="4"/>
  <c r="H989" i="4"/>
  <c r="I989" i="4"/>
  <c r="J989" i="4"/>
  <c r="K989" i="4"/>
  <c r="B990" i="4"/>
  <c r="C990" i="4"/>
  <c r="D990" i="4"/>
  <c r="E990" i="4"/>
  <c r="F990" i="4"/>
  <c r="G990" i="4"/>
  <c r="H990" i="4"/>
  <c r="I990" i="4"/>
  <c r="J990" i="4"/>
  <c r="K990" i="4"/>
  <c r="B991" i="4"/>
  <c r="C991" i="4"/>
  <c r="D991" i="4"/>
  <c r="E991" i="4"/>
  <c r="F991" i="4"/>
  <c r="G991" i="4"/>
  <c r="H991" i="4"/>
  <c r="I991" i="4"/>
  <c r="J991" i="4"/>
  <c r="K991" i="4"/>
  <c r="B992" i="4"/>
  <c r="C992" i="4"/>
  <c r="D992" i="4"/>
  <c r="E992" i="4"/>
  <c r="F992" i="4"/>
  <c r="G992" i="4"/>
  <c r="H992" i="4"/>
  <c r="I992" i="4"/>
  <c r="J992" i="4"/>
  <c r="K992" i="4"/>
  <c r="B993" i="4"/>
  <c r="C993" i="4"/>
  <c r="D993" i="4"/>
  <c r="E993" i="4"/>
  <c r="F993" i="4"/>
  <c r="G993" i="4"/>
  <c r="H993" i="4"/>
  <c r="I993" i="4"/>
  <c r="J993" i="4"/>
  <c r="K993" i="4"/>
  <c r="B994" i="4"/>
  <c r="C994" i="4"/>
  <c r="D994" i="4"/>
  <c r="E994" i="4"/>
  <c r="F994" i="4"/>
  <c r="G994" i="4"/>
  <c r="H994" i="4"/>
  <c r="I994" i="4"/>
  <c r="J994" i="4"/>
  <c r="K994" i="4"/>
  <c r="B995" i="4"/>
  <c r="C995" i="4"/>
  <c r="D995" i="4"/>
  <c r="E995" i="4"/>
  <c r="F995" i="4"/>
  <c r="G995" i="4"/>
  <c r="H995" i="4"/>
  <c r="I995" i="4"/>
  <c r="J995" i="4"/>
  <c r="K995" i="4"/>
  <c r="B996" i="4"/>
  <c r="C996" i="4"/>
  <c r="D996" i="4"/>
  <c r="E996" i="4"/>
  <c r="F996" i="4"/>
  <c r="G996" i="4"/>
  <c r="H996" i="4"/>
  <c r="I996" i="4"/>
  <c r="J996" i="4"/>
  <c r="K996" i="4"/>
  <c r="B997" i="4"/>
  <c r="C997" i="4"/>
  <c r="D997" i="4"/>
  <c r="E997" i="4"/>
  <c r="F997" i="4"/>
  <c r="G997" i="4"/>
  <c r="H997" i="4"/>
  <c r="I997" i="4"/>
  <c r="J997" i="4"/>
  <c r="K997" i="4"/>
  <c r="B998" i="4"/>
  <c r="C998" i="4"/>
  <c r="D998" i="4"/>
  <c r="E998" i="4"/>
  <c r="F998" i="4"/>
  <c r="G998" i="4"/>
  <c r="H998" i="4"/>
  <c r="I998" i="4"/>
  <c r="J998" i="4"/>
  <c r="K998" i="4"/>
  <c r="B999" i="4"/>
  <c r="C999" i="4"/>
  <c r="D999" i="4"/>
  <c r="E999" i="4"/>
  <c r="F999" i="4"/>
  <c r="G999" i="4"/>
  <c r="H999" i="4"/>
  <c r="I999" i="4"/>
  <c r="J999" i="4"/>
  <c r="K999" i="4"/>
  <c r="B1000" i="4"/>
  <c r="C1000" i="4"/>
  <c r="D1000" i="4"/>
  <c r="E1000" i="4"/>
  <c r="F1000" i="4"/>
  <c r="G1000" i="4"/>
  <c r="H1000" i="4"/>
  <c r="I1000" i="4"/>
  <c r="J1000" i="4"/>
  <c r="K1000" i="4"/>
  <c r="B1001" i="4"/>
  <c r="C1001" i="4"/>
  <c r="D1001" i="4"/>
  <c r="E1001" i="4"/>
  <c r="F1001" i="4"/>
  <c r="G1001" i="4"/>
  <c r="H1001" i="4"/>
  <c r="I1001" i="4"/>
  <c r="J1001" i="4"/>
  <c r="K1001" i="4"/>
  <c r="B1002" i="4"/>
  <c r="C1002" i="4"/>
  <c r="D1002" i="4"/>
  <c r="E1002" i="4"/>
  <c r="F1002" i="4"/>
  <c r="G1002" i="4"/>
  <c r="H1002" i="4"/>
  <c r="I1002" i="4"/>
  <c r="J1002" i="4"/>
  <c r="K1002" i="4"/>
  <c r="B1003" i="4"/>
  <c r="C1003" i="4"/>
  <c r="D1003" i="4"/>
  <c r="E1003" i="4"/>
  <c r="F1003" i="4"/>
  <c r="G1003" i="4"/>
  <c r="H1003" i="4"/>
  <c r="I1003" i="4"/>
  <c r="J1003" i="4"/>
  <c r="K1003" i="4"/>
  <c r="B1004" i="4"/>
  <c r="C1004" i="4"/>
  <c r="D1004" i="4"/>
  <c r="E1004" i="4"/>
  <c r="F1004" i="4"/>
  <c r="G1004" i="4"/>
  <c r="H1004" i="4"/>
  <c r="I1004" i="4"/>
  <c r="J1004" i="4"/>
  <c r="K1004" i="4"/>
  <c r="B1005" i="4"/>
  <c r="C1005" i="4"/>
  <c r="D1005" i="4"/>
  <c r="E1005" i="4"/>
  <c r="F1005" i="4"/>
  <c r="G1005" i="4"/>
  <c r="H1005" i="4"/>
  <c r="I1005" i="4"/>
  <c r="J1005" i="4"/>
  <c r="K1005" i="4"/>
  <c r="B1006" i="4"/>
  <c r="C1006" i="4"/>
  <c r="D1006" i="4"/>
  <c r="E1006" i="4"/>
  <c r="F1006" i="4"/>
  <c r="G1006" i="4"/>
  <c r="H1006" i="4"/>
  <c r="I1006" i="4"/>
  <c r="J1006" i="4"/>
  <c r="K1006" i="4"/>
  <c r="B1007" i="4"/>
  <c r="C1007" i="4"/>
  <c r="D1007" i="4"/>
  <c r="E1007" i="4"/>
  <c r="F1007" i="4"/>
  <c r="G1007" i="4"/>
  <c r="H1007" i="4"/>
  <c r="I1007" i="4"/>
  <c r="J1007" i="4"/>
  <c r="K1007" i="4"/>
  <c r="B1008" i="4"/>
  <c r="C1008" i="4"/>
  <c r="D1008" i="4"/>
  <c r="E1008" i="4"/>
  <c r="F1008" i="4"/>
  <c r="G1008" i="4"/>
  <c r="H1008" i="4"/>
  <c r="I1008" i="4"/>
  <c r="J1008" i="4"/>
  <c r="K1008" i="4"/>
  <c r="B1009" i="4"/>
  <c r="C1009" i="4"/>
  <c r="D1009" i="4"/>
  <c r="E1009" i="4"/>
  <c r="F1009" i="4"/>
  <c r="G1009" i="4"/>
  <c r="H1009" i="4"/>
  <c r="I1009" i="4"/>
  <c r="J1009" i="4"/>
  <c r="K1009" i="4"/>
  <c r="B1010" i="4"/>
  <c r="C1010" i="4"/>
  <c r="D1010" i="4"/>
  <c r="E1010" i="4"/>
  <c r="F1010" i="4"/>
  <c r="G1010" i="4"/>
  <c r="H1010" i="4"/>
  <c r="I1010" i="4"/>
  <c r="J1010" i="4"/>
  <c r="K1010" i="4"/>
  <c r="B1011" i="4"/>
  <c r="C1011" i="4"/>
  <c r="D1011" i="4"/>
  <c r="E1011" i="4"/>
  <c r="F1011" i="4"/>
  <c r="G1011" i="4"/>
  <c r="H1011" i="4"/>
  <c r="I1011" i="4"/>
  <c r="J1011" i="4"/>
  <c r="K1011" i="4"/>
  <c r="B1012" i="4"/>
  <c r="C1012" i="4"/>
  <c r="D1012" i="4"/>
  <c r="E1012" i="4"/>
  <c r="F1012" i="4"/>
  <c r="G1012" i="4"/>
  <c r="H1012" i="4"/>
  <c r="I1012" i="4"/>
  <c r="J1012" i="4"/>
  <c r="K1012" i="4"/>
  <c r="B1013" i="4"/>
  <c r="C1013" i="4"/>
  <c r="D1013" i="4"/>
  <c r="E1013" i="4"/>
  <c r="F1013" i="4"/>
  <c r="G1013" i="4"/>
  <c r="H1013" i="4"/>
  <c r="I1013" i="4"/>
  <c r="J1013" i="4"/>
  <c r="K1013" i="4"/>
  <c r="B1014" i="4"/>
  <c r="C1014" i="4"/>
  <c r="D1014" i="4"/>
  <c r="E1014" i="4"/>
  <c r="F1014" i="4"/>
  <c r="G1014" i="4"/>
  <c r="H1014" i="4"/>
  <c r="I1014" i="4"/>
  <c r="J1014" i="4"/>
  <c r="K1014" i="4"/>
  <c r="B1015" i="4"/>
  <c r="C1015" i="4"/>
  <c r="D1015" i="4"/>
  <c r="E1015" i="4"/>
  <c r="F1015" i="4"/>
  <c r="G1015" i="4"/>
  <c r="H1015" i="4"/>
  <c r="I1015" i="4"/>
  <c r="J1015" i="4"/>
  <c r="K1015" i="4"/>
  <c r="B1016" i="4"/>
  <c r="C1016" i="4"/>
  <c r="D1016" i="4"/>
  <c r="E1016" i="4"/>
  <c r="F1016" i="4"/>
  <c r="G1016" i="4"/>
  <c r="H1016" i="4"/>
  <c r="I1016" i="4"/>
  <c r="J1016" i="4"/>
  <c r="K1016" i="4"/>
  <c r="B1017" i="4"/>
  <c r="C1017" i="4"/>
  <c r="D1017" i="4"/>
  <c r="E1017" i="4"/>
  <c r="F1017" i="4"/>
  <c r="G1017" i="4"/>
  <c r="H1017" i="4"/>
  <c r="I1017" i="4"/>
  <c r="J1017" i="4"/>
  <c r="K1017" i="4"/>
  <c r="B1018" i="4"/>
  <c r="C1018" i="4"/>
  <c r="D1018" i="4"/>
  <c r="E1018" i="4"/>
  <c r="F1018" i="4"/>
  <c r="G1018" i="4"/>
  <c r="H1018" i="4"/>
  <c r="I1018" i="4"/>
  <c r="J1018" i="4"/>
  <c r="K1018" i="4"/>
  <c r="B1019" i="4"/>
  <c r="C1019" i="4"/>
  <c r="D1019" i="4"/>
  <c r="E1019" i="4"/>
  <c r="F1019" i="4"/>
  <c r="G1019" i="4"/>
  <c r="H1019" i="4"/>
  <c r="I1019" i="4"/>
  <c r="J1019" i="4"/>
  <c r="K1019" i="4"/>
  <c r="B1020" i="4"/>
  <c r="C1020" i="4"/>
  <c r="D1020" i="4"/>
  <c r="E1020" i="4"/>
  <c r="F1020" i="4"/>
  <c r="G1020" i="4"/>
  <c r="H1020" i="4"/>
  <c r="I1020" i="4"/>
  <c r="J1020" i="4"/>
  <c r="K1020" i="4"/>
  <c r="B1021" i="4"/>
  <c r="C1021" i="4"/>
  <c r="D1021" i="4"/>
  <c r="E1021" i="4"/>
  <c r="F1021" i="4"/>
  <c r="G1021" i="4"/>
  <c r="H1021" i="4"/>
  <c r="I1021" i="4"/>
  <c r="J1021" i="4"/>
  <c r="K1021" i="4"/>
  <c r="B1022" i="4"/>
  <c r="C1022" i="4"/>
  <c r="D1022" i="4"/>
  <c r="E1022" i="4"/>
  <c r="F1022" i="4"/>
  <c r="G1022" i="4"/>
  <c r="H1022" i="4"/>
  <c r="I1022" i="4"/>
  <c r="J1022" i="4"/>
  <c r="K1022" i="4"/>
  <c r="B1023" i="4"/>
  <c r="C1023" i="4"/>
  <c r="D1023" i="4"/>
  <c r="E1023" i="4"/>
  <c r="F1023" i="4"/>
  <c r="G1023" i="4"/>
  <c r="H1023" i="4"/>
  <c r="I1023" i="4"/>
  <c r="J1023" i="4"/>
  <c r="K1023" i="4"/>
  <c r="B1024" i="4"/>
  <c r="C1024" i="4"/>
  <c r="D1024" i="4"/>
  <c r="E1024" i="4"/>
  <c r="F1024" i="4"/>
  <c r="G1024" i="4"/>
  <c r="H1024" i="4"/>
  <c r="I1024" i="4"/>
  <c r="J1024" i="4"/>
  <c r="K1024" i="4"/>
  <c r="B1025" i="4"/>
  <c r="C1025" i="4"/>
  <c r="D1025" i="4"/>
  <c r="E1025" i="4"/>
  <c r="F1025" i="4"/>
  <c r="G1025" i="4"/>
  <c r="H1025" i="4"/>
  <c r="I1025" i="4"/>
  <c r="J1025" i="4"/>
  <c r="K1025" i="4"/>
  <c r="B1026" i="4"/>
  <c r="C1026" i="4"/>
  <c r="D1026" i="4"/>
  <c r="E1026" i="4"/>
  <c r="F1026" i="4"/>
  <c r="G1026" i="4"/>
  <c r="H1026" i="4"/>
  <c r="I1026" i="4"/>
  <c r="J1026" i="4"/>
  <c r="K1026" i="4"/>
  <c r="B1027" i="4"/>
  <c r="C1027" i="4"/>
  <c r="D1027" i="4"/>
  <c r="E1027" i="4"/>
  <c r="F1027" i="4"/>
  <c r="G1027" i="4"/>
  <c r="H1027" i="4"/>
  <c r="I1027" i="4"/>
  <c r="J1027" i="4"/>
  <c r="K1027" i="4"/>
  <c r="B1028" i="4"/>
  <c r="C1028" i="4"/>
  <c r="D1028" i="4"/>
  <c r="E1028" i="4"/>
  <c r="F1028" i="4"/>
  <c r="G1028" i="4"/>
  <c r="H1028" i="4"/>
  <c r="I1028" i="4"/>
  <c r="J1028" i="4"/>
  <c r="K1028" i="4"/>
  <c r="B1029" i="4"/>
  <c r="C1029" i="4"/>
  <c r="D1029" i="4"/>
  <c r="E1029" i="4"/>
  <c r="F1029" i="4"/>
  <c r="G1029" i="4"/>
  <c r="H1029" i="4"/>
  <c r="I1029" i="4"/>
  <c r="J1029" i="4"/>
  <c r="K1029" i="4"/>
  <c r="B1030" i="4"/>
  <c r="C1030" i="4"/>
  <c r="D1030" i="4"/>
  <c r="E1030" i="4"/>
  <c r="F1030" i="4"/>
  <c r="G1030" i="4"/>
  <c r="H1030" i="4"/>
  <c r="I1030" i="4"/>
  <c r="J1030" i="4"/>
  <c r="K1030" i="4"/>
  <c r="B1031" i="4"/>
  <c r="C1031" i="4"/>
  <c r="D1031" i="4"/>
  <c r="E1031" i="4"/>
  <c r="F1031" i="4"/>
  <c r="G1031" i="4"/>
  <c r="H1031" i="4"/>
  <c r="I1031" i="4"/>
  <c r="J1031" i="4"/>
  <c r="K1031" i="4"/>
  <c r="B1032" i="4"/>
  <c r="C1032" i="4"/>
  <c r="D1032" i="4"/>
  <c r="E1032" i="4"/>
  <c r="F1032" i="4"/>
  <c r="G1032" i="4"/>
  <c r="H1032" i="4"/>
  <c r="I1032" i="4"/>
  <c r="J1032" i="4"/>
  <c r="K1032" i="4"/>
  <c r="B1033" i="4"/>
  <c r="C1033" i="4"/>
  <c r="D1033" i="4"/>
  <c r="E1033" i="4"/>
  <c r="F1033" i="4"/>
  <c r="G1033" i="4"/>
  <c r="H1033" i="4"/>
  <c r="I1033" i="4"/>
  <c r="J1033" i="4"/>
  <c r="K1033" i="4"/>
  <c r="B1034" i="4"/>
  <c r="C1034" i="4"/>
  <c r="D1034" i="4"/>
  <c r="E1034" i="4"/>
  <c r="F1034" i="4"/>
  <c r="G1034" i="4"/>
  <c r="H1034" i="4"/>
  <c r="I1034" i="4"/>
  <c r="J1034" i="4"/>
  <c r="K1034" i="4"/>
  <c r="B1035" i="4"/>
  <c r="C1035" i="4"/>
  <c r="D1035" i="4"/>
  <c r="E1035" i="4"/>
  <c r="F1035" i="4"/>
  <c r="G1035" i="4"/>
  <c r="H1035" i="4"/>
  <c r="I1035" i="4"/>
  <c r="J1035" i="4"/>
  <c r="K1035" i="4"/>
  <c r="B1036" i="4"/>
  <c r="C1036" i="4"/>
  <c r="D1036" i="4"/>
  <c r="E1036" i="4"/>
  <c r="F1036" i="4"/>
  <c r="G1036" i="4"/>
  <c r="H1036" i="4"/>
  <c r="I1036" i="4"/>
  <c r="J1036" i="4"/>
  <c r="K1036" i="4"/>
  <c r="B1037" i="4"/>
  <c r="C1037" i="4"/>
  <c r="D1037" i="4"/>
  <c r="E1037" i="4"/>
  <c r="F1037" i="4"/>
  <c r="G1037" i="4"/>
  <c r="H1037" i="4"/>
  <c r="I1037" i="4"/>
  <c r="J1037" i="4"/>
  <c r="K1037" i="4"/>
  <c r="B1038" i="4"/>
  <c r="C1038" i="4"/>
  <c r="D1038" i="4"/>
  <c r="E1038" i="4"/>
  <c r="F1038" i="4"/>
  <c r="G1038" i="4"/>
  <c r="H1038" i="4"/>
  <c r="I1038" i="4"/>
  <c r="J1038" i="4"/>
  <c r="K1038" i="4"/>
  <c r="B1039" i="4"/>
  <c r="C1039" i="4"/>
  <c r="D1039" i="4"/>
  <c r="E1039" i="4"/>
  <c r="F1039" i="4"/>
  <c r="G1039" i="4"/>
  <c r="H1039" i="4"/>
  <c r="I1039" i="4"/>
  <c r="J1039" i="4"/>
  <c r="K1039" i="4"/>
  <c r="B1040" i="4"/>
  <c r="C1040" i="4"/>
  <c r="D1040" i="4"/>
  <c r="E1040" i="4"/>
  <c r="F1040" i="4"/>
  <c r="G1040" i="4"/>
  <c r="H1040" i="4"/>
  <c r="I1040" i="4"/>
  <c r="J1040" i="4"/>
  <c r="K1040" i="4"/>
  <c r="B1041" i="4"/>
  <c r="C1041" i="4"/>
  <c r="D1041" i="4"/>
  <c r="E1041" i="4"/>
  <c r="F1041" i="4"/>
  <c r="G1041" i="4"/>
  <c r="H1041" i="4"/>
  <c r="I1041" i="4"/>
  <c r="J1041" i="4"/>
  <c r="K1041" i="4"/>
  <c r="B1042" i="4"/>
  <c r="C1042" i="4"/>
  <c r="D1042" i="4"/>
  <c r="E1042" i="4"/>
  <c r="F1042" i="4"/>
  <c r="G1042" i="4"/>
  <c r="H1042" i="4"/>
  <c r="I1042" i="4"/>
  <c r="J1042" i="4"/>
  <c r="K1042" i="4"/>
  <c r="B1043" i="4"/>
  <c r="C1043" i="4"/>
  <c r="D1043" i="4"/>
  <c r="E1043" i="4"/>
  <c r="F1043" i="4"/>
  <c r="G1043" i="4"/>
  <c r="H1043" i="4"/>
  <c r="I1043" i="4"/>
  <c r="J1043" i="4"/>
  <c r="K1043" i="4"/>
  <c r="B1044" i="4"/>
  <c r="C1044" i="4"/>
  <c r="D1044" i="4"/>
  <c r="E1044" i="4"/>
  <c r="F1044" i="4"/>
  <c r="G1044" i="4"/>
  <c r="H1044" i="4"/>
  <c r="I1044" i="4"/>
  <c r="J1044" i="4"/>
  <c r="K1044" i="4"/>
  <c r="B1045" i="4"/>
  <c r="C1045" i="4"/>
  <c r="D1045" i="4"/>
  <c r="E1045" i="4"/>
  <c r="F1045" i="4"/>
  <c r="G1045" i="4"/>
  <c r="H1045" i="4"/>
  <c r="I1045" i="4"/>
  <c r="J1045" i="4"/>
  <c r="K1045" i="4"/>
  <c r="B1046" i="4"/>
  <c r="C1046" i="4"/>
  <c r="D1046" i="4"/>
  <c r="E1046" i="4"/>
  <c r="F1046" i="4"/>
  <c r="G1046" i="4"/>
  <c r="H1046" i="4"/>
  <c r="I1046" i="4"/>
  <c r="J1046" i="4"/>
  <c r="K1046" i="4"/>
  <c r="B1047" i="4"/>
  <c r="C1047" i="4"/>
  <c r="D1047" i="4"/>
  <c r="E1047" i="4"/>
  <c r="F1047" i="4"/>
  <c r="G1047" i="4"/>
  <c r="H1047" i="4"/>
  <c r="I1047" i="4"/>
  <c r="J1047" i="4"/>
  <c r="K1047" i="4"/>
  <c r="B1048" i="4"/>
  <c r="C1048" i="4"/>
  <c r="D1048" i="4"/>
  <c r="E1048" i="4"/>
  <c r="F1048" i="4"/>
  <c r="G1048" i="4"/>
  <c r="H1048" i="4"/>
  <c r="I1048" i="4"/>
  <c r="J1048" i="4"/>
  <c r="K1048" i="4"/>
  <c r="B1049" i="4"/>
  <c r="C1049" i="4"/>
  <c r="D1049" i="4"/>
  <c r="E1049" i="4"/>
  <c r="F1049" i="4"/>
  <c r="G1049" i="4"/>
  <c r="H1049" i="4"/>
  <c r="I1049" i="4"/>
  <c r="J1049" i="4"/>
  <c r="K1049" i="4"/>
  <c r="B1050" i="4"/>
  <c r="C1050" i="4"/>
  <c r="D1050" i="4"/>
  <c r="E1050" i="4"/>
  <c r="F1050" i="4"/>
  <c r="G1050" i="4"/>
  <c r="H1050" i="4"/>
  <c r="I1050" i="4"/>
  <c r="J1050" i="4"/>
  <c r="K1050" i="4"/>
  <c r="B1051" i="4"/>
  <c r="C1051" i="4"/>
  <c r="D1051" i="4"/>
  <c r="E1051" i="4"/>
  <c r="F1051" i="4"/>
  <c r="G1051" i="4"/>
  <c r="H1051" i="4"/>
  <c r="I1051" i="4"/>
  <c r="J1051" i="4"/>
  <c r="K1051" i="4"/>
  <c r="B1052" i="4"/>
  <c r="C1052" i="4"/>
  <c r="D1052" i="4"/>
  <c r="E1052" i="4"/>
  <c r="F1052" i="4"/>
  <c r="G1052" i="4"/>
  <c r="H1052" i="4"/>
  <c r="I1052" i="4"/>
  <c r="J1052" i="4"/>
  <c r="K1052" i="4"/>
  <c r="B1053" i="4"/>
  <c r="C1053" i="4"/>
  <c r="D1053" i="4"/>
  <c r="E1053" i="4"/>
  <c r="F1053" i="4"/>
  <c r="G1053" i="4"/>
  <c r="H1053" i="4"/>
  <c r="I1053" i="4"/>
  <c r="J1053" i="4"/>
  <c r="K1053" i="4"/>
  <c r="B1054" i="4"/>
  <c r="C1054" i="4"/>
  <c r="D1054" i="4"/>
  <c r="E1054" i="4"/>
  <c r="F1054" i="4"/>
  <c r="G1054" i="4"/>
  <c r="H1054" i="4"/>
  <c r="I1054" i="4"/>
  <c r="J1054" i="4"/>
  <c r="K1054" i="4"/>
  <c r="B1055" i="4"/>
  <c r="C1055" i="4"/>
  <c r="D1055" i="4"/>
  <c r="E1055" i="4"/>
  <c r="F1055" i="4"/>
  <c r="G1055" i="4"/>
  <c r="H1055" i="4"/>
  <c r="I1055" i="4"/>
  <c r="J1055" i="4"/>
  <c r="K1055" i="4"/>
  <c r="B1056" i="4"/>
  <c r="C1056" i="4"/>
  <c r="D1056" i="4"/>
  <c r="E1056" i="4"/>
  <c r="F1056" i="4"/>
  <c r="G1056" i="4"/>
  <c r="H1056" i="4"/>
  <c r="I1056" i="4"/>
  <c r="J1056" i="4"/>
  <c r="K1056" i="4"/>
  <c r="B1057" i="4"/>
  <c r="C1057" i="4"/>
  <c r="D1057" i="4"/>
  <c r="E1057" i="4"/>
  <c r="F1057" i="4"/>
  <c r="G1057" i="4"/>
  <c r="H1057" i="4"/>
  <c r="I1057" i="4"/>
  <c r="J1057" i="4"/>
  <c r="K1057" i="4"/>
  <c r="B1058" i="4"/>
  <c r="C1058" i="4"/>
  <c r="D1058" i="4"/>
  <c r="E1058" i="4"/>
  <c r="F1058" i="4"/>
  <c r="G1058" i="4"/>
  <c r="H1058" i="4"/>
  <c r="I1058" i="4"/>
  <c r="J1058" i="4"/>
  <c r="K1058" i="4"/>
  <c r="B1059" i="4"/>
  <c r="C1059" i="4"/>
  <c r="D1059" i="4"/>
  <c r="E1059" i="4"/>
  <c r="F1059" i="4"/>
  <c r="G1059" i="4"/>
  <c r="H1059" i="4"/>
  <c r="I1059" i="4"/>
  <c r="J1059" i="4"/>
  <c r="K1059" i="4"/>
  <c r="B1060" i="4"/>
  <c r="C1060" i="4"/>
  <c r="D1060" i="4"/>
  <c r="E1060" i="4"/>
  <c r="F1060" i="4"/>
  <c r="G1060" i="4"/>
  <c r="H1060" i="4"/>
  <c r="I1060" i="4"/>
  <c r="J1060" i="4"/>
  <c r="K1060" i="4"/>
  <c r="J1093" i="4"/>
  <c r="H1106" i="4"/>
  <c r="J1111" i="4"/>
  <c r="B1123" i="4"/>
  <c r="F1128" i="4"/>
  <c r="H1137" i="4"/>
  <c r="F1141" i="4"/>
  <c r="C13" i="3"/>
  <c r="E13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B122" i="3"/>
  <c r="C122" i="3"/>
  <c r="D122" i="3"/>
  <c r="E122" i="3"/>
  <c r="B123" i="3"/>
  <c r="C123" i="3"/>
  <c r="D123" i="3"/>
  <c r="E123" i="3"/>
  <c r="B124" i="3"/>
  <c r="C124" i="3"/>
  <c r="D124" i="3"/>
  <c r="E124" i="3"/>
  <c r="B125" i="3"/>
  <c r="C125" i="3"/>
  <c r="D125" i="3"/>
  <c r="E125" i="3"/>
  <c r="B126" i="3"/>
  <c r="C126" i="3"/>
  <c r="D126" i="3"/>
  <c r="E126" i="3"/>
  <c r="B127" i="3"/>
  <c r="C127" i="3"/>
  <c r="D127" i="3"/>
  <c r="E127" i="3"/>
  <c r="B128" i="3"/>
  <c r="C128" i="3"/>
  <c r="D128" i="3"/>
  <c r="E128" i="3"/>
  <c r="B129" i="3"/>
  <c r="C129" i="3"/>
  <c r="D129" i="3"/>
  <c r="E129" i="3"/>
  <c r="B130" i="3"/>
  <c r="C130" i="3"/>
  <c r="D130" i="3"/>
  <c r="E130" i="3"/>
  <c r="B131" i="3"/>
  <c r="C131" i="3"/>
  <c r="D131" i="3"/>
  <c r="E131" i="3"/>
  <c r="B132" i="3"/>
  <c r="C132" i="3"/>
  <c r="D132" i="3"/>
  <c r="E132" i="3"/>
  <c r="B133" i="3"/>
  <c r="C133" i="3"/>
  <c r="D133" i="3"/>
  <c r="E133" i="3"/>
  <c r="B134" i="3"/>
  <c r="C134" i="3"/>
  <c r="D134" i="3"/>
  <c r="E134" i="3"/>
  <c r="B135" i="3"/>
  <c r="C135" i="3"/>
  <c r="D135" i="3"/>
  <c r="E135" i="3"/>
  <c r="B136" i="3"/>
  <c r="C136" i="3"/>
  <c r="D136" i="3"/>
  <c r="E136" i="3"/>
  <c r="B137" i="3"/>
  <c r="C137" i="3"/>
  <c r="D137" i="3"/>
  <c r="E137" i="3"/>
  <c r="B138" i="3"/>
  <c r="C138" i="3"/>
  <c r="D138" i="3"/>
  <c r="E138" i="3"/>
  <c r="B139" i="3"/>
  <c r="C139" i="3"/>
  <c r="D139" i="3"/>
  <c r="E139" i="3"/>
  <c r="B140" i="3"/>
  <c r="C140" i="3"/>
  <c r="D140" i="3"/>
  <c r="E140" i="3"/>
  <c r="B141" i="3"/>
  <c r="C141" i="3"/>
  <c r="D141" i="3"/>
  <c r="E141" i="3"/>
  <c r="B142" i="3"/>
  <c r="C142" i="3"/>
  <c r="D142" i="3"/>
  <c r="E142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52" i="3"/>
  <c r="C152" i="3"/>
  <c r="D152" i="3"/>
  <c r="E152" i="3"/>
  <c r="B153" i="3"/>
  <c r="C153" i="3"/>
  <c r="D153" i="3"/>
  <c r="E153" i="3"/>
  <c r="B154" i="3"/>
  <c r="C154" i="3"/>
  <c r="D154" i="3"/>
  <c r="E154" i="3"/>
  <c r="B155" i="3"/>
  <c r="C155" i="3"/>
  <c r="D155" i="3"/>
  <c r="E155" i="3"/>
  <c r="B156" i="3"/>
  <c r="C156" i="3"/>
  <c r="D156" i="3"/>
  <c r="E156" i="3"/>
  <c r="B157" i="3"/>
  <c r="C157" i="3"/>
  <c r="D157" i="3"/>
  <c r="E157" i="3"/>
  <c r="B158" i="3"/>
  <c r="C158" i="3"/>
  <c r="D158" i="3"/>
  <c r="E158" i="3"/>
  <c r="B159" i="3"/>
  <c r="C159" i="3"/>
  <c r="D159" i="3"/>
  <c r="E159" i="3"/>
  <c r="B160" i="3"/>
  <c r="C160" i="3"/>
  <c r="D160" i="3"/>
  <c r="E160" i="3"/>
  <c r="B161" i="3"/>
  <c r="C161" i="3"/>
  <c r="D161" i="3"/>
  <c r="E161" i="3"/>
  <c r="B162" i="3"/>
  <c r="C162" i="3"/>
  <c r="D162" i="3"/>
  <c r="E162" i="3"/>
  <c r="B163" i="3"/>
  <c r="C163" i="3"/>
  <c r="D163" i="3"/>
  <c r="E163" i="3"/>
  <c r="B164" i="3"/>
  <c r="C164" i="3"/>
  <c r="D164" i="3"/>
  <c r="E164" i="3"/>
  <c r="B165" i="3"/>
  <c r="C165" i="3"/>
  <c r="D165" i="3"/>
  <c r="E165" i="3"/>
  <c r="B166" i="3"/>
  <c r="C166" i="3"/>
  <c r="D166" i="3"/>
  <c r="E166" i="3"/>
  <c r="B167" i="3"/>
  <c r="C167" i="3"/>
  <c r="D167" i="3"/>
  <c r="E167" i="3"/>
  <c r="B168" i="3"/>
  <c r="C168" i="3"/>
  <c r="D168" i="3"/>
  <c r="E168" i="3"/>
  <c r="B169" i="3"/>
  <c r="C169" i="3"/>
  <c r="D169" i="3"/>
  <c r="E169" i="3"/>
  <c r="B170" i="3"/>
  <c r="C170" i="3"/>
  <c r="D170" i="3"/>
  <c r="E170" i="3"/>
  <c r="B171" i="3"/>
  <c r="C171" i="3"/>
  <c r="D171" i="3"/>
  <c r="E171" i="3"/>
  <c r="B172" i="3"/>
  <c r="C172" i="3"/>
  <c r="D172" i="3"/>
  <c r="E172" i="3"/>
  <c r="B173" i="3"/>
  <c r="C173" i="3"/>
  <c r="D173" i="3"/>
  <c r="E173" i="3"/>
  <c r="B174" i="3"/>
  <c r="C174" i="3"/>
  <c r="D174" i="3"/>
  <c r="E174" i="3"/>
  <c r="B175" i="3"/>
  <c r="C175" i="3"/>
  <c r="D175" i="3"/>
  <c r="E175" i="3"/>
  <c r="B176" i="3"/>
  <c r="C176" i="3"/>
  <c r="D176" i="3"/>
  <c r="E176" i="3"/>
  <c r="B177" i="3"/>
  <c r="C177" i="3"/>
  <c r="D177" i="3"/>
  <c r="E177" i="3"/>
  <c r="B178" i="3"/>
  <c r="C178" i="3"/>
  <c r="D178" i="3"/>
  <c r="E178" i="3"/>
  <c r="B179" i="3"/>
  <c r="C179" i="3"/>
  <c r="D179" i="3"/>
  <c r="E179" i="3"/>
  <c r="B180" i="3"/>
  <c r="C180" i="3"/>
  <c r="D180" i="3"/>
  <c r="E180" i="3"/>
  <c r="B181" i="3"/>
  <c r="C181" i="3"/>
  <c r="D181" i="3"/>
  <c r="E181" i="3"/>
  <c r="B182" i="3"/>
  <c r="C182" i="3"/>
  <c r="D182" i="3"/>
  <c r="E182" i="3"/>
  <c r="B183" i="3"/>
  <c r="C183" i="3"/>
  <c r="D183" i="3"/>
  <c r="E183" i="3"/>
  <c r="B184" i="3"/>
  <c r="C184" i="3"/>
  <c r="D184" i="3"/>
  <c r="E184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1" i="3"/>
  <c r="C191" i="3"/>
  <c r="D191" i="3"/>
  <c r="E191" i="3"/>
  <c r="B192" i="3"/>
  <c r="C192" i="3"/>
  <c r="D192" i="3"/>
  <c r="E192" i="3"/>
  <c r="B193" i="3"/>
  <c r="C193" i="3"/>
  <c r="D193" i="3"/>
  <c r="E193" i="3"/>
  <c r="B194" i="3"/>
  <c r="C194" i="3"/>
  <c r="D194" i="3"/>
  <c r="E194" i="3"/>
  <c r="B195" i="3"/>
  <c r="C195" i="3"/>
  <c r="D195" i="3"/>
  <c r="E195" i="3"/>
  <c r="B196" i="3"/>
  <c r="C196" i="3"/>
  <c r="D196" i="3"/>
  <c r="E196" i="3"/>
  <c r="B197" i="3"/>
  <c r="C197" i="3"/>
  <c r="D197" i="3"/>
  <c r="E197" i="3"/>
  <c r="B198" i="3"/>
  <c r="C198" i="3"/>
  <c r="D198" i="3"/>
  <c r="E198" i="3"/>
  <c r="B199" i="3"/>
  <c r="C199" i="3"/>
  <c r="D199" i="3"/>
  <c r="E199" i="3"/>
  <c r="B200" i="3"/>
  <c r="C200" i="3"/>
  <c r="D200" i="3"/>
  <c r="E200" i="3"/>
  <c r="B201" i="3"/>
  <c r="C201" i="3"/>
  <c r="D201" i="3"/>
  <c r="E201" i="3"/>
  <c r="B202" i="3"/>
  <c r="C202" i="3"/>
  <c r="D202" i="3"/>
  <c r="E202" i="3"/>
  <c r="B203" i="3"/>
  <c r="C203" i="3"/>
  <c r="D203" i="3"/>
  <c r="E203" i="3"/>
  <c r="B204" i="3"/>
  <c r="C204" i="3"/>
  <c r="D204" i="3"/>
  <c r="E204" i="3"/>
  <c r="B205" i="3"/>
  <c r="C205" i="3"/>
  <c r="D205" i="3"/>
  <c r="E205" i="3"/>
  <c r="B206" i="3"/>
  <c r="C206" i="3"/>
  <c r="D206" i="3"/>
  <c r="E206" i="3"/>
  <c r="B207" i="3"/>
  <c r="C207" i="3"/>
  <c r="D207" i="3"/>
  <c r="E207" i="3"/>
  <c r="B208" i="3"/>
  <c r="C208" i="3"/>
  <c r="D208" i="3"/>
  <c r="E208" i="3"/>
  <c r="B209" i="3"/>
  <c r="C209" i="3"/>
  <c r="D209" i="3"/>
  <c r="E209" i="3"/>
  <c r="B210" i="3"/>
  <c r="C210" i="3"/>
  <c r="D210" i="3"/>
  <c r="E210" i="3"/>
  <c r="B211" i="3"/>
  <c r="C211" i="3"/>
  <c r="D211" i="3"/>
  <c r="E211" i="3"/>
  <c r="B212" i="3"/>
  <c r="C212" i="3"/>
  <c r="D212" i="3"/>
  <c r="E212" i="3"/>
  <c r="B213" i="3"/>
  <c r="C213" i="3"/>
  <c r="D213" i="3"/>
  <c r="E213" i="3"/>
  <c r="B214" i="3"/>
  <c r="C214" i="3"/>
  <c r="D214" i="3"/>
  <c r="E214" i="3"/>
  <c r="B215" i="3"/>
  <c r="C215" i="3"/>
  <c r="D215" i="3"/>
  <c r="E215" i="3"/>
  <c r="B216" i="3"/>
  <c r="C216" i="3"/>
  <c r="D216" i="3"/>
  <c r="E216" i="3"/>
  <c r="B217" i="3"/>
  <c r="C217" i="3"/>
  <c r="D217" i="3"/>
  <c r="E217" i="3"/>
  <c r="B218" i="3"/>
  <c r="C218" i="3"/>
  <c r="D218" i="3"/>
  <c r="E218" i="3"/>
  <c r="B219" i="3"/>
  <c r="C219" i="3"/>
  <c r="D219" i="3"/>
  <c r="E219" i="3"/>
  <c r="B220" i="3"/>
  <c r="C220" i="3"/>
  <c r="D220" i="3"/>
  <c r="E220" i="3"/>
  <c r="B221" i="3"/>
  <c r="C221" i="3"/>
  <c r="D221" i="3"/>
  <c r="E221" i="3"/>
  <c r="B222" i="3"/>
  <c r="C222" i="3"/>
  <c r="D222" i="3"/>
  <c r="E222" i="3"/>
  <c r="B223" i="3"/>
  <c r="C223" i="3"/>
  <c r="D223" i="3"/>
  <c r="E223" i="3"/>
  <c r="B224" i="3"/>
  <c r="C224" i="3"/>
  <c r="D224" i="3"/>
  <c r="E224" i="3"/>
  <c r="B225" i="3"/>
  <c r="C225" i="3"/>
  <c r="D225" i="3"/>
  <c r="E225" i="3"/>
  <c r="B226" i="3"/>
  <c r="C226" i="3"/>
  <c r="D226" i="3"/>
  <c r="E226" i="3"/>
  <c r="B227" i="3"/>
  <c r="C227" i="3"/>
  <c r="D227" i="3"/>
  <c r="E227" i="3"/>
  <c r="B228" i="3"/>
  <c r="C228" i="3"/>
  <c r="D228" i="3"/>
  <c r="E228" i="3"/>
  <c r="B229" i="3"/>
  <c r="C229" i="3"/>
  <c r="D229" i="3"/>
  <c r="E229" i="3"/>
  <c r="B230" i="3"/>
  <c r="C230" i="3"/>
  <c r="D230" i="3"/>
  <c r="E230" i="3"/>
  <c r="B231" i="3"/>
  <c r="C231" i="3"/>
  <c r="D231" i="3"/>
  <c r="E231" i="3"/>
  <c r="B232" i="3"/>
  <c r="C232" i="3"/>
  <c r="D232" i="3"/>
  <c r="E232" i="3"/>
  <c r="B233" i="3"/>
  <c r="C233" i="3"/>
  <c r="D233" i="3"/>
  <c r="E233" i="3"/>
  <c r="B234" i="3"/>
  <c r="C234" i="3"/>
  <c r="D234" i="3"/>
  <c r="E234" i="3"/>
  <c r="B235" i="3"/>
  <c r="C235" i="3"/>
  <c r="D235" i="3"/>
  <c r="E235" i="3"/>
  <c r="B236" i="3"/>
  <c r="C236" i="3"/>
  <c r="D236" i="3"/>
  <c r="E236" i="3"/>
  <c r="B237" i="3"/>
  <c r="C237" i="3"/>
  <c r="D237" i="3"/>
  <c r="E237" i="3"/>
  <c r="B238" i="3"/>
  <c r="C238" i="3"/>
  <c r="D238" i="3"/>
  <c r="E238" i="3"/>
  <c r="B239" i="3"/>
  <c r="C239" i="3"/>
  <c r="D239" i="3"/>
  <c r="E239" i="3"/>
  <c r="B240" i="3"/>
  <c r="C240" i="3"/>
  <c r="D240" i="3"/>
  <c r="E240" i="3"/>
  <c r="B241" i="3"/>
  <c r="C241" i="3"/>
  <c r="D241" i="3"/>
  <c r="E241" i="3"/>
  <c r="B242" i="3"/>
  <c r="C242" i="3"/>
  <c r="D242" i="3"/>
  <c r="E242" i="3"/>
  <c r="B243" i="3"/>
  <c r="C243" i="3"/>
  <c r="D243" i="3"/>
  <c r="E243" i="3"/>
  <c r="B244" i="3"/>
  <c r="C244" i="3"/>
  <c r="D244" i="3"/>
  <c r="E244" i="3"/>
  <c r="B245" i="3"/>
  <c r="C245" i="3"/>
  <c r="D245" i="3"/>
  <c r="E245" i="3"/>
  <c r="B246" i="3"/>
  <c r="C246" i="3"/>
  <c r="D246" i="3"/>
  <c r="E246" i="3"/>
  <c r="B247" i="3"/>
  <c r="C247" i="3"/>
  <c r="D247" i="3"/>
  <c r="E247" i="3"/>
  <c r="B248" i="3"/>
  <c r="C248" i="3"/>
  <c r="D248" i="3"/>
  <c r="E248" i="3"/>
  <c r="B249" i="3"/>
  <c r="C249" i="3"/>
  <c r="D249" i="3"/>
  <c r="E249" i="3"/>
  <c r="B250" i="3"/>
  <c r="C250" i="3"/>
  <c r="D250" i="3"/>
  <c r="E250" i="3"/>
  <c r="B251" i="3"/>
  <c r="C251" i="3"/>
  <c r="D251" i="3"/>
  <c r="E251" i="3"/>
  <c r="B252" i="3"/>
  <c r="C252" i="3"/>
  <c r="D252" i="3"/>
  <c r="E252" i="3"/>
  <c r="B253" i="3"/>
  <c r="C253" i="3"/>
  <c r="D253" i="3"/>
  <c r="E253" i="3"/>
  <c r="B254" i="3"/>
  <c r="C254" i="3"/>
  <c r="D254" i="3"/>
  <c r="E254" i="3"/>
  <c r="B255" i="3"/>
  <c r="C255" i="3"/>
  <c r="D255" i="3"/>
  <c r="E255" i="3"/>
  <c r="B256" i="3"/>
  <c r="C256" i="3"/>
  <c r="D256" i="3"/>
  <c r="E256" i="3"/>
  <c r="B257" i="3"/>
  <c r="C257" i="3"/>
  <c r="D257" i="3"/>
  <c r="E257" i="3"/>
  <c r="B258" i="3"/>
  <c r="C258" i="3"/>
  <c r="D258" i="3"/>
  <c r="E258" i="3"/>
  <c r="B259" i="3"/>
  <c r="C259" i="3"/>
  <c r="D259" i="3"/>
  <c r="E259" i="3"/>
  <c r="B260" i="3"/>
  <c r="C260" i="3"/>
  <c r="D260" i="3"/>
  <c r="E260" i="3"/>
  <c r="B261" i="3"/>
  <c r="C261" i="3"/>
  <c r="D261" i="3"/>
  <c r="E261" i="3"/>
  <c r="B262" i="3"/>
  <c r="C262" i="3"/>
  <c r="D262" i="3"/>
  <c r="E262" i="3"/>
  <c r="B263" i="3"/>
  <c r="C263" i="3"/>
  <c r="D263" i="3"/>
  <c r="E263" i="3"/>
  <c r="B264" i="3"/>
  <c r="C264" i="3"/>
  <c r="D264" i="3"/>
  <c r="E264" i="3"/>
  <c r="B265" i="3"/>
  <c r="C265" i="3"/>
  <c r="D265" i="3"/>
  <c r="E265" i="3"/>
  <c r="B266" i="3"/>
  <c r="C266" i="3"/>
  <c r="D266" i="3"/>
  <c r="E266" i="3"/>
  <c r="B267" i="3"/>
  <c r="C267" i="3"/>
  <c r="D267" i="3"/>
  <c r="E267" i="3"/>
  <c r="B268" i="3"/>
  <c r="C268" i="3"/>
  <c r="D268" i="3"/>
  <c r="E268" i="3"/>
  <c r="B269" i="3"/>
  <c r="C269" i="3"/>
  <c r="D269" i="3"/>
  <c r="E269" i="3"/>
  <c r="B270" i="3"/>
  <c r="C270" i="3"/>
  <c r="D270" i="3"/>
  <c r="E270" i="3"/>
  <c r="B271" i="3"/>
  <c r="C271" i="3"/>
  <c r="D271" i="3"/>
  <c r="E271" i="3"/>
  <c r="B272" i="3"/>
  <c r="C272" i="3"/>
  <c r="D272" i="3"/>
  <c r="E272" i="3"/>
  <c r="B273" i="3"/>
  <c r="C273" i="3"/>
  <c r="D273" i="3"/>
  <c r="E273" i="3"/>
  <c r="B274" i="3"/>
  <c r="C274" i="3"/>
  <c r="D274" i="3"/>
  <c r="E274" i="3"/>
  <c r="B275" i="3"/>
  <c r="C275" i="3"/>
  <c r="D275" i="3"/>
  <c r="E275" i="3"/>
  <c r="B276" i="3"/>
  <c r="C276" i="3"/>
  <c r="D276" i="3"/>
  <c r="E276" i="3"/>
  <c r="B277" i="3"/>
  <c r="C277" i="3"/>
  <c r="D277" i="3"/>
  <c r="E277" i="3"/>
  <c r="B278" i="3"/>
  <c r="C278" i="3"/>
  <c r="D278" i="3"/>
  <c r="E278" i="3"/>
  <c r="B279" i="3"/>
  <c r="C279" i="3"/>
  <c r="D279" i="3"/>
  <c r="E279" i="3"/>
  <c r="B280" i="3"/>
  <c r="C280" i="3"/>
  <c r="D280" i="3"/>
  <c r="E280" i="3"/>
  <c r="B281" i="3"/>
  <c r="C281" i="3"/>
  <c r="D281" i="3"/>
  <c r="E281" i="3"/>
  <c r="B282" i="3"/>
  <c r="C282" i="3"/>
  <c r="D282" i="3"/>
  <c r="E282" i="3"/>
  <c r="B283" i="3"/>
  <c r="C283" i="3"/>
  <c r="D283" i="3"/>
  <c r="E283" i="3"/>
  <c r="B284" i="3"/>
  <c r="C284" i="3"/>
  <c r="D284" i="3"/>
  <c r="E284" i="3"/>
  <c r="B285" i="3"/>
  <c r="C285" i="3"/>
  <c r="D285" i="3"/>
  <c r="E285" i="3"/>
  <c r="B286" i="3"/>
  <c r="C286" i="3"/>
  <c r="D286" i="3"/>
  <c r="E286" i="3"/>
  <c r="B287" i="3"/>
  <c r="C287" i="3"/>
  <c r="D287" i="3"/>
  <c r="E287" i="3"/>
  <c r="B288" i="3"/>
  <c r="C288" i="3"/>
  <c r="D288" i="3"/>
  <c r="E288" i="3"/>
  <c r="B289" i="3"/>
  <c r="C289" i="3"/>
  <c r="D289" i="3"/>
  <c r="E289" i="3"/>
  <c r="B290" i="3"/>
  <c r="C290" i="3"/>
  <c r="D290" i="3"/>
  <c r="E290" i="3"/>
  <c r="B291" i="3"/>
  <c r="C291" i="3"/>
  <c r="D291" i="3"/>
  <c r="E291" i="3"/>
  <c r="B292" i="3"/>
  <c r="C292" i="3"/>
  <c r="D292" i="3"/>
  <c r="E292" i="3"/>
  <c r="B293" i="3"/>
  <c r="C293" i="3"/>
  <c r="D293" i="3"/>
  <c r="E293" i="3"/>
  <c r="B294" i="3"/>
  <c r="C294" i="3"/>
  <c r="D294" i="3"/>
  <c r="E294" i="3"/>
  <c r="B295" i="3"/>
  <c r="C295" i="3"/>
  <c r="D295" i="3"/>
  <c r="E295" i="3"/>
  <c r="B296" i="3"/>
  <c r="C296" i="3"/>
  <c r="D296" i="3"/>
  <c r="E296" i="3"/>
  <c r="B297" i="3"/>
  <c r="C297" i="3"/>
  <c r="D297" i="3"/>
  <c r="E297" i="3"/>
  <c r="B298" i="3"/>
  <c r="C298" i="3"/>
  <c r="D298" i="3"/>
  <c r="E298" i="3"/>
  <c r="B299" i="3"/>
  <c r="C299" i="3"/>
  <c r="D299" i="3"/>
  <c r="E299" i="3"/>
  <c r="B300" i="3"/>
  <c r="C300" i="3"/>
  <c r="D300" i="3"/>
  <c r="E300" i="3"/>
  <c r="B301" i="3"/>
  <c r="C301" i="3"/>
  <c r="D301" i="3"/>
  <c r="E301" i="3"/>
  <c r="B302" i="3"/>
  <c r="C302" i="3"/>
  <c r="D302" i="3"/>
  <c r="E302" i="3"/>
  <c r="B303" i="3"/>
  <c r="C303" i="3"/>
  <c r="D303" i="3"/>
  <c r="E303" i="3"/>
  <c r="B304" i="3"/>
  <c r="C304" i="3"/>
  <c r="D304" i="3"/>
  <c r="E304" i="3"/>
  <c r="B305" i="3"/>
  <c r="C305" i="3"/>
  <c r="D305" i="3"/>
  <c r="E305" i="3"/>
  <c r="B306" i="3"/>
  <c r="C306" i="3"/>
  <c r="D306" i="3"/>
  <c r="E306" i="3"/>
  <c r="B307" i="3"/>
  <c r="C307" i="3"/>
  <c r="D307" i="3"/>
  <c r="E307" i="3"/>
  <c r="B308" i="3"/>
  <c r="C308" i="3"/>
  <c r="D308" i="3"/>
  <c r="E308" i="3"/>
  <c r="B309" i="3"/>
  <c r="C309" i="3"/>
  <c r="D309" i="3"/>
  <c r="E309" i="3"/>
  <c r="B310" i="3"/>
  <c r="C310" i="3"/>
  <c r="D310" i="3"/>
  <c r="E310" i="3"/>
  <c r="B311" i="3"/>
  <c r="C311" i="3"/>
  <c r="D311" i="3"/>
  <c r="E311" i="3"/>
  <c r="B312" i="3"/>
  <c r="C312" i="3"/>
  <c r="D312" i="3"/>
  <c r="E312" i="3"/>
  <c r="B313" i="3"/>
  <c r="C313" i="3"/>
  <c r="D313" i="3"/>
  <c r="E313" i="3"/>
  <c r="B314" i="3"/>
  <c r="C314" i="3"/>
  <c r="D314" i="3"/>
  <c r="E314" i="3"/>
  <c r="B315" i="3"/>
  <c r="C315" i="3"/>
  <c r="D315" i="3"/>
  <c r="E315" i="3"/>
  <c r="B316" i="3"/>
  <c r="C316" i="3"/>
  <c r="D316" i="3"/>
  <c r="E316" i="3"/>
  <c r="B317" i="3"/>
  <c r="C317" i="3"/>
  <c r="D317" i="3"/>
  <c r="E317" i="3"/>
  <c r="B318" i="3"/>
  <c r="C318" i="3"/>
  <c r="D318" i="3"/>
  <c r="E318" i="3"/>
  <c r="B319" i="3"/>
  <c r="C319" i="3"/>
  <c r="D319" i="3"/>
  <c r="E319" i="3"/>
  <c r="B320" i="3"/>
  <c r="C320" i="3"/>
  <c r="D320" i="3"/>
  <c r="E320" i="3"/>
  <c r="B321" i="3"/>
  <c r="C321" i="3"/>
  <c r="D321" i="3"/>
  <c r="E321" i="3"/>
  <c r="B322" i="3"/>
  <c r="C322" i="3"/>
  <c r="D322" i="3"/>
  <c r="E322" i="3"/>
  <c r="B323" i="3"/>
  <c r="C323" i="3"/>
  <c r="D323" i="3"/>
  <c r="E323" i="3"/>
  <c r="B324" i="3"/>
  <c r="C324" i="3"/>
  <c r="D324" i="3"/>
  <c r="E324" i="3"/>
  <c r="B325" i="3"/>
  <c r="C325" i="3"/>
  <c r="D325" i="3"/>
  <c r="E325" i="3"/>
  <c r="B326" i="3"/>
  <c r="C326" i="3"/>
  <c r="D326" i="3"/>
  <c r="E326" i="3"/>
  <c r="B327" i="3"/>
  <c r="C327" i="3"/>
  <c r="D327" i="3"/>
  <c r="E327" i="3"/>
  <c r="B328" i="3"/>
  <c r="C328" i="3"/>
  <c r="D328" i="3"/>
  <c r="E328" i="3"/>
  <c r="B329" i="3"/>
  <c r="C329" i="3"/>
  <c r="D329" i="3"/>
  <c r="E329" i="3"/>
  <c r="B330" i="3"/>
  <c r="C330" i="3"/>
  <c r="D330" i="3"/>
  <c r="E330" i="3"/>
  <c r="B331" i="3"/>
  <c r="C331" i="3"/>
  <c r="D331" i="3"/>
  <c r="E331" i="3"/>
  <c r="B332" i="3"/>
  <c r="C332" i="3"/>
  <c r="D332" i="3"/>
  <c r="E332" i="3"/>
  <c r="B333" i="3"/>
  <c r="C333" i="3"/>
  <c r="D333" i="3"/>
  <c r="E333" i="3"/>
  <c r="B334" i="3"/>
  <c r="C334" i="3"/>
  <c r="D334" i="3"/>
  <c r="E334" i="3"/>
  <c r="B335" i="3"/>
  <c r="C335" i="3"/>
  <c r="D335" i="3"/>
  <c r="E335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B339" i="3"/>
  <c r="C339" i="3"/>
  <c r="D339" i="3"/>
  <c r="E339" i="3"/>
  <c r="B340" i="3"/>
  <c r="C340" i="3"/>
  <c r="D340" i="3"/>
  <c r="E340" i="3"/>
  <c r="B341" i="3"/>
  <c r="C341" i="3"/>
  <c r="D341" i="3"/>
  <c r="E341" i="3"/>
  <c r="B342" i="3"/>
  <c r="C342" i="3"/>
  <c r="D342" i="3"/>
  <c r="E342" i="3"/>
  <c r="B343" i="3"/>
  <c r="C343" i="3"/>
  <c r="D343" i="3"/>
  <c r="E343" i="3"/>
  <c r="B344" i="3"/>
  <c r="C344" i="3"/>
  <c r="D344" i="3"/>
  <c r="E344" i="3"/>
  <c r="B345" i="3"/>
  <c r="C345" i="3"/>
  <c r="D345" i="3"/>
  <c r="E345" i="3"/>
  <c r="B346" i="3"/>
  <c r="C346" i="3"/>
  <c r="D346" i="3"/>
  <c r="E346" i="3"/>
  <c r="B347" i="3"/>
  <c r="C347" i="3"/>
  <c r="D347" i="3"/>
  <c r="E347" i="3"/>
  <c r="B348" i="3"/>
  <c r="C348" i="3"/>
  <c r="D348" i="3"/>
  <c r="E348" i="3"/>
  <c r="B349" i="3"/>
  <c r="C349" i="3"/>
  <c r="D349" i="3"/>
  <c r="E349" i="3"/>
  <c r="B350" i="3"/>
  <c r="C350" i="3"/>
  <c r="D350" i="3"/>
  <c r="E350" i="3"/>
  <c r="B351" i="3"/>
  <c r="C351" i="3"/>
  <c r="D351" i="3"/>
  <c r="E351" i="3"/>
  <c r="B352" i="3"/>
  <c r="C352" i="3"/>
  <c r="D352" i="3"/>
  <c r="E352" i="3"/>
  <c r="B353" i="3"/>
  <c r="C353" i="3"/>
  <c r="D353" i="3"/>
  <c r="E353" i="3"/>
  <c r="B354" i="3"/>
  <c r="C354" i="3"/>
  <c r="D354" i="3"/>
  <c r="E354" i="3"/>
  <c r="B355" i="3"/>
  <c r="C355" i="3"/>
  <c r="D355" i="3"/>
  <c r="E355" i="3"/>
  <c r="B356" i="3"/>
  <c r="C356" i="3"/>
  <c r="D356" i="3"/>
  <c r="E356" i="3"/>
  <c r="B357" i="3"/>
  <c r="C357" i="3"/>
  <c r="D357" i="3"/>
  <c r="E357" i="3"/>
  <c r="B358" i="3"/>
  <c r="C358" i="3"/>
  <c r="D358" i="3"/>
  <c r="E358" i="3"/>
  <c r="B359" i="3"/>
  <c r="C359" i="3"/>
  <c r="D359" i="3"/>
  <c r="E359" i="3"/>
  <c r="B360" i="3"/>
  <c r="C360" i="3"/>
  <c r="D360" i="3"/>
  <c r="E360" i="3"/>
  <c r="B361" i="3"/>
  <c r="C361" i="3"/>
  <c r="D361" i="3"/>
  <c r="E361" i="3"/>
  <c r="B362" i="3"/>
  <c r="C362" i="3"/>
  <c r="D362" i="3"/>
  <c r="E362" i="3"/>
  <c r="B363" i="3"/>
  <c r="C363" i="3"/>
  <c r="D363" i="3"/>
  <c r="E363" i="3"/>
  <c r="B364" i="3"/>
  <c r="C364" i="3"/>
  <c r="D364" i="3"/>
  <c r="E364" i="3"/>
  <c r="B365" i="3"/>
  <c r="C365" i="3"/>
  <c r="D365" i="3"/>
  <c r="E365" i="3"/>
  <c r="B366" i="3"/>
  <c r="C366" i="3"/>
  <c r="D366" i="3"/>
  <c r="E366" i="3"/>
  <c r="B367" i="3"/>
  <c r="C367" i="3"/>
  <c r="D367" i="3"/>
  <c r="E367" i="3"/>
  <c r="B368" i="3"/>
  <c r="C368" i="3"/>
  <c r="D368" i="3"/>
  <c r="E368" i="3"/>
  <c r="B369" i="3"/>
  <c r="C369" i="3"/>
  <c r="D369" i="3"/>
  <c r="E369" i="3"/>
  <c r="B370" i="3"/>
  <c r="C370" i="3"/>
  <c r="D370" i="3"/>
  <c r="E370" i="3"/>
  <c r="B371" i="3"/>
  <c r="C371" i="3"/>
  <c r="D371" i="3"/>
  <c r="E371" i="3"/>
  <c r="B372" i="3"/>
  <c r="C372" i="3"/>
  <c r="D372" i="3"/>
  <c r="E372" i="3"/>
  <c r="B373" i="3"/>
  <c r="C373" i="3"/>
  <c r="D373" i="3"/>
  <c r="E373" i="3"/>
  <c r="B374" i="3"/>
  <c r="C374" i="3"/>
  <c r="D374" i="3"/>
  <c r="E374" i="3"/>
  <c r="B375" i="3"/>
  <c r="C375" i="3"/>
  <c r="D375" i="3"/>
  <c r="E375" i="3"/>
  <c r="B376" i="3"/>
  <c r="C376" i="3"/>
  <c r="D376" i="3"/>
  <c r="E376" i="3"/>
  <c r="B377" i="3"/>
  <c r="C377" i="3"/>
  <c r="D377" i="3"/>
  <c r="E377" i="3"/>
  <c r="B378" i="3"/>
  <c r="C378" i="3"/>
  <c r="D378" i="3"/>
  <c r="E378" i="3"/>
  <c r="B379" i="3"/>
  <c r="C379" i="3"/>
  <c r="D379" i="3"/>
  <c r="E379" i="3"/>
  <c r="B380" i="3"/>
  <c r="C380" i="3"/>
  <c r="D380" i="3"/>
  <c r="E380" i="3"/>
  <c r="B381" i="3"/>
  <c r="C381" i="3"/>
  <c r="D381" i="3"/>
  <c r="E381" i="3"/>
  <c r="B382" i="3"/>
  <c r="C382" i="3"/>
  <c r="D382" i="3"/>
  <c r="E382" i="3"/>
  <c r="B383" i="3"/>
  <c r="C383" i="3"/>
  <c r="D383" i="3"/>
  <c r="E383" i="3"/>
  <c r="B384" i="3"/>
  <c r="C384" i="3"/>
  <c r="D384" i="3"/>
  <c r="E384" i="3"/>
  <c r="B385" i="3"/>
  <c r="C385" i="3"/>
  <c r="D385" i="3"/>
  <c r="E385" i="3"/>
  <c r="B386" i="3"/>
  <c r="C386" i="3"/>
  <c r="D386" i="3"/>
  <c r="E386" i="3"/>
  <c r="B387" i="3"/>
  <c r="C387" i="3"/>
  <c r="D387" i="3"/>
  <c r="E387" i="3"/>
  <c r="B388" i="3"/>
  <c r="C388" i="3"/>
  <c r="D388" i="3"/>
  <c r="E388" i="3"/>
  <c r="B389" i="3"/>
  <c r="C389" i="3"/>
  <c r="D389" i="3"/>
  <c r="E389" i="3"/>
  <c r="B390" i="3"/>
  <c r="C390" i="3"/>
  <c r="D390" i="3"/>
  <c r="E390" i="3"/>
  <c r="B391" i="3"/>
  <c r="C391" i="3"/>
  <c r="D391" i="3"/>
  <c r="E391" i="3"/>
  <c r="B392" i="3"/>
  <c r="C392" i="3"/>
  <c r="D392" i="3"/>
  <c r="E392" i="3"/>
  <c r="B393" i="3"/>
  <c r="C393" i="3"/>
  <c r="D393" i="3"/>
  <c r="E393" i="3"/>
  <c r="B394" i="3"/>
  <c r="C394" i="3"/>
  <c r="D394" i="3"/>
  <c r="E394" i="3"/>
  <c r="B395" i="3"/>
  <c r="C395" i="3"/>
  <c r="D395" i="3"/>
  <c r="E395" i="3"/>
  <c r="B396" i="3"/>
  <c r="C396" i="3"/>
  <c r="D396" i="3"/>
  <c r="E396" i="3"/>
  <c r="B397" i="3"/>
  <c r="C397" i="3"/>
  <c r="D397" i="3"/>
  <c r="E397" i="3"/>
  <c r="B398" i="3"/>
  <c r="C398" i="3"/>
  <c r="D398" i="3"/>
  <c r="E398" i="3"/>
  <c r="B399" i="3"/>
  <c r="C399" i="3"/>
  <c r="D399" i="3"/>
  <c r="E399" i="3"/>
  <c r="B400" i="3"/>
  <c r="C400" i="3"/>
  <c r="D400" i="3"/>
  <c r="E400" i="3"/>
  <c r="B401" i="3"/>
  <c r="C401" i="3"/>
  <c r="D401" i="3"/>
  <c r="E401" i="3"/>
  <c r="B402" i="3"/>
  <c r="C402" i="3"/>
  <c r="D402" i="3"/>
  <c r="E402" i="3"/>
  <c r="B403" i="3"/>
  <c r="C403" i="3"/>
  <c r="D403" i="3"/>
  <c r="E403" i="3"/>
  <c r="B404" i="3"/>
  <c r="C404" i="3"/>
  <c r="D404" i="3"/>
  <c r="E404" i="3"/>
  <c r="B405" i="3"/>
  <c r="C405" i="3"/>
  <c r="D405" i="3"/>
  <c r="E405" i="3"/>
  <c r="B406" i="3"/>
  <c r="C406" i="3"/>
  <c r="D406" i="3"/>
  <c r="E406" i="3"/>
  <c r="B407" i="3"/>
  <c r="C407" i="3"/>
  <c r="D407" i="3"/>
  <c r="E407" i="3"/>
  <c r="B408" i="3"/>
  <c r="C408" i="3"/>
  <c r="D408" i="3"/>
  <c r="E408" i="3"/>
  <c r="B409" i="3"/>
  <c r="C409" i="3"/>
  <c r="D409" i="3"/>
  <c r="E409" i="3"/>
  <c r="B410" i="3"/>
  <c r="C410" i="3"/>
  <c r="D410" i="3"/>
  <c r="E410" i="3"/>
  <c r="B411" i="3"/>
  <c r="C411" i="3"/>
  <c r="D411" i="3"/>
  <c r="E411" i="3"/>
  <c r="B412" i="3"/>
  <c r="C412" i="3"/>
  <c r="D412" i="3"/>
  <c r="E412" i="3"/>
  <c r="B413" i="3"/>
  <c r="C413" i="3"/>
  <c r="D413" i="3"/>
  <c r="E413" i="3"/>
  <c r="B414" i="3"/>
  <c r="C414" i="3"/>
  <c r="D414" i="3"/>
  <c r="E414" i="3"/>
  <c r="B415" i="3"/>
  <c r="C415" i="3"/>
  <c r="D415" i="3"/>
  <c r="E415" i="3"/>
  <c r="B416" i="3"/>
  <c r="C416" i="3"/>
  <c r="D416" i="3"/>
  <c r="E416" i="3"/>
  <c r="B417" i="3"/>
  <c r="C417" i="3"/>
  <c r="D417" i="3"/>
  <c r="E417" i="3"/>
  <c r="B418" i="3"/>
  <c r="C418" i="3"/>
  <c r="D418" i="3"/>
  <c r="E418" i="3"/>
  <c r="B419" i="3"/>
  <c r="C419" i="3"/>
  <c r="D419" i="3"/>
  <c r="E419" i="3"/>
  <c r="B420" i="3"/>
  <c r="C420" i="3"/>
  <c r="D420" i="3"/>
  <c r="E420" i="3"/>
  <c r="B421" i="3"/>
  <c r="C421" i="3"/>
  <c r="D421" i="3"/>
  <c r="E421" i="3"/>
  <c r="B422" i="3"/>
  <c r="C422" i="3"/>
  <c r="D422" i="3"/>
  <c r="E422" i="3"/>
  <c r="B423" i="3"/>
  <c r="C423" i="3"/>
  <c r="D423" i="3"/>
  <c r="E423" i="3"/>
  <c r="B424" i="3"/>
  <c r="C424" i="3"/>
  <c r="D424" i="3"/>
  <c r="E424" i="3"/>
  <c r="B425" i="3"/>
  <c r="C425" i="3"/>
  <c r="D425" i="3"/>
  <c r="E425" i="3"/>
  <c r="B426" i="3"/>
  <c r="C426" i="3"/>
  <c r="D426" i="3"/>
  <c r="E426" i="3"/>
  <c r="B427" i="3"/>
  <c r="C427" i="3"/>
  <c r="D427" i="3"/>
  <c r="E427" i="3"/>
  <c r="B428" i="3"/>
  <c r="C428" i="3"/>
  <c r="D428" i="3"/>
  <c r="E428" i="3"/>
  <c r="B429" i="3"/>
  <c r="C429" i="3"/>
  <c r="D429" i="3"/>
  <c r="E429" i="3"/>
  <c r="B430" i="3"/>
  <c r="C430" i="3"/>
  <c r="D430" i="3"/>
  <c r="E430" i="3"/>
  <c r="B431" i="3"/>
  <c r="C431" i="3"/>
  <c r="D431" i="3"/>
  <c r="E431" i="3"/>
  <c r="B432" i="3"/>
  <c r="C432" i="3"/>
  <c r="D432" i="3"/>
  <c r="E432" i="3"/>
  <c r="B433" i="3"/>
  <c r="C433" i="3"/>
  <c r="D433" i="3"/>
  <c r="E433" i="3"/>
  <c r="B434" i="3"/>
  <c r="C434" i="3"/>
  <c r="D434" i="3"/>
  <c r="E434" i="3"/>
  <c r="B435" i="3"/>
  <c r="C435" i="3"/>
  <c r="D435" i="3"/>
  <c r="E435" i="3"/>
  <c r="B436" i="3"/>
  <c r="C436" i="3"/>
  <c r="D436" i="3"/>
  <c r="E436" i="3"/>
  <c r="B437" i="3"/>
  <c r="C437" i="3"/>
  <c r="D437" i="3"/>
  <c r="E437" i="3"/>
  <c r="B438" i="3"/>
  <c r="C438" i="3"/>
  <c r="D438" i="3"/>
  <c r="E438" i="3"/>
  <c r="B439" i="3"/>
  <c r="C439" i="3"/>
  <c r="D439" i="3"/>
  <c r="E439" i="3"/>
  <c r="B440" i="3"/>
  <c r="C440" i="3"/>
  <c r="D440" i="3"/>
  <c r="E440" i="3"/>
  <c r="B441" i="3"/>
  <c r="C441" i="3"/>
  <c r="D441" i="3"/>
  <c r="E441" i="3"/>
  <c r="B442" i="3"/>
  <c r="C442" i="3"/>
  <c r="D442" i="3"/>
  <c r="E442" i="3"/>
  <c r="B443" i="3"/>
  <c r="C443" i="3"/>
  <c r="D443" i="3"/>
  <c r="E443" i="3"/>
  <c r="B444" i="3"/>
  <c r="C444" i="3"/>
  <c r="D444" i="3"/>
  <c r="E444" i="3"/>
  <c r="B445" i="3"/>
  <c r="C445" i="3"/>
  <c r="D445" i="3"/>
  <c r="E445" i="3"/>
  <c r="B446" i="3"/>
  <c r="C446" i="3"/>
  <c r="D446" i="3"/>
  <c r="E446" i="3"/>
  <c r="B447" i="3"/>
  <c r="C447" i="3"/>
  <c r="D447" i="3"/>
  <c r="E447" i="3"/>
  <c r="B448" i="3"/>
  <c r="C448" i="3"/>
  <c r="D448" i="3"/>
  <c r="E448" i="3"/>
  <c r="B449" i="3"/>
  <c r="C449" i="3"/>
  <c r="D449" i="3"/>
  <c r="E449" i="3"/>
  <c r="B450" i="3"/>
  <c r="C450" i="3"/>
  <c r="D450" i="3"/>
  <c r="E450" i="3"/>
  <c r="B451" i="3"/>
  <c r="C451" i="3"/>
  <c r="D451" i="3"/>
  <c r="E451" i="3"/>
  <c r="B452" i="3"/>
  <c r="C452" i="3"/>
  <c r="D452" i="3"/>
  <c r="E452" i="3"/>
  <c r="B453" i="3"/>
  <c r="C453" i="3"/>
  <c r="D453" i="3"/>
  <c r="E453" i="3"/>
  <c r="B454" i="3"/>
  <c r="C454" i="3"/>
  <c r="D454" i="3"/>
  <c r="E454" i="3"/>
  <c r="B455" i="3"/>
  <c r="C455" i="3"/>
  <c r="D455" i="3"/>
  <c r="E455" i="3"/>
  <c r="B456" i="3"/>
  <c r="C456" i="3"/>
  <c r="D456" i="3"/>
  <c r="E456" i="3"/>
  <c r="B457" i="3"/>
  <c r="C457" i="3"/>
  <c r="D457" i="3"/>
  <c r="E457" i="3"/>
  <c r="B458" i="3"/>
  <c r="C458" i="3"/>
  <c r="D458" i="3"/>
  <c r="E458" i="3"/>
  <c r="B459" i="3"/>
  <c r="C459" i="3"/>
  <c r="D459" i="3"/>
  <c r="E459" i="3"/>
  <c r="B460" i="3"/>
  <c r="C460" i="3"/>
  <c r="D460" i="3"/>
  <c r="E460" i="3"/>
  <c r="B461" i="3"/>
  <c r="C461" i="3"/>
  <c r="D461" i="3"/>
  <c r="E461" i="3"/>
  <c r="B462" i="3"/>
  <c r="C462" i="3"/>
  <c r="D462" i="3"/>
  <c r="E462" i="3"/>
  <c r="B463" i="3"/>
  <c r="C463" i="3"/>
  <c r="D463" i="3"/>
  <c r="E463" i="3"/>
  <c r="B464" i="3"/>
  <c r="C464" i="3"/>
  <c r="D464" i="3"/>
  <c r="E464" i="3"/>
  <c r="B465" i="3"/>
  <c r="C465" i="3"/>
  <c r="D465" i="3"/>
  <c r="E465" i="3"/>
  <c r="B466" i="3"/>
  <c r="C466" i="3"/>
  <c r="D466" i="3"/>
  <c r="E466" i="3"/>
  <c r="B467" i="3"/>
  <c r="C467" i="3"/>
  <c r="D467" i="3"/>
  <c r="E467" i="3"/>
  <c r="B468" i="3"/>
  <c r="C468" i="3"/>
  <c r="D468" i="3"/>
  <c r="E468" i="3"/>
  <c r="B469" i="3"/>
  <c r="C469" i="3"/>
  <c r="D469" i="3"/>
  <c r="E469" i="3"/>
  <c r="B470" i="3"/>
  <c r="C470" i="3"/>
  <c r="D470" i="3"/>
  <c r="E470" i="3"/>
  <c r="B471" i="3"/>
  <c r="C471" i="3"/>
  <c r="D471" i="3"/>
  <c r="E471" i="3"/>
  <c r="B472" i="3"/>
  <c r="C472" i="3"/>
  <c r="D472" i="3"/>
  <c r="E472" i="3"/>
  <c r="B473" i="3"/>
  <c r="C473" i="3"/>
  <c r="D473" i="3"/>
  <c r="E473" i="3"/>
  <c r="B474" i="3"/>
  <c r="C474" i="3"/>
  <c r="D474" i="3"/>
  <c r="E474" i="3"/>
  <c r="B475" i="3"/>
  <c r="C475" i="3"/>
  <c r="D475" i="3"/>
  <c r="E475" i="3"/>
  <c r="B476" i="3"/>
  <c r="C476" i="3"/>
  <c r="D476" i="3"/>
  <c r="E476" i="3"/>
  <c r="B477" i="3"/>
  <c r="C477" i="3"/>
  <c r="D477" i="3"/>
  <c r="E477" i="3"/>
  <c r="B478" i="3"/>
  <c r="C478" i="3"/>
  <c r="D478" i="3"/>
  <c r="E478" i="3"/>
  <c r="B479" i="3"/>
  <c r="C479" i="3"/>
  <c r="D479" i="3"/>
  <c r="E479" i="3"/>
  <c r="B480" i="3"/>
  <c r="C480" i="3"/>
  <c r="D480" i="3"/>
  <c r="E480" i="3"/>
  <c r="B481" i="3"/>
  <c r="C481" i="3"/>
  <c r="D481" i="3"/>
  <c r="E481" i="3"/>
  <c r="B482" i="3"/>
  <c r="C482" i="3"/>
  <c r="D482" i="3"/>
  <c r="E482" i="3"/>
  <c r="B483" i="3"/>
  <c r="C483" i="3"/>
  <c r="D483" i="3"/>
  <c r="E483" i="3"/>
  <c r="B484" i="3"/>
  <c r="C484" i="3"/>
  <c r="D484" i="3"/>
  <c r="E484" i="3"/>
  <c r="B485" i="3"/>
  <c r="C485" i="3"/>
  <c r="D485" i="3"/>
  <c r="E485" i="3"/>
  <c r="B486" i="3"/>
  <c r="C486" i="3"/>
  <c r="D486" i="3"/>
  <c r="E486" i="3"/>
  <c r="B487" i="3"/>
  <c r="C487" i="3"/>
  <c r="D487" i="3"/>
  <c r="E487" i="3"/>
  <c r="B488" i="3"/>
  <c r="C488" i="3"/>
  <c r="D488" i="3"/>
  <c r="E488" i="3"/>
  <c r="B489" i="3"/>
  <c r="C489" i="3"/>
  <c r="D489" i="3"/>
  <c r="E489" i="3"/>
  <c r="B490" i="3"/>
  <c r="C490" i="3"/>
  <c r="D490" i="3"/>
  <c r="E490" i="3"/>
  <c r="B491" i="3"/>
  <c r="C491" i="3"/>
  <c r="D491" i="3"/>
  <c r="E491" i="3"/>
  <c r="B492" i="3"/>
  <c r="C492" i="3"/>
  <c r="D492" i="3"/>
  <c r="E492" i="3"/>
  <c r="B493" i="3"/>
  <c r="C493" i="3"/>
  <c r="D493" i="3"/>
  <c r="E493" i="3"/>
  <c r="B494" i="3"/>
  <c r="C494" i="3"/>
  <c r="D494" i="3"/>
  <c r="E494" i="3"/>
  <c r="B495" i="3"/>
  <c r="C495" i="3"/>
  <c r="D495" i="3"/>
  <c r="E495" i="3"/>
  <c r="B496" i="3"/>
  <c r="C496" i="3"/>
  <c r="D496" i="3"/>
  <c r="E496" i="3"/>
  <c r="B497" i="3"/>
  <c r="C497" i="3"/>
  <c r="D497" i="3"/>
  <c r="E497" i="3"/>
  <c r="B498" i="3"/>
  <c r="C498" i="3"/>
  <c r="D498" i="3"/>
  <c r="E498" i="3"/>
  <c r="B499" i="3"/>
  <c r="C499" i="3"/>
  <c r="D499" i="3"/>
  <c r="E499" i="3"/>
  <c r="B500" i="3"/>
  <c r="C500" i="3"/>
  <c r="D500" i="3"/>
  <c r="E500" i="3"/>
  <c r="B501" i="3"/>
  <c r="C501" i="3"/>
  <c r="D501" i="3"/>
  <c r="E501" i="3"/>
  <c r="B502" i="3"/>
  <c r="C502" i="3"/>
  <c r="D502" i="3"/>
  <c r="E502" i="3"/>
  <c r="B503" i="3"/>
  <c r="C503" i="3"/>
  <c r="D503" i="3"/>
  <c r="E503" i="3"/>
  <c r="B504" i="3"/>
  <c r="C504" i="3"/>
  <c r="D504" i="3"/>
  <c r="E504" i="3"/>
  <c r="B505" i="3"/>
  <c r="C505" i="3"/>
  <c r="D505" i="3"/>
  <c r="E505" i="3"/>
  <c r="B506" i="3"/>
  <c r="C506" i="3"/>
  <c r="D506" i="3"/>
  <c r="E506" i="3"/>
  <c r="B507" i="3"/>
  <c r="C507" i="3"/>
  <c r="D507" i="3"/>
  <c r="E507" i="3"/>
  <c r="B508" i="3"/>
  <c r="C508" i="3"/>
  <c r="D508" i="3"/>
  <c r="E508" i="3"/>
  <c r="B509" i="3"/>
  <c r="C509" i="3"/>
  <c r="D509" i="3"/>
  <c r="E509" i="3"/>
  <c r="B510" i="3"/>
  <c r="C510" i="3"/>
  <c r="D510" i="3"/>
  <c r="E510" i="3"/>
  <c r="B511" i="3"/>
  <c r="C511" i="3"/>
  <c r="D511" i="3"/>
  <c r="E511" i="3"/>
  <c r="B512" i="3"/>
  <c r="C512" i="3"/>
  <c r="D512" i="3"/>
  <c r="E512" i="3"/>
  <c r="B513" i="3"/>
  <c r="C513" i="3"/>
  <c r="D513" i="3"/>
  <c r="E513" i="3"/>
  <c r="B514" i="3"/>
  <c r="C514" i="3"/>
  <c r="D514" i="3"/>
  <c r="E514" i="3"/>
  <c r="B515" i="3"/>
  <c r="C515" i="3"/>
  <c r="D515" i="3"/>
  <c r="E515" i="3"/>
  <c r="B516" i="3"/>
  <c r="C516" i="3"/>
  <c r="D516" i="3"/>
  <c r="E516" i="3"/>
  <c r="B517" i="3"/>
  <c r="C517" i="3"/>
  <c r="D517" i="3"/>
  <c r="E517" i="3"/>
  <c r="B518" i="3"/>
  <c r="C518" i="3"/>
  <c r="D518" i="3"/>
  <c r="E518" i="3"/>
  <c r="B519" i="3"/>
  <c r="C519" i="3"/>
  <c r="D519" i="3"/>
  <c r="E519" i="3"/>
  <c r="B520" i="3"/>
  <c r="C520" i="3"/>
  <c r="D520" i="3"/>
  <c r="E520" i="3"/>
  <c r="B521" i="3"/>
  <c r="C521" i="3"/>
  <c r="D521" i="3"/>
  <c r="E521" i="3"/>
  <c r="B522" i="3"/>
  <c r="C522" i="3"/>
  <c r="D522" i="3"/>
  <c r="E522" i="3"/>
  <c r="B523" i="3"/>
  <c r="C523" i="3"/>
  <c r="D523" i="3"/>
  <c r="E523" i="3"/>
  <c r="B524" i="3"/>
  <c r="C524" i="3"/>
  <c r="D524" i="3"/>
  <c r="E524" i="3"/>
  <c r="B525" i="3"/>
  <c r="C525" i="3"/>
  <c r="D525" i="3"/>
  <c r="E525" i="3"/>
  <c r="B526" i="3"/>
  <c r="C526" i="3"/>
  <c r="D526" i="3"/>
  <c r="E526" i="3"/>
  <c r="B527" i="3"/>
  <c r="C527" i="3"/>
  <c r="D527" i="3"/>
  <c r="E527" i="3"/>
  <c r="B528" i="3"/>
  <c r="C528" i="3"/>
  <c r="D528" i="3"/>
  <c r="E528" i="3"/>
  <c r="B529" i="3"/>
  <c r="C529" i="3"/>
  <c r="D529" i="3"/>
  <c r="E529" i="3"/>
  <c r="B530" i="3"/>
  <c r="C530" i="3"/>
  <c r="D530" i="3"/>
  <c r="E530" i="3"/>
  <c r="B531" i="3"/>
  <c r="C531" i="3"/>
  <c r="D531" i="3"/>
  <c r="E531" i="3"/>
  <c r="B532" i="3"/>
  <c r="C532" i="3"/>
  <c r="D532" i="3"/>
  <c r="E532" i="3"/>
  <c r="B533" i="3"/>
  <c r="C533" i="3"/>
  <c r="D533" i="3"/>
  <c r="E533" i="3"/>
  <c r="B534" i="3"/>
  <c r="C534" i="3"/>
  <c r="D534" i="3"/>
  <c r="E534" i="3"/>
  <c r="B535" i="3"/>
  <c r="C535" i="3"/>
  <c r="D535" i="3"/>
  <c r="E535" i="3"/>
  <c r="B536" i="3"/>
  <c r="C536" i="3"/>
  <c r="D536" i="3"/>
  <c r="E536" i="3"/>
  <c r="B537" i="3"/>
  <c r="C537" i="3"/>
  <c r="D537" i="3"/>
  <c r="E537" i="3"/>
  <c r="B538" i="3"/>
  <c r="C538" i="3"/>
  <c r="D538" i="3"/>
  <c r="E538" i="3"/>
  <c r="B539" i="3"/>
  <c r="C539" i="3"/>
  <c r="D539" i="3"/>
  <c r="E539" i="3"/>
  <c r="B540" i="3"/>
  <c r="C540" i="3"/>
  <c r="D540" i="3"/>
  <c r="E540" i="3"/>
  <c r="B541" i="3"/>
  <c r="C541" i="3"/>
  <c r="D541" i="3"/>
  <c r="E541" i="3"/>
  <c r="B542" i="3"/>
  <c r="C542" i="3"/>
  <c r="D542" i="3"/>
  <c r="E542" i="3"/>
  <c r="B543" i="3"/>
  <c r="C543" i="3"/>
  <c r="D543" i="3"/>
  <c r="E543" i="3"/>
  <c r="B544" i="3"/>
  <c r="C544" i="3"/>
  <c r="D544" i="3"/>
  <c r="E544" i="3"/>
  <c r="B545" i="3"/>
  <c r="C545" i="3"/>
  <c r="D545" i="3"/>
  <c r="E545" i="3"/>
  <c r="B546" i="3"/>
  <c r="C546" i="3"/>
  <c r="D546" i="3"/>
  <c r="E546" i="3"/>
  <c r="B547" i="3"/>
  <c r="C547" i="3"/>
  <c r="D547" i="3"/>
  <c r="E547" i="3"/>
  <c r="B548" i="3"/>
  <c r="C548" i="3"/>
  <c r="D548" i="3"/>
  <c r="E548" i="3"/>
  <c r="B549" i="3"/>
  <c r="C549" i="3"/>
  <c r="D549" i="3"/>
  <c r="E549" i="3"/>
  <c r="B550" i="3"/>
  <c r="C550" i="3"/>
  <c r="D550" i="3"/>
  <c r="E550" i="3"/>
  <c r="B551" i="3"/>
  <c r="C551" i="3"/>
  <c r="D551" i="3"/>
  <c r="E551" i="3"/>
  <c r="B552" i="3"/>
  <c r="C552" i="3"/>
  <c r="D552" i="3"/>
  <c r="E552" i="3"/>
  <c r="B553" i="3"/>
  <c r="C553" i="3"/>
  <c r="D553" i="3"/>
  <c r="E553" i="3"/>
  <c r="B554" i="3"/>
  <c r="C554" i="3"/>
  <c r="D554" i="3"/>
  <c r="E554" i="3"/>
  <c r="B555" i="3"/>
  <c r="C555" i="3"/>
  <c r="D555" i="3"/>
  <c r="E555" i="3"/>
  <c r="B556" i="3"/>
  <c r="C556" i="3"/>
  <c r="D556" i="3"/>
  <c r="E556" i="3"/>
  <c r="B557" i="3"/>
  <c r="C557" i="3"/>
  <c r="D557" i="3"/>
  <c r="E557" i="3"/>
  <c r="B558" i="3"/>
  <c r="C558" i="3"/>
  <c r="D558" i="3"/>
  <c r="E558" i="3"/>
  <c r="B559" i="3"/>
  <c r="C559" i="3"/>
  <c r="D559" i="3"/>
  <c r="E559" i="3"/>
  <c r="B560" i="3"/>
  <c r="C560" i="3"/>
  <c r="D560" i="3"/>
  <c r="E560" i="3"/>
  <c r="B561" i="3"/>
  <c r="C561" i="3"/>
  <c r="D561" i="3"/>
  <c r="E561" i="3"/>
  <c r="B562" i="3"/>
  <c r="C562" i="3"/>
  <c r="D562" i="3"/>
  <c r="E562" i="3"/>
  <c r="B563" i="3"/>
  <c r="C563" i="3"/>
  <c r="D563" i="3"/>
  <c r="E563" i="3"/>
  <c r="B564" i="3"/>
  <c r="C564" i="3"/>
  <c r="D564" i="3"/>
  <c r="E564" i="3"/>
  <c r="B565" i="3"/>
  <c r="C565" i="3"/>
  <c r="D565" i="3"/>
  <c r="E565" i="3"/>
  <c r="B566" i="3"/>
  <c r="C566" i="3"/>
  <c r="D566" i="3"/>
  <c r="E566" i="3"/>
  <c r="B567" i="3"/>
  <c r="C567" i="3"/>
  <c r="D567" i="3"/>
  <c r="E567" i="3"/>
  <c r="B568" i="3"/>
  <c r="C568" i="3"/>
  <c r="D568" i="3"/>
  <c r="E568" i="3"/>
  <c r="B569" i="3"/>
  <c r="C569" i="3"/>
  <c r="D569" i="3"/>
  <c r="E569" i="3"/>
  <c r="B570" i="3"/>
  <c r="C570" i="3"/>
  <c r="D570" i="3"/>
  <c r="E570" i="3"/>
  <c r="B571" i="3"/>
  <c r="C571" i="3"/>
  <c r="D571" i="3"/>
  <c r="E571" i="3"/>
  <c r="B572" i="3"/>
  <c r="C572" i="3"/>
  <c r="D572" i="3"/>
  <c r="E572" i="3"/>
  <c r="B573" i="3"/>
  <c r="C573" i="3"/>
  <c r="D573" i="3"/>
  <c r="E573" i="3"/>
  <c r="B574" i="3"/>
  <c r="C574" i="3"/>
  <c r="D574" i="3"/>
  <c r="E574" i="3"/>
  <c r="B575" i="3"/>
  <c r="C575" i="3"/>
  <c r="D575" i="3"/>
  <c r="E575" i="3"/>
  <c r="B576" i="3"/>
  <c r="C576" i="3"/>
  <c r="D576" i="3"/>
  <c r="E576" i="3"/>
  <c r="B577" i="3"/>
  <c r="C577" i="3"/>
  <c r="D577" i="3"/>
  <c r="E577" i="3"/>
  <c r="B578" i="3"/>
  <c r="C578" i="3"/>
  <c r="D578" i="3"/>
  <c r="E578" i="3"/>
  <c r="B579" i="3"/>
  <c r="C579" i="3"/>
  <c r="D579" i="3"/>
  <c r="E579" i="3"/>
  <c r="B580" i="3"/>
  <c r="C580" i="3"/>
  <c r="D580" i="3"/>
  <c r="E580" i="3"/>
  <c r="B581" i="3"/>
  <c r="C581" i="3"/>
  <c r="D581" i="3"/>
  <c r="E581" i="3"/>
  <c r="B582" i="3"/>
  <c r="C582" i="3"/>
  <c r="D582" i="3"/>
  <c r="E582" i="3"/>
  <c r="B583" i="3"/>
  <c r="C583" i="3"/>
  <c r="D583" i="3"/>
  <c r="E583" i="3"/>
  <c r="B584" i="3"/>
  <c r="C584" i="3"/>
  <c r="D584" i="3"/>
  <c r="E584" i="3"/>
  <c r="B585" i="3"/>
  <c r="C585" i="3"/>
  <c r="D585" i="3"/>
  <c r="E585" i="3"/>
  <c r="B586" i="3"/>
  <c r="C586" i="3"/>
  <c r="D586" i="3"/>
  <c r="E586" i="3"/>
  <c r="B587" i="3"/>
  <c r="C587" i="3"/>
  <c r="D587" i="3"/>
  <c r="E587" i="3"/>
  <c r="B588" i="3"/>
  <c r="C588" i="3"/>
  <c r="D588" i="3"/>
  <c r="E588" i="3"/>
  <c r="B589" i="3"/>
  <c r="C589" i="3"/>
  <c r="D589" i="3"/>
  <c r="E589" i="3"/>
  <c r="B590" i="3"/>
  <c r="C590" i="3"/>
  <c r="D590" i="3"/>
  <c r="E590" i="3"/>
  <c r="B591" i="3"/>
  <c r="C591" i="3"/>
  <c r="D591" i="3"/>
  <c r="E591" i="3"/>
  <c r="B592" i="3"/>
  <c r="C592" i="3"/>
  <c r="D592" i="3"/>
  <c r="E592" i="3"/>
  <c r="B593" i="3"/>
  <c r="C593" i="3"/>
  <c r="D593" i="3"/>
  <c r="E593" i="3"/>
  <c r="B594" i="3"/>
  <c r="C594" i="3"/>
  <c r="D594" i="3"/>
  <c r="E594" i="3"/>
  <c r="B595" i="3"/>
  <c r="C595" i="3"/>
  <c r="D595" i="3"/>
  <c r="E595" i="3"/>
  <c r="B596" i="3"/>
  <c r="C596" i="3"/>
  <c r="D596" i="3"/>
  <c r="E596" i="3"/>
  <c r="B597" i="3"/>
  <c r="C597" i="3"/>
  <c r="D597" i="3"/>
  <c r="E597" i="3"/>
  <c r="B598" i="3"/>
  <c r="C598" i="3"/>
  <c r="D598" i="3"/>
  <c r="E598" i="3"/>
  <c r="B599" i="3"/>
  <c r="C599" i="3"/>
  <c r="D599" i="3"/>
  <c r="E599" i="3"/>
  <c r="B600" i="3"/>
  <c r="C600" i="3"/>
  <c r="D600" i="3"/>
  <c r="E600" i="3"/>
  <c r="B601" i="3"/>
  <c r="C601" i="3"/>
  <c r="D601" i="3"/>
  <c r="E601" i="3"/>
  <c r="B602" i="3"/>
  <c r="C602" i="3"/>
  <c r="D602" i="3"/>
  <c r="E602" i="3"/>
  <c r="B603" i="3"/>
  <c r="C603" i="3"/>
  <c r="D603" i="3"/>
  <c r="E603" i="3"/>
  <c r="B604" i="3"/>
  <c r="C604" i="3"/>
  <c r="D604" i="3"/>
  <c r="E604" i="3"/>
  <c r="B605" i="3"/>
  <c r="C605" i="3"/>
  <c r="D605" i="3"/>
  <c r="E605" i="3"/>
  <c r="B606" i="3"/>
  <c r="C606" i="3"/>
  <c r="D606" i="3"/>
  <c r="E606" i="3"/>
  <c r="B607" i="3"/>
  <c r="C607" i="3"/>
  <c r="D607" i="3"/>
  <c r="E607" i="3"/>
  <c r="B608" i="3"/>
  <c r="C608" i="3"/>
  <c r="D608" i="3"/>
  <c r="E608" i="3"/>
  <c r="B609" i="3"/>
  <c r="C609" i="3"/>
  <c r="D609" i="3"/>
  <c r="E609" i="3"/>
  <c r="B610" i="3"/>
  <c r="C610" i="3"/>
  <c r="D610" i="3"/>
  <c r="E610" i="3"/>
  <c r="B611" i="3"/>
  <c r="C611" i="3"/>
  <c r="D611" i="3"/>
  <c r="E611" i="3"/>
  <c r="B612" i="3"/>
  <c r="C612" i="3"/>
  <c r="D612" i="3"/>
  <c r="E612" i="3"/>
  <c r="B613" i="3"/>
  <c r="C613" i="3"/>
  <c r="D613" i="3"/>
  <c r="E613" i="3"/>
  <c r="B614" i="3"/>
  <c r="C614" i="3"/>
  <c r="D614" i="3"/>
  <c r="E614" i="3"/>
  <c r="B615" i="3"/>
  <c r="C615" i="3"/>
  <c r="D615" i="3"/>
  <c r="E615" i="3"/>
  <c r="B616" i="3"/>
  <c r="C616" i="3"/>
  <c r="D616" i="3"/>
  <c r="E616" i="3"/>
  <c r="B617" i="3"/>
  <c r="C617" i="3"/>
  <c r="D617" i="3"/>
  <c r="E617" i="3"/>
  <c r="B618" i="3"/>
  <c r="C618" i="3"/>
  <c r="D618" i="3"/>
  <c r="E618" i="3"/>
  <c r="B619" i="3"/>
  <c r="C619" i="3"/>
  <c r="D619" i="3"/>
  <c r="E619" i="3"/>
  <c r="B620" i="3"/>
  <c r="C620" i="3"/>
  <c r="D620" i="3"/>
  <c r="E620" i="3"/>
  <c r="B621" i="3"/>
  <c r="C621" i="3"/>
  <c r="D621" i="3"/>
  <c r="E621" i="3"/>
  <c r="B622" i="3"/>
  <c r="C622" i="3"/>
  <c r="D622" i="3"/>
  <c r="E622" i="3"/>
  <c r="B623" i="3"/>
  <c r="C623" i="3"/>
  <c r="D623" i="3"/>
  <c r="E623" i="3"/>
  <c r="B624" i="3"/>
  <c r="C624" i="3"/>
  <c r="D624" i="3"/>
  <c r="E624" i="3"/>
  <c r="B625" i="3"/>
  <c r="C625" i="3"/>
  <c r="D625" i="3"/>
  <c r="E625" i="3"/>
  <c r="B626" i="3"/>
  <c r="C626" i="3"/>
  <c r="D626" i="3"/>
  <c r="E626" i="3"/>
  <c r="B627" i="3"/>
  <c r="C627" i="3"/>
  <c r="D627" i="3"/>
  <c r="E627" i="3"/>
  <c r="B628" i="3"/>
  <c r="C628" i="3"/>
  <c r="D628" i="3"/>
  <c r="E628" i="3"/>
  <c r="B629" i="3"/>
  <c r="C629" i="3"/>
  <c r="D629" i="3"/>
  <c r="E629" i="3"/>
  <c r="B630" i="3"/>
  <c r="C630" i="3"/>
  <c r="D630" i="3"/>
  <c r="E630" i="3"/>
  <c r="B631" i="3"/>
  <c r="C631" i="3"/>
  <c r="D631" i="3"/>
  <c r="E631" i="3"/>
  <c r="B632" i="3"/>
  <c r="C632" i="3"/>
  <c r="D632" i="3"/>
  <c r="E632" i="3"/>
  <c r="B633" i="3"/>
  <c r="C633" i="3"/>
  <c r="D633" i="3"/>
  <c r="E633" i="3"/>
  <c r="B634" i="3"/>
  <c r="C634" i="3"/>
  <c r="D634" i="3"/>
  <c r="E634" i="3"/>
  <c r="B635" i="3"/>
  <c r="C635" i="3"/>
  <c r="D635" i="3"/>
  <c r="E635" i="3"/>
  <c r="B636" i="3"/>
  <c r="C636" i="3"/>
  <c r="D636" i="3"/>
  <c r="E636" i="3"/>
  <c r="B637" i="3"/>
  <c r="C637" i="3"/>
  <c r="D637" i="3"/>
  <c r="E637" i="3"/>
  <c r="B638" i="3"/>
  <c r="C638" i="3"/>
  <c r="D638" i="3"/>
  <c r="E638" i="3"/>
  <c r="B639" i="3"/>
  <c r="C639" i="3"/>
  <c r="D639" i="3"/>
  <c r="E639" i="3"/>
  <c r="B640" i="3"/>
  <c r="C640" i="3"/>
  <c r="D640" i="3"/>
  <c r="E640" i="3"/>
  <c r="B641" i="3"/>
  <c r="C641" i="3"/>
  <c r="D641" i="3"/>
  <c r="E641" i="3"/>
  <c r="B642" i="3"/>
  <c r="C642" i="3"/>
  <c r="D642" i="3"/>
  <c r="E642" i="3"/>
  <c r="B643" i="3"/>
  <c r="C643" i="3"/>
  <c r="D643" i="3"/>
  <c r="E643" i="3"/>
  <c r="B644" i="3"/>
  <c r="C644" i="3"/>
  <c r="D644" i="3"/>
  <c r="E644" i="3"/>
  <c r="B645" i="3"/>
  <c r="C645" i="3"/>
  <c r="D645" i="3"/>
  <c r="E645" i="3"/>
  <c r="B646" i="3"/>
  <c r="C646" i="3"/>
  <c r="D646" i="3"/>
  <c r="E646" i="3"/>
  <c r="B647" i="3"/>
  <c r="C647" i="3"/>
  <c r="D647" i="3"/>
  <c r="E647" i="3"/>
  <c r="B648" i="3"/>
  <c r="C648" i="3"/>
  <c r="D648" i="3"/>
  <c r="E648" i="3"/>
  <c r="B649" i="3"/>
  <c r="C649" i="3"/>
  <c r="D649" i="3"/>
  <c r="E649" i="3"/>
  <c r="B650" i="3"/>
  <c r="C650" i="3"/>
  <c r="D650" i="3"/>
  <c r="E650" i="3"/>
  <c r="B651" i="3"/>
  <c r="C651" i="3"/>
  <c r="D651" i="3"/>
  <c r="E651" i="3"/>
  <c r="B652" i="3"/>
  <c r="C652" i="3"/>
  <c r="D652" i="3"/>
  <c r="E652" i="3"/>
  <c r="B653" i="3"/>
  <c r="C653" i="3"/>
  <c r="D653" i="3"/>
  <c r="E653" i="3"/>
  <c r="B654" i="3"/>
  <c r="C654" i="3"/>
  <c r="D654" i="3"/>
  <c r="E654" i="3"/>
  <c r="B655" i="3"/>
  <c r="C655" i="3"/>
  <c r="D655" i="3"/>
  <c r="E655" i="3"/>
  <c r="B656" i="3"/>
  <c r="C656" i="3"/>
  <c r="D656" i="3"/>
  <c r="E656" i="3"/>
  <c r="B657" i="3"/>
  <c r="C657" i="3"/>
  <c r="D657" i="3"/>
  <c r="E657" i="3"/>
  <c r="B658" i="3"/>
  <c r="C658" i="3"/>
  <c r="D658" i="3"/>
  <c r="E658" i="3"/>
  <c r="B659" i="3"/>
  <c r="C659" i="3"/>
  <c r="D659" i="3"/>
  <c r="E659" i="3"/>
  <c r="B660" i="3"/>
  <c r="C660" i="3"/>
  <c r="D660" i="3"/>
  <c r="E660" i="3"/>
  <c r="B661" i="3"/>
  <c r="C661" i="3"/>
  <c r="D661" i="3"/>
  <c r="E661" i="3"/>
  <c r="B662" i="3"/>
  <c r="C662" i="3"/>
  <c r="D662" i="3"/>
  <c r="E662" i="3"/>
  <c r="B663" i="3"/>
  <c r="C663" i="3"/>
  <c r="D663" i="3"/>
  <c r="E663" i="3"/>
  <c r="B664" i="3"/>
  <c r="C664" i="3"/>
  <c r="D664" i="3"/>
  <c r="E664" i="3"/>
  <c r="B665" i="3"/>
  <c r="C665" i="3"/>
  <c r="D665" i="3"/>
  <c r="E665" i="3"/>
  <c r="B666" i="3"/>
  <c r="C666" i="3"/>
  <c r="D666" i="3"/>
  <c r="E666" i="3"/>
  <c r="B667" i="3"/>
  <c r="C667" i="3"/>
  <c r="D667" i="3"/>
  <c r="E667" i="3"/>
  <c r="B668" i="3"/>
  <c r="C668" i="3"/>
  <c r="D668" i="3"/>
  <c r="E668" i="3"/>
  <c r="B669" i="3"/>
  <c r="C669" i="3"/>
  <c r="D669" i="3"/>
  <c r="E669" i="3"/>
  <c r="B670" i="3"/>
  <c r="C670" i="3"/>
  <c r="D670" i="3"/>
  <c r="E670" i="3"/>
  <c r="B671" i="3"/>
  <c r="C671" i="3"/>
  <c r="D671" i="3"/>
  <c r="E671" i="3"/>
  <c r="B672" i="3"/>
  <c r="C672" i="3"/>
  <c r="D672" i="3"/>
  <c r="E672" i="3"/>
  <c r="B673" i="3"/>
  <c r="C673" i="3"/>
  <c r="D673" i="3"/>
  <c r="E673" i="3"/>
  <c r="B674" i="3"/>
  <c r="C674" i="3"/>
  <c r="D674" i="3"/>
  <c r="E674" i="3"/>
  <c r="B675" i="3"/>
  <c r="C675" i="3"/>
  <c r="D675" i="3"/>
  <c r="E675" i="3"/>
  <c r="B676" i="3"/>
  <c r="C676" i="3"/>
  <c r="D676" i="3"/>
  <c r="E676" i="3"/>
  <c r="B677" i="3"/>
  <c r="C677" i="3"/>
  <c r="D677" i="3"/>
  <c r="E677" i="3"/>
  <c r="B678" i="3"/>
  <c r="C678" i="3"/>
  <c r="D678" i="3"/>
  <c r="E678" i="3"/>
  <c r="B679" i="3"/>
  <c r="C679" i="3"/>
  <c r="D679" i="3"/>
  <c r="E679" i="3"/>
  <c r="B680" i="3"/>
  <c r="C680" i="3"/>
  <c r="D680" i="3"/>
  <c r="E680" i="3"/>
  <c r="B681" i="3"/>
  <c r="C681" i="3"/>
  <c r="D681" i="3"/>
  <c r="E681" i="3"/>
  <c r="B682" i="3"/>
  <c r="C682" i="3"/>
  <c r="D682" i="3"/>
  <c r="E682" i="3"/>
  <c r="B683" i="3"/>
  <c r="C683" i="3"/>
  <c r="D683" i="3"/>
  <c r="E683" i="3"/>
  <c r="B684" i="3"/>
  <c r="C684" i="3"/>
  <c r="D684" i="3"/>
  <c r="E684" i="3"/>
  <c r="B685" i="3"/>
  <c r="C685" i="3"/>
  <c r="D685" i="3"/>
  <c r="E685" i="3"/>
  <c r="B686" i="3"/>
  <c r="C686" i="3"/>
  <c r="D686" i="3"/>
  <c r="E686" i="3"/>
  <c r="B687" i="3"/>
  <c r="C687" i="3"/>
  <c r="D687" i="3"/>
  <c r="E687" i="3"/>
  <c r="B688" i="3"/>
  <c r="C688" i="3"/>
  <c r="D688" i="3"/>
  <c r="E688" i="3"/>
  <c r="B689" i="3"/>
  <c r="C689" i="3"/>
  <c r="D689" i="3"/>
  <c r="E689" i="3"/>
  <c r="B690" i="3"/>
  <c r="C690" i="3"/>
  <c r="D690" i="3"/>
  <c r="E690" i="3"/>
  <c r="B691" i="3"/>
  <c r="C691" i="3"/>
  <c r="D691" i="3"/>
  <c r="E691" i="3"/>
  <c r="B692" i="3"/>
  <c r="C692" i="3"/>
  <c r="D692" i="3"/>
  <c r="E692" i="3"/>
  <c r="B693" i="3"/>
  <c r="C693" i="3"/>
  <c r="D693" i="3"/>
  <c r="E693" i="3"/>
  <c r="B694" i="3"/>
  <c r="C694" i="3"/>
  <c r="D694" i="3"/>
  <c r="E694" i="3"/>
  <c r="B695" i="3"/>
  <c r="C695" i="3"/>
  <c r="D695" i="3"/>
  <c r="E695" i="3"/>
  <c r="B696" i="3"/>
  <c r="C696" i="3"/>
  <c r="D696" i="3"/>
  <c r="E696" i="3"/>
  <c r="B697" i="3"/>
  <c r="C697" i="3"/>
  <c r="D697" i="3"/>
  <c r="E697" i="3"/>
  <c r="B698" i="3"/>
  <c r="C698" i="3"/>
  <c r="D698" i="3"/>
  <c r="E698" i="3"/>
  <c r="B699" i="3"/>
  <c r="C699" i="3"/>
  <c r="D699" i="3"/>
  <c r="E699" i="3"/>
  <c r="B700" i="3"/>
  <c r="C700" i="3"/>
  <c r="D700" i="3"/>
  <c r="E700" i="3"/>
  <c r="B701" i="3"/>
  <c r="C701" i="3"/>
  <c r="D701" i="3"/>
  <c r="E701" i="3"/>
  <c r="B702" i="3"/>
  <c r="C702" i="3"/>
  <c r="D702" i="3"/>
  <c r="E702" i="3"/>
  <c r="B703" i="3"/>
  <c r="C703" i="3"/>
  <c r="D703" i="3"/>
  <c r="E703" i="3"/>
  <c r="B704" i="3"/>
  <c r="C704" i="3"/>
  <c r="D704" i="3"/>
  <c r="E704" i="3"/>
  <c r="B705" i="3"/>
  <c r="C705" i="3"/>
  <c r="D705" i="3"/>
  <c r="E705" i="3"/>
  <c r="B706" i="3"/>
  <c r="C706" i="3"/>
  <c r="D706" i="3"/>
  <c r="E706" i="3"/>
  <c r="B707" i="3"/>
  <c r="C707" i="3"/>
  <c r="D707" i="3"/>
  <c r="E707" i="3"/>
  <c r="B708" i="3"/>
  <c r="C708" i="3"/>
  <c r="D708" i="3"/>
  <c r="E708" i="3"/>
  <c r="B709" i="3"/>
  <c r="C709" i="3"/>
  <c r="D709" i="3"/>
  <c r="E709" i="3"/>
  <c r="B710" i="3"/>
  <c r="C710" i="3"/>
  <c r="D710" i="3"/>
  <c r="E710" i="3"/>
  <c r="B711" i="3"/>
  <c r="C711" i="3"/>
  <c r="D711" i="3"/>
  <c r="E711" i="3"/>
  <c r="B712" i="3"/>
  <c r="C712" i="3"/>
  <c r="D712" i="3"/>
  <c r="E712" i="3"/>
  <c r="B713" i="3"/>
  <c r="C713" i="3"/>
  <c r="D713" i="3"/>
  <c r="E713" i="3"/>
  <c r="B714" i="3"/>
  <c r="C714" i="3"/>
  <c r="D714" i="3"/>
  <c r="E714" i="3"/>
  <c r="B715" i="3"/>
  <c r="C715" i="3"/>
  <c r="D715" i="3"/>
  <c r="E715" i="3"/>
  <c r="B716" i="3"/>
  <c r="C716" i="3"/>
  <c r="D716" i="3"/>
  <c r="E716" i="3"/>
  <c r="B717" i="3"/>
  <c r="C717" i="3"/>
  <c r="D717" i="3"/>
  <c r="E717" i="3"/>
  <c r="B718" i="3"/>
  <c r="C718" i="3"/>
  <c r="D718" i="3"/>
  <c r="E718" i="3"/>
  <c r="B719" i="3"/>
  <c r="C719" i="3"/>
  <c r="D719" i="3"/>
  <c r="E719" i="3"/>
  <c r="B720" i="3"/>
  <c r="C720" i="3"/>
  <c r="D720" i="3"/>
  <c r="E720" i="3"/>
  <c r="B721" i="3"/>
  <c r="C721" i="3"/>
  <c r="D721" i="3"/>
  <c r="E721" i="3"/>
  <c r="B722" i="3"/>
  <c r="C722" i="3"/>
  <c r="D722" i="3"/>
  <c r="E722" i="3"/>
  <c r="B723" i="3"/>
  <c r="C723" i="3"/>
  <c r="D723" i="3"/>
  <c r="E723" i="3"/>
  <c r="B724" i="3"/>
  <c r="C724" i="3"/>
  <c r="D724" i="3"/>
  <c r="E724" i="3"/>
  <c r="B725" i="3"/>
  <c r="C725" i="3"/>
  <c r="D725" i="3"/>
  <c r="E725" i="3"/>
  <c r="B726" i="3"/>
  <c r="C726" i="3"/>
  <c r="D726" i="3"/>
  <c r="E726" i="3"/>
  <c r="B727" i="3"/>
  <c r="C727" i="3"/>
  <c r="D727" i="3"/>
  <c r="E727" i="3"/>
  <c r="B728" i="3"/>
  <c r="C728" i="3"/>
  <c r="D728" i="3"/>
  <c r="E728" i="3"/>
  <c r="B729" i="3"/>
  <c r="C729" i="3"/>
  <c r="D729" i="3"/>
  <c r="E729" i="3"/>
  <c r="B730" i="3"/>
  <c r="C730" i="3"/>
  <c r="D730" i="3"/>
  <c r="E730" i="3"/>
  <c r="B731" i="3"/>
  <c r="C731" i="3"/>
  <c r="D731" i="3"/>
  <c r="E731" i="3"/>
  <c r="B732" i="3"/>
  <c r="C732" i="3"/>
  <c r="D732" i="3"/>
  <c r="E732" i="3"/>
  <c r="B733" i="3"/>
  <c r="C733" i="3"/>
  <c r="D733" i="3"/>
  <c r="E733" i="3"/>
  <c r="B734" i="3"/>
  <c r="C734" i="3"/>
  <c r="D734" i="3"/>
  <c r="E734" i="3"/>
  <c r="B735" i="3"/>
  <c r="C735" i="3"/>
  <c r="D735" i="3"/>
  <c r="E735" i="3"/>
  <c r="B736" i="3"/>
  <c r="C736" i="3"/>
  <c r="D736" i="3"/>
  <c r="E736" i="3"/>
  <c r="B737" i="3"/>
  <c r="C737" i="3"/>
  <c r="D737" i="3"/>
  <c r="E737" i="3"/>
  <c r="B738" i="3"/>
  <c r="C738" i="3"/>
  <c r="D738" i="3"/>
  <c r="E738" i="3"/>
  <c r="B739" i="3"/>
  <c r="C739" i="3"/>
  <c r="D739" i="3"/>
  <c r="E739" i="3"/>
  <c r="B740" i="3"/>
  <c r="C740" i="3"/>
  <c r="D740" i="3"/>
  <c r="E740" i="3"/>
  <c r="B741" i="3"/>
  <c r="C741" i="3"/>
  <c r="D741" i="3"/>
  <c r="E741" i="3"/>
  <c r="B742" i="3"/>
  <c r="C742" i="3"/>
  <c r="D742" i="3"/>
  <c r="E742" i="3"/>
  <c r="B743" i="3"/>
  <c r="C743" i="3"/>
  <c r="D743" i="3"/>
  <c r="E743" i="3"/>
  <c r="B744" i="3"/>
  <c r="C744" i="3"/>
  <c r="D744" i="3"/>
  <c r="E744" i="3"/>
  <c r="B745" i="3"/>
  <c r="C745" i="3"/>
  <c r="D745" i="3"/>
  <c r="E745" i="3"/>
  <c r="B746" i="3"/>
  <c r="C746" i="3"/>
  <c r="D746" i="3"/>
  <c r="E746" i="3"/>
  <c r="B747" i="3"/>
  <c r="C747" i="3"/>
  <c r="D747" i="3"/>
  <c r="E747" i="3"/>
  <c r="B748" i="3"/>
  <c r="C748" i="3"/>
  <c r="D748" i="3"/>
  <c r="E748" i="3"/>
  <c r="B749" i="3"/>
  <c r="C749" i="3"/>
  <c r="D749" i="3"/>
  <c r="E749" i="3"/>
  <c r="B750" i="3"/>
  <c r="C750" i="3"/>
  <c r="D750" i="3"/>
  <c r="E750" i="3"/>
  <c r="B751" i="3"/>
  <c r="C751" i="3"/>
  <c r="D751" i="3"/>
  <c r="E751" i="3"/>
  <c r="B752" i="3"/>
  <c r="C752" i="3"/>
  <c r="D752" i="3"/>
  <c r="E752" i="3"/>
  <c r="B753" i="3"/>
  <c r="C753" i="3"/>
  <c r="D753" i="3"/>
  <c r="E753" i="3"/>
  <c r="B754" i="3"/>
  <c r="C754" i="3"/>
  <c r="D754" i="3"/>
  <c r="E754" i="3"/>
  <c r="B755" i="3"/>
  <c r="C755" i="3"/>
  <c r="D755" i="3"/>
  <c r="E755" i="3"/>
  <c r="B756" i="3"/>
  <c r="C756" i="3"/>
  <c r="D756" i="3"/>
  <c r="E756" i="3"/>
  <c r="B757" i="3"/>
  <c r="C757" i="3"/>
  <c r="D757" i="3"/>
  <c r="E757" i="3"/>
  <c r="B758" i="3"/>
  <c r="C758" i="3"/>
  <c r="D758" i="3"/>
  <c r="E758" i="3"/>
  <c r="B759" i="3"/>
  <c r="C759" i="3"/>
  <c r="D759" i="3"/>
  <c r="E759" i="3"/>
  <c r="B760" i="3"/>
  <c r="C760" i="3"/>
  <c r="D760" i="3"/>
  <c r="E760" i="3"/>
  <c r="B761" i="3"/>
  <c r="C761" i="3"/>
  <c r="D761" i="3"/>
  <c r="E761" i="3"/>
  <c r="B762" i="3"/>
  <c r="C762" i="3"/>
  <c r="D762" i="3"/>
  <c r="E762" i="3"/>
  <c r="B763" i="3"/>
  <c r="C763" i="3"/>
  <c r="D763" i="3"/>
  <c r="E763" i="3"/>
  <c r="B764" i="3"/>
  <c r="C764" i="3"/>
  <c r="D764" i="3"/>
  <c r="E764" i="3"/>
  <c r="B765" i="3"/>
  <c r="C765" i="3"/>
  <c r="D765" i="3"/>
  <c r="E765" i="3"/>
  <c r="B766" i="3"/>
  <c r="C766" i="3"/>
  <c r="D766" i="3"/>
  <c r="E766" i="3"/>
  <c r="B767" i="3"/>
  <c r="C767" i="3"/>
  <c r="D767" i="3"/>
  <c r="E767" i="3"/>
  <c r="B768" i="3"/>
  <c r="C768" i="3"/>
  <c r="D768" i="3"/>
  <c r="E768" i="3"/>
  <c r="B769" i="3"/>
  <c r="C769" i="3"/>
  <c r="D769" i="3"/>
  <c r="E769" i="3"/>
  <c r="B770" i="3"/>
  <c r="C770" i="3"/>
  <c r="D770" i="3"/>
  <c r="E770" i="3"/>
  <c r="B771" i="3"/>
  <c r="C771" i="3"/>
  <c r="D771" i="3"/>
  <c r="E771" i="3"/>
  <c r="B772" i="3"/>
  <c r="C772" i="3"/>
  <c r="D772" i="3"/>
  <c r="E772" i="3"/>
  <c r="B773" i="3"/>
  <c r="C773" i="3"/>
  <c r="D773" i="3"/>
  <c r="E773" i="3"/>
  <c r="B774" i="3"/>
  <c r="C774" i="3"/>
  <c r="D774" i="3"/>
  <c r="E774" i="3"/>
  <c r="B775" i="3"/>
  <c r="C775" i="3"/>
  <c r="D775" i="3"/>
  <c r="E775" i="3"/>
  <c r="B776" i="3"/>
  <c r="C776" i="3"/>
  <c r="D776" i="3"/>
  <c r="E776" i="3"/>
  <c r="B777" i="3"/>
  <c r="C777" i="3"/>
  <c r="D777" i="3"/>
  <c r="E777" i="3"/>
  <c r="B778" i="3"/>
  <c r="C778" i="3"/>
  <c r="D778" i="3"/>
  <c r="E778" i="3"/>
  <c r="B779" i="3"/>
  <c r="C779" i="3"/>
  <c r="D779" i="3"/>
  <c r="E779" i="3"/>
  <c r="B780" i="3"/>
  <c r="C780" i="3"/>
  <c r="D780" i="3"/>
  <c r="E780" i="3"/>
  <c r="B781" i="3"/>
  <c r="C781" i="3"/>
  <c r="D781" i="3"/>
  <c r="E781" i="3"/>
  <c r="B782" i="3"/>
  <c r="C782" i="3"/>
  <c r="D782" i="3"/>
  <c r="E782" i="3"/>
  <c r="B783" i="3"/>
  <c r="C783" i="3"/>
  <c r="D783" i="3"/>
  <c r="E783" i="3"/>
  <c r="B784" i="3"/>
  <c r="C784" i="3"/>
  <c r="D784" i="3"/>
  <c r="E784" i="3"/>
  <c r="B785" i="3"/>
  <c r="C785" i="3"/>
  <c r="D785" i="3"/>
  <c r="E785" i="3"/>
  <c r="B786" i="3"/>
  <c r="C786" i="3"/>
  <c r="D786" i="3"/>
  <c r="E786" i="3"/>
  <c r="B787" i="3"/>
  <c r="C787" i="3"/>
  <c r="D787" i="3"/>
  <c r="E787" i="3"/>
  <c r="B788" i="3"/>
  <c r="C788" i="3"/>
  <c r="D788" i="3"/>
  <c r="E788" i="3"/>
  <c r="B789" i="3"/>
  <c r="C789" i="3"/>
  <c r="D789" i="3"/>
  <c r="E789" i="3"/>
  <c r="B790" i="3"/>
  <c r="C790" i="3"/>
  <c r="D790" i="3"/>
  <c r="E790" i="3"/>
  <c r="B791" i="3"/>
  <c r="C791" i="3"/>
  <c r="D791" i="3"/>
  <c r="E791" i="3"/>
  <c r="B792" i="3"/>
  <c r="C792" i="3"/>
  <c r="D792" i="3"/>
  <c r="E792" i="3"/>
  <c r="B793" i="3"/>
  <c r="C793" i="3"/>
  <c r="D793" i="3"/>
  <c r="E793" i="3"/>
  <c r="B794" i="3"/>
  <c r="C794" i="3"/>
  <c r="D794" i="3"/>
  <c r="E794" i="3"/>
  <c r="B795" i="3"/>
  <c r="C795" i="3"/>
  <c r="D795" i="3"/>
  <c r="E795" i="3"/>
  <c r="B796" i="3"/>
  <c r="C796" i="3"/>
  <c r="D796" i="3"/>
  <c r="E796" i="3"/>
  <c r="B797" i="3"/>
  <c r="C797" i="3"/>
  <c r="D797" i="3"/>
  <c r="E797" i="3"/>
  <c r="B798" i="3"/>
  <c r="C798" i="3"/>
  <c r="D798" i="3"/>
  <c r="E798" i="3"/>
  <c r="B799" i="3"/>
  <c r="C799" i="3"/>
  <c r="D799" i="3"/>
  <c r="E799" i="3"/>
  <c r="B800" i="3"/>
  <c r="C800" i="3"/>
  <c r="D800" i="3"/>
  <c r="E800" i="3"/>
  <c r="B801" i="3"/>
  <c r="C801" i="3"/>
  <c r="D801" i="3"/>
  <c r="E801" i="3"/>
  <c r="B802" i="3"/>
  <c r="C802" i="3"/>
  <c r="D802" i="3"/>
  <c r="E802" i="3"/>
  <c r="B803" i="3"/>
  <c r="C803" i="3"/>
  <c r="D803" i="3"/>
  <c r="E803" i="3"/>
  <c r="B804" i="3"/>
  <c r="C804" i="3"/>
  <c r="D804" i="3"/>
  <c r="E804" i="3"/>
  <c r="B805" i="3"/>
  <c r="C805" i="3"/>
  <c r="D805" i="3"/>
  <c r="E805" i="3"/>
  <c r="B806" i="3"/>
  <c r="C806" i="3"/>
  <c r="D806" i="3"/>
  <c r="E806" i="3"/>
  <c r="B807" i="3"/>
  <c r="C807" i="3"/>
  <c r="D807" i="3"/>
  <c r="E807" i="3"/>
  <c r="B808" i="3"/>
  <c r="C808" i="3"/>
  <c r="D808" i="3"/>
  <c r="E808" i="3"/>
  <c r="B809" i="3"/>
  <c r="C809" i="3"/>
  <c r="D809" i="3"/>
  <c r="E809" i="3"/>
  <c r="B810" i="3"/>
  <c r="C810" i="3"/>
  <c r="D810" i="3"/>
  <c r="E810" i="3"/>
  <c r="B811" i="3"/>
  <c r="C811" i="3"/>
  <c r="D811" i="3"/>
  <c r="E811" i="3"/>
  <c r="B812" i="3"/>
  <c r="C812" i="3"/>
  <c r="D812" i="3"/>
  <c r="E812" i="3"/>
  <c r="B813" i="3"/>
  <c r="C813" i="3"/>
  <c r="D813" i="3"/>
  <c r="E813" i="3"/>
  <c r="B814" i="3"/>
  <c r="C814" i="3"/>
  <c r="D814" i="3"/>
  <c r="E814" i="3"/>
  <c r="B815" i="3"/>
  <c r="C815" i="3"/>
  <c r="D815" i="3"/>
  <c r="E815" i="3"/>
  <c r="B816" i="3"/>
  <c r="C816" i="3"/>
  <c r="D816" i="3"/>
  <c r="E816" i="3"/>
  <c r="B817" i="3"/>
  <c r="C817" i="3"/>
  <c r="D817" i="3"/>
  <c r="E817" i="3"/>
  <c r="B818" i="3"/>
  <c r="C818" i="3"/>
  <c r="D818" i="3"/>
  <c r="E818" i="3"/>
  <c r="B819" i="3"/>
  <c r="C819" i="3"/>
  <c r="D819" i="3"/>
  <c r="E819" i="3"/>
  <c r="B820" i="3"/>
  <c r="C820" i="3"/>
  <c r="D820" i="3"/>
  <c r="E820" i="3"/>
  <c r="B821" i="3"/>
  <c r="C821" i="3"/>
  <c r="D821" i="3"/>
  <c r="E821" i="3"/>
  <c r="B822" i="3"/>
  <c r="C822" i="3"/>
  <c r="D822" i="3"/>
  <c r="E822" i="3"/>
  <c r="B823" i="3"/>
  <c r="C823" i="3"/>
  <c r="D823" i="3"/>
  <c r="E823" i="3"/>
  <c r="B824" i="3"/>
  <c r="C824" i="3"/>
  <c r="D824" i="3"/>
  <c r="E824" i="3"/>
  <c r="B825" i="3"/>
  <c r="C825" i="3"/>
  <c r="D825" i="3"/>
  <c r="E825" i="3"/>
  <c r="B826" i="3"/>
  <c r="C826" i="3"/>
  <c r="D826" i="3"/>
  <c r="E826" i="3"/>
  <c r="B827" i="3"/>
  <c r="C827" i="3"/>
  <c r="D827" i="3"/>
  <c r="E827" i="3"/>
  <c r="B828" i="3"/>
  <c r="C828" i="3"/>
  <c r="D828" i="3"/>
  <c r="E828" i="3"/>
  <c r="B829" i="3"/>
  <c r="C829" i="3"/>
  <c r="D829" i="3"/>
  <c r="E829" i="3"/>
  <c r="B830" i="3"/>
  <c r="C830" i="3"/>
  <c r="D830" i="3"/>
  <c r="E830" i="3"/>
  <c r="B831" i="3"/>
  <c r="C831" i="3"/>
  <c r="D831" i="3"/>
  <c r="E831" i="3"/>
  <c r="B832" i="3"/>
  <c r="C832" i="3"/>
  <c r="D832" i="3"/>
  <c r="E832" i="3"/>
  <c r="B833" i="3"/>
  <c r="C833" i="3"/>
  <c r="D833" i="3"/>
  <c r="E833" i="3"/>
  <c r="B834" i="3"/>
  <c r="C834" i="3"/>
  <c r="D834" i="3"/>
  <c r="E834" i="3"/>
  <c r="B835" i="3"/>
  <c r="C835" i="3"/>
  <c r="D835" i="3"/>
  <c r="E835" i="3"/>
  <c r="B836" i="3"/>
  <c r="C836" i="3"/>
  <c r="D836" i="3"/>
  <c r="E836" i="3"/>
  <c r="B837" i="3"/>
  <c r="C837" i="3"/>
  <c r="D837" i="3"/>
  <c r="E837" i="3"/>
  <c r="B838" i="3"/>
  <c r="C838" i="3"/>
  <c r="D838" i="3"/>
  <c r="E838" i="3"/>
  <c r="B839" i="3"/>
  <c r="C839" i="3"/>
  <c r="D839" i="3"/>
  <c r="E839" i="3"/>
  <c r="B840" i="3"/>
  <c r="C840" i="3"/>
  <c r="D840" i="3"/>
  <c r="E840" i="3"/>
  <c r="B841" i="3"/>
  <c r="C841" i="3"/>
  <c r="D841" i="3"/>
  <c r="E841" i="3"/>
  <c r="B842" i="3"/>
  <c r="C842" i="3"/>
  <c r="D842" i="3"/>
  <c r="E842" i="3"/>
  <c r="B843" i="3"/>
  <c r="C843" i="3"/>
  <c r="D843" i="3"/>
  <c r="E843" i="3"/>
  <c r="B844" i="3"/>
  <c r="C844" i="3"/>
  <c r="D844" i="3"/>
  <c r="E844" i="3"/>
  <c r="B845" i="3"/>
  <c r="C845" i="3"/>
  <c r="D845" i="3"/>
  <c r="E845" i="3"/>
  <c r="B846" i="3"/>
  <c r="C846" i="3"/>
  <c r="D846" i="3"/>
  <c r="E846" i="3"/>
  <c r="B847" i="3"/>
  <c r="C847" i="3"/>
  <c r="D847" i="3"/>
  <c r="E847" i="3"/>
  <c r="B848" i="3"/>
  <c r="C848" i="3"/>
  <c r="D848" i="3"/>
  <c r="E848" i="3"/>
  <c r="B849" i="3"/>
  <c r="C849" i="3"/>
  <c r="D849" i="3"/>
  <c r="E849" i="3"/>
  <c r="B850" i="3"/>
  <c r="C850" i="3"/>
  <c r="D850" i="3"/>
  <c r="E850" i="3"/>
  <c r="B851" i="3"/>
  <c r="C851" i="3"/>
  <c r="D851" i="3"/>
  <c r="E851" i="3"/>
  <c r="B852" i="3"/>
  <c r="C852" i="3"/>
  <c r="D852" i="3"/>
  <c r="E852" i="3"/>
  <c r="B853" i="3"/>
  <c r="C853" i="3"/>
  <c r="D853" i="3"/>
  <c r="E853" i="3"/>
  <c r="B854" i="3"/>
  <c r="C854" i="3"/>
  <c r="D854" i="3"/>
  <c r="E854" i="3"/>
  <c r="B855" i="3"/>
  <c r="C855" i="3"/>
  <c r="D855" i="3"/>
  <c r="E855" i="3"/>
  <c r="B856" i="3"/>
  <c r="C856" i="3"/>
  <c r="D856" i="3"/>
  <c r="E856" i="3"/>
  <c r="B857" i="3"/>
  <c r="C857" i="3"/>
  <c r="D857" i="3"/>
  <c r="E857" i="3"/>
  <c r="B858" i="3"/>
  <c r="C858" i="3"/>
  <c r="D858" i="3"/>
  <c r="E858" i="3"/>
  <c r="B859" i="3"/>
  <c r="C859" i="3"/>
  <c r="D859" i="3"/>
  <c r="E859" i="3"/>
  <c r="B860" i="3"/>
  <c r="C860" i="3"/>
  <c r="D860" i="3"/>
  <c r="E860" i="3"/>
  <c r="B861" i="3"/>
  <c r="C861" i="3"/>
  <c r="D861" i="3"/>
  <c r="E861" i="3"/>
  <c r="B862" i="3"/>
  <c r="C862" i="3"/>
  <c r="D862" i="3"/>
  <c r="E862" i="3"/>
  <c r="B863" i="3"/>
  <c r="C863" i="3"/>
  <c r="D863" i="3"/>
  <c r="E863" i="3"/>
  <c r="B864" i="3"/>
  <c r="C864" i="3"/>
  <c r="D864" i="3"/>
  <c r="E864" i="3"/>
  <c r="B865" i="3"/>
  <c r="C865" i="3"/>
  <c r="D865" i="3"/>
  <c r="E865" i="3"/>
  <c r="B866" i="3"/>
  <c r="C866" i="3"/>
  <c r="D866" i="3"/>
  <c r="E866" i="3"/>
  <c r="B867" i="3"/>
  <c r="C867" i="3"/>
  <c r="D867" i="3"/>
  <c r="E867" i="3"/>
  <c r="B868" i="3"/>
  <c r="C868" i="3"/>
  <c r="D868" i="3"/>
  <c r="E868" i="3"/>
  <c r="B869" i="3"/>
  <c r="C869" i="3"/>
  <c r="D869" i="3"/>
  <c r="E869" i="3"/>
  <c r="B870" i="3"/>
  <c r="C870" i="3"/>
  <c r="D870" i="3"/>
  <c r="E870" i="3"/>
  <c r="B871" i="3"/>
  <c r="C871" i="3"/>
  <c r="D871" i="3"/>
  <c r="E871" i="3"/>
  <c r="B872" i="3"/>
  <c r="C872" i="3"/>
  <c r="D872" i="3"/>
  <c r="E872" i="3"/>
  <c r="B873" i="3"/>
  <c r="C873" i="3"/>
  <c r="D873" i="3"/>
  <c r="E873" i="3"/>
  <c r="B874" i="3"/>
  <c r="C874" i="3"/>
  <c r="D874" i="3"/>
  <c r="E874" i="3"/>
  <c r="B875" i="3"/>
  <c r="C875" i="3"/>
  <c r="D875" i="3"/>
  <c r="E875" i="3"/>
  <c r="B876" i="3"/>
  <c r="C876" i="3"/>
  <c r="D876" i="3"/>
  <c r="E876" i="3"/>
  <c r="B877" i="3"/>
  <c r="C877" i="3"/>
  <c r="D877" i="3"/>
  <c r="E877" i="3"/>
  <c r="B878" i="3"/>
  <c r="C878" i="3"/>
  <c r="D878" i="3"/>
  <c r="E878" i="3"/>
  <c r="B879" i="3"/>
  <c r="C879" i="3"/>
  <c r="D879" i="3"/>
  <c r="E879" i="3"/>
  <c r="B880" i="3"/>
  <c r="C880" i="3"/>
  <c r="D880" i="3"/>
  <c r="E880" i="3"/>
  <c r="B881" i="3"/>
  <c r="C881" i="3"/>
  <c r="D881" i="3"/>
  <c r="E881" i="3"/>
  <c r="B882" i="3"/>
  <c r="C882" i="3"/>
  <c r="D882" i="3"/>
  <c r="E882" i="3"/>
  <c r="B883" i="3"/>
  <c r="C883" i="3"/>
  <c r="D883" i="3"/>
  <c r="E883" i="3"/>
  <c r="B884" i="3"/>
  <c r="C884" i="3"/>
  <c r="D884" i="3"/>
  <c r="E884" i="3"/>
  <c r="B885" i="3"/>
  <c r="C885" i="3"/>
  <c r="D885" i="3"/>
  <c r="E885" i="3"/>
  <c r="B886" i="3"/>
  <c r="C886" i="3"/>
  <c r="D886" i="3"/>
  <c r="E886" i="3"/>
  <c r="B887" i="3"/>
  <c r="C887" i="3"/>
  <c r="D887" i="3"/>
  <c r="E887" i="3"/>
  <c r="B888" i="3"/>
  <c r="C888" i="3"/>
  <c r="D888" i="3"/>
  <c r="E888" i="3"/>
  <c r="B889" i="3"/>
  <c r="C889" i="3"/>
  <c r="D889" i="3"/>
  <c r="E889" i="3"/>
  <c r="B890" i="3"/>
  <c r="C890" i="3"/>
  <c r="D890" i="3"/>
  <c r="E890" i="3"/>
  <c r="B891" i="3"/>
  <c r="C891" i="3"/>
  <c r="D891" i="3"/>
  <c r="E891" i="3"/>
  <c r="B892" i="3"/>
  <c r="C892" i="3"/>
  <c r="D892" i="3"/>
  <c r="E892" i="3"/>
  <c r="B893" i="3"/>
  <c r="C893" i="3"/>
  <c r="D893" i="3"/>
  <c r="E893" i="3"/>
  <c r="B894" i="3"/>
  <c r="C894" i="3"/>
  <c r="D894" i="3"/>
  <c r="E894" i="3"/>
  <c r="B895" i="3"/>
  <c r="C895" i="3"/>
  <c r="D895" i="3"/>
  <c r="E895" i="3"/>
  <c r="B896" i="3"/>
  <c r="C896" i="3"/>
  <c r="D896" i="3"/>
  <c r="E896" i="3"/>
  <c r="B897" i="3"/>
  <c r="C897" i="3"/>
  <c r="D897" i="3"/>
  <c r="E897" i="3"/>
  <c r="B898" i="3"/>
  <c r="C898" i="3"/>
  <c r="D898" i="3"/>
  <c r="E898" i="3"/>
  <c r="B899" i="3"/>
  <c r="C899" i="3"/>
  <c r="D899" i="3"/>
  <c r="E899" i="3"/>
  <c r="B900" i="3"/>
  <c r="C900" i="3"/>
  <c r="D900" i="3"/>
  <c r="E900" i="3"/>
  <c r="B901" i="3"/>
  <c r="C901" i="3"/>
  <c r="D901" i="3"/>
  <c r="E901" i="3"/>
  <c r="B902" i="3"/>
  <c r="C902" i="3"/>
  <c r="D902" i="3"/>
  <c r="E902" i="3"/>
  <c r="B903" i="3"/>
  <c r="C903" i="3"/>
  <c r="D903" i="3"/>
  <c r="E903" i="3"/>
  <c r="B904" i="3"/>
  <c r="C904" i="3"/>
  <c r="D904" i="3"/>
  <c r="E904" i="3"/>
  <c r="B905" i="3"/>
  <c r="C905" i="3"/>
  <c r="D905" i="3"/>
  <c r="E905" i="3"/>
  <c r="B906" i="3"/>
  <c r="C906" i="3"/>
  <c r="D906" i="3"/>
  <c r="E906" i="3"/>
  <c r="B907" i="3"/>
  <c r="C907" i="3"/>
  <c r="D907" i="3"/>
  <c r="E907" i="3"/>
  <c r="B908" i="3"/>
  <c r="C908" i="3"/>
  <c r="D908" i="3"/>
  <c r="E908" i="3"/>
  <c r="B909" i="3"/>
  <c r="C909" i="3"/>
  <c r="D909" i="3"/>
  <c r="E909" i="3"/>
  <c r="B910" i="3"/>
  <c r="C910" i="3"/>
  <c r="D910" i="3"/>
  <c r="E910" i="3"/>
  <c r="B911" i="3"/>
  <c r="C911" i="3"/>
  <c r="D911" i="3"/>
  <c r="E911" i="3"/>
  <c r="B912" i="3"/>
  <c r="C912" i="3"/>
  <c r="D912" i="3"/>
  <c r="E912" i="3"/>
  <c r="B913" i="3"/>
  <c r="C913" i="3"/>
  <c r="D913" i="3"/>
  <c r="E913" i="3"/>
  <c r="B914" i="3"/>
  <c r="C914" i="3"/>
  <c r="D914" i="3"/>
  <c r="E914" i="3"/>
  <c r="B915" i="3"/>
  <c r="C915" i="3"/>
  <c r="D915" i="3"/>
  <c r="E915" i="3"/>
  <c r="B916" i="3"/>
  <c r="C916" i="3"/>
  <c r="D916" i="3"/>
  <c r="E916" i="3"/>
  <c r="B917" i="3"/>
  <c r="C917" i="3"/>
  <c r="D917" i="3"/>
  <c r="E917" i="3"/>
  <c r="B918" i="3"/>
  <c r="C918" i="3"/>
  <c r="D918" i="3"/>
  <c r="E918" i="3"/>
  <c r="B919" i="3"/>
  <c r="C919" i="3"/>
  <c r="D919" i="3"/>
  <c r="E919" i="3"/>
  <c r="B920" i="3"/>
  <c r="C920" i="3"/>
  <c r="D920" i="3"/>
  <c r="E920" i="3"/>
  <c r="B921" i="3"/>
  <c r="C921" i="3"/>
  <c r="D921" i="3"/>
  <c r="E921" i="3"/>
  <c r="B922" i="3"/>
  <c r="C922" i="3"/>
  <c r="D922" i="3"/>
  <c r="E922" i="3"/>
  <c r="B923" i="3"/>
  <c r="C923" i="3"/>
  <c r="D923" i="3"/>
  <c r="E923" i="3"/>
  <c r="B924" i="3"/>
  <c r="C924" i="3"/>
  <c r="D924" i="3"/>
  <c r="E924" i="3"/>
  <c r="B925" i="3"/>
  <c r="C925" i="3"/>
  <c r="D925" i="3"/>
  <c r="E925" i="3"/>
  <c r="B926" i="3"/>
  <c r="C926" i="3"/>
  <c r="D926" i="3"/>
  <c r="E926" i="3"/>
  <c r="B927" i="3"/>
  <c r="C927" i="3"/>
  <c r="D927" i="3"/>
  <c r="E927" i="3"/>
  <c r="B928" i="3"/>
  <c r="C928" i="3"/>
  <c r="D928" i="3"/>
  <c r="E928" i="3"/>
  <c r="B929" i="3"/>
  <c r="C929" i="3"/>
  <c r="D929" i="3"/>
  <c r="E929" i="3"/>
  <c r="B930" i="3"/>
  <c r="C930" i="3"/>
  <c r="D930" i="3"/>
  <c r="E930" i="3"/>
  <c r="B931" i="3"/>
  <c r="C931" i="3"/>
  <c r="D931" i="3"/>
  <c r="E931" i="3"/>
  <c r="B932" i="3"/>
  <c r="C932" i="3"/>
  <c r="D932" i="3"/>
  <c r="E932" i="3"/>
  <c r="B933" i="3"/>
  <c r="C933" i="3"/>
  <c r="D933" i="3"/>
  <c r="E933" i="3"/>
  <c r="B934" i="3"/>
  <c r="C934" i="3"/>
  <c r="D934" i="3"/>
  <c r="E934" i="3"/>
  <c r="B935" i="3"/>
  <c r="C935" i="3"/>
  <c r="D935" i="3"/>
  <c r="E935" i="3"/>
  <c r="B936" i="3"/>
  <c r="C936" i="3"/>
  <c r="D936" i="3"/>
  <c r="E936" i="3"/>
  <c r="B937" i="3"/>
  <c r="C937" i="3"/>
  <c r="D937" i="3"/>
  <c r="E937" i="3"/>
  <c r="B938" i="3"/>
  <c r="C938" i="3"/>
  <c r="D938" i="3"/>
  <c r="E938" i="3"/>
  <c r="B939" i="3"/>
  <c r="C939" i="3"/>
  <c r="D939" i="3"/>
  <c r="E939" i="3"/>
  <c r="B940" i="3"/>
  <c r="C940" i="3"/>
  <c r="D940" i="3"/>
  <c r="E940" i="3"/>
  <c r="B941" i="3"/>
  <c r="C941" i="3"/>
  <c r="D941" i="3"/>
  <c r="E941" i="3"/>
  <c r="B942" i="3"/>
  <c r="C942" i="3"/>
  <c r="D942" i="3"/>
  <c r="E942" i="3"/>
  <c r="B943" i="3"/>
  <c r="C943" i="3"/>
  <c r="D943" i="3"/>
  <c r="E943" i="3"/>
  <c r="B944" i="3"/>
  <c r="C944" i="3"/>
  <c r="D944" i="3"/>
  <c r="E944" i="3"/>
  <c r="B945" i="3"/>
  <c r="C945" i="3"/>
  <c r="D945" i="3"/>
  <c r="E945" i="3"/>
  <c r="B946" i="3"/>
  <c r="C946" i="3"/>
  <c r="D946" i="3"/>
  <c r="E946" i="3"/>
  <c r="B947" i="3"/>
  <c r="C947" i="3"/>
  <c r="D947" i="3"/>
  <c r="E947" i="3"/>
  <c r="B948" i="3"/>
  <c r="C948" i="3"/>
  <c r="D948" i="3"/>
  <c r="E948" i="3"/>
  <c r="B949" i="3"/>
  <c r="C949" i="3"/>
  <c r="D949" i="3"/>
  <c r="E949" i="3"/>
  <c r="B950" i="3"/>
  <c r="C950" i="3"/>
  <c r="D950" i="3"/>
  <c r="E950" i="3"/>
  <c r="B951" i="3"/>
  <c r="C951" i="3"/>
  <c r="D951" i="3"/>
  <c r="E951" i="3"/>
  <c r="B952" i="3"/>
  <c r="C952" i="3"/>
  <c r="D952" i="3"/>
  <c r="E952" i="3"/>
  <c r="B953" i="3"/>
  <c r="C953" i="3"/>
  <c r="D953" i="3"/>
  <c r="E953" i="3"/>
  <c r="B954" i="3"/>
  <c r="C954" i="3"/>
  <c r="D954" i="3"/>
  <c r="E954" i="3"/>
  <c r="B955" i="3"/>
  <c r="C955" i="3"/>
  <c r="D955" i="3"/>
  <c r="E955" i="3"/>
  <c r="B956" i="3"/>
  <c r="C956" i="3"/>
  <c r="D956" i="3"/>
  <c r="E956" i="3"/>
  <c r="B957" i="3"/>
  <c r="C957" i="3"/>
  <c r="D957" i="3"/>
  <c r="E957" i="3"/>
  <c r="B958" i="3"/>
  <c r="C958" i="3"/>
  <c r="D958" i="3"/>
  <c r="E958" i="3"/>
  <c r="B959" i="3"/>
  <c r="C959" i="3"/>
  <c r="D959" i="3"/>
  <c r="E959" i="3"/>
  <c r="B960" i="3"/>
  <c r="C960" i="3"/>
  <c r="D960" i="3"/>
  <c r="E960" i="3"/>
  <c r="B961" i="3"/>
  <c r="C961" i="3"/>
  <c r="D961" i="3"/>
  <c r="E961" i="3"/>
  <c r="B962" i="3"/>
  <c r="C962" i="3"/>
  <c r="D962" i="3"/>
  <c r="E962" i="3"/>
  <c r="B963" i="3"/>
  <c r="C963" i="3"/>
  <c r="D963" i="3"/>
  <c r="E963" i="3"/>
  <c r="B964" i="3"/>
  <c r="C964" i="3"/>
  <c r="D964" i="3"/>
  <c r="E964" i="3"/>
  <c r="B965" i="3"/>
  <c r="C965" i="3"/>
  <c r="D965" i="3"/>
  <c r="E965" i="3"/>
  <c r="B966" i="3"/>
  <c r="C966" i="3"/>
  <c r="D966" i="3"/>
  <c r="E966" i="3"/>
  <c r="B967" i="3"/>
  <c r="C967" i="3"/>
  <c r="D967" i="3"/>
  <c r="E967" i="3"/>
  <c r="B968" i="3"/>
  <c r="C968" i="3"/>
  <c r="D968" i="3"/>
  <c r="E968" i="3"/>
  <c r="B969" i="3"/>
  <c r="C969" i="3"/>
  <c r="D969" i="3"/>
  <c r="E969" i="3"/>
  <c r="B970" i="3"/>
  <c r="C970" i="3"/>
  <c r="D970" i="3"/>
  <c r="E970" i="3"/>
  <c r="B971" i="3"/>
  <c r="C971" i="3"/>
  <c r="D971" i="3"/>
  <c r="E971" i="3"/>
  <c r="B972" i="3"/>
  <c r="C972" i="3"/>
  <c r="D972" i="3"/>
  <c r="E972" i="3"/>
  <c r="B973" i="3"/>
  <c r="C973" i="3"/>
  <c r="D973" i="3"/>
  <c r="E973" i="3"/>
  <c r="B974" i="3"/>
  <c r="C974" i="3"/>
  <c r="D974" i="3"/>
  <c r="E974" i="3"/>
  <c r="B975" i="3"/>
  <c r="C975" i="3"/>
  <c r="D975" i="3"/>
  <c r="E975" i="3"/>
  <c r="B976" i="3"/>
  <c r="C976" i="3"/>
  <c r="D976" i="3"/>
  <c r="E976" i="3"/>
  <c r="B977" i="3"/>
  <c r="C977" i="3"/>
  <c r="D977" i="3"/>
  <c r="E977" i="3"/>
  <c r="B978" i="3"/>
  <c r="C978" i="3"/>
  <c r="D978" i="3"/>
  <c r="E978" i="3"/>
  <c r="B979" i="3"/>
  <c r="C979" i="3"/>
  <c r="D979" i="3"/>
  <c r="E979" i="3"/>
  <c r="B980" i="3"/>
  <c r="C980" i="3"/>
  <c r="D980" i="3"/>
  <c r="E980" i="3"/>
  <c r="B981" i="3"/>
  <c r="C981" i="3"/>
  <c r="D981" i="3"/>
  <c r="E981" i="3"/>
  <c r="B982" i="3"/>
  <c r="C982" i="3"/>
  <c r="D982" i="3"/>
  <c r="E982" i="3"/>
  <c r="B983" i="3"/>
  <c r="C983" i="3"/>
  <c r="D983" i="3"/>
  <c r="E983" i="3"/>
  <c r="B984" i="3"/>
  <c r="C984" i="3"/>
  <c r="D984" i="3"/>
  <c r="E984" i="3"/>
  <c r="B985" i="3"/>
  <c r="C985" i="3"/>
  <c r="D985" i="3"/>
  <c r="E985" i="3"/>
  <c r="B986" i="3"/>
  <c r="C986" i="3"/>
  <c r="D986" i="3"/>
  <c r="E986" i="3"/>
  <c r="B987" i="3"/>
  <c r="C987" i="3"/>
  <c r="D987" i="3"/>
  <c r="E987" i="3"/>
  <c r="B988" i="3"/>
  <c r="C988" i="3"/>
  <c r="D988" i="3"/>
  <c r="E988" i="3"/>
  <c r="B989" i="3"/>
  <c r="C989" i="3"/>
  <c r="D989" i="3"/>
  <c r="E989" i="3"/>
  <c r="B990" i="3"/>
  <c r="C990" i="3"/>
  <c r="D990" i="3"/>
  <c r="E990" i="3"/>
  <c r="B991" i="3"/>
  <c r="C991" i="3"/>
  <c r="D991" i="3"/>
  <c r="E991" i="3"/>
  <c r="B992" i="3"/>
  <c r="C992" i="3"/>
  <c r="D992" i="3"/>
  <c r="E992" i="3"/>
  <c r="B993" i="3"/>
  <c r="C993" i="3"/>
  <c r="D993" i="3"/>
  <c r="E993" i="3"/>
  <c r="B994" i="3"/>
  <c r="C994" i="3"/>
  <c r="D994" i="3"/>
  <c r="E994" i="3"/>
  <c r="B995" i="3"/>
  <c r="C995" i="3"/>
  <c r="D995" i="3"/>
  <c r="E995" i="3"/>
  <c r="B996" i="3"/>
  <c r="C996" i="3"/>
  <c r="D996" i="3"/>
  <c r="E996" i="3"/>
  <c r="B997" i="3"/>
  <c r="C997" i="3"/>
  <c r="D997" i="3"/>
  <c r="E997" i="3"/>
  <c r="B998" i="3"/>
  <c r="C998" i="3"/>
  <c r="D998" i="3"/>
  <c r="E998" i="3"/>
  <c r="B999" i="3"/>
  <c r="C999" i="3"/>
  <c r="D999" i="3"/>
  <c r="E999" i="3"/>
  <c r="B1000" i="3"/>
  <c r="C1000" i="3"/>
  <c r="D1000" i="3"/>
  <c r="E1000" i="3"/>
  <c r="B1001" i="3"/>
  <c r="C1001" i="3"/>
  <c r="D1001" i="3"/>
  <c r="E1001" i="3"/>
  <c r="B1002" i="3"/>
  <c r="C1002" i="3"/>
  <c r="D1002" i="3"/>
  <c r="E1002" i="3"/>
  <c r="B1003" i="3"/>
  <c r="C1003" i="3"/>
  <c r="D1003" i="3"/>
  <c r="E1003" i="3"/>
  <c r="B1004" i="3"/>
  <c r="C1004" i="3"/>
  <c r="D1004" i="3"/>
  <c r="E1004" i="3"/>
  <c r="B1005" i="3"/>
  <c r="C1005" i="3"/>
  <c r="D1005" i="3"/>
  <c r="E1005" i="3"/>
  <c r="B1006" i="3"/>
  <c r="C1006" i="3"/>
  <c r="D1006" i="3"/>
  <c r="E1006" i="3"/>
  <c r="B1007" i="3"/>
  <c r="C1007" i="3"/>
  <c r="D1007" i="3"/>
  <c r="E1007" i="3"/>
  <c r="B1008" i="3"/>
  <c r="C1008" i="3"/>
  <c r="D1008" i="3"/>
  <c r="E1008" i="3"/>
  <c r="B1009" i="3"/>
  <c r="C1009" i="3"/>
  <c r="D1009" i="3"/>
  <c r="E1009" i="3"/>
  <c r="B1010" i="3"/>
  <c r="C1010" i="3"/>
  <c r="D1010" i="3"/>
  <c r="E1010" i="3"/>
  <c r="B1011" i="3"/>
  <c r="C1011" i="3"/>
  <c r="D1011" i="3"/>
  <c r="E1011" i="3"/>
  <c r="B1012" i="3"/>
  <c r="C1012" i="3"/>
  <c r="D1012" i="3"/>
  <c r="E1012" i="3"/>
  <c r="B1013" i="3"/>
  <c r="C1013" i="3"/>
  <c r="D1013" i="3"/>
  <c r="E1013" i="3"/>
  <c r="B1014" i="3"/>
  <c r="C1014" i="3"/>
  <c r="D1014" i="3"/>
  <c r="E1014" i="3"/>
  <c r="B1015" i="3"/>
  <c r="C1015" i="3"/>
  <c r="D1015" i="3"/>
  <c r="E1015" i="3"/>
  <c r="B1016" i="3"/>
  <c r="C1016" i="3"/>
  <c r="D1016" i="3"/>
  <c r="E1016" i="3"/>
  <c r="B1017" i="3"/>
  <c r="C1017" i="3"/>
  <c r="D1017" i="3"/>
  <c r="E1017" i="3"/>
  <c r="B1018" i="3"/>
  <c r="C1018" i="3"/>
  <c r="D1018" i="3"/>
  <c r="E1018" i="3"/>
  <c r="B1019" i="3"/>
  <c r="C1019" i="3"/>
  <c r="D1019" i="3"/>
  <c r="E1019" i="3"/>
  <c r="B1020" i="3"/>
  <c r="C1020" i="3"/>
  <c r="D1020" i="3"/>
  <c r="E1020" i="3"/>
  <c r="B1021" i="3"/>
  <c r="C1021" i="3"/>
  <c r="D1021" i="3"/>
  <c r="E1021" i="3"/>
  <c r="B1022" i="3"/>
  <c r="C1022" i="3"/>
  <c r="D1022" i="3"/>
  <c r="E1022" i="3"/>
  <c r="B1023" i="3"/>
  <c r="C1023" i="3"/>
  <c r="D1023" i="3"/>
  <c r="E1023" i="3"/>
  <c r="B1024" i="3"/>
  <c r="C1024" i="3"/>
  <c r="D1024" i="3"/>
  <c r="E1024" i="3"/>
  <c r="B1025" i="3"/>
  <c r="C1025" i="3"/>
  <c r="D1025" i="3"/>
  <c r="E1025" i="3"/>
  <c r="B1026" i="3"/>
  <c r="C1026" i="3"/>
  <c r="D1026" i="3"/>
  <c r="E1026" i="3"/>
  <c r="B1027" i="3"/>
  <c r="C1027" i="3"/>
  <c r="D1027" i="3"/>
  <c r="E1027" i="3"/>
  <c r="B1028" i="3"/>
  <c r="C1028" i="3"/>
  <c r="D1028" i="3"/>
  <c r="E1028" i="3"/>
  <c r="B1029" i="3"/>
  <c r="C1029" i="3"/>
  <c r="D1029" i="3"/>
  <c r="E1029" i="3"/>
  <c r="B1030" i="3"/>
  <c r="C1030" i="3"/>
  <c r="D1030" i="3"/>
  <c r="E1030" i="3"/>
  <c r="B1031" i="3"/>
  <c r="C1031" i="3"/>
  <c r="D1031" i="3"/>
  <c r="E1031" i="3"/>
  <c r="B1032" i="3"/>
  <c r="C1032" i="3"/>
  <c r="D1032" i="3"/>
  <c r="E1032" i="3"/>
  <c r="B1033" i="3"/>
  <c r="C1033" i="3"/>
  <c r="D1033" i="3"/>
  <c r="E1033" i="3"/>
  <c r="B1034" i="3"/>
  <c r="C1034" i="3"/>
  <c r="D1034" i="3"/>
  <c r="E1034" i="3"/>
  <c r="B1035" i="3"/>
  <c r="C1035" i="3"/>
  <c r="D1035" i="3"/>
  <c r="E1035" i="3"/>
  <c r="B1036" i="3"/>
  <c r="C1036" i="3"/>
  <c r="D1036" i="3"/>
  <c r="E1036" i="3"/>
  <c r="B1037" i="3"/>
  <c r="C1037" i="3"/>
  <c r="D1037" i="3"/>
  <c r="E1037" i="3"/>
  <c r="B1038" i="3"/>
  <c r="C1038" i="3"/>
  <c r="D1038" i="3"/>
  <c r="E1038" i="3"/>
  <c r="B1039" i="3"/>
  <c r="C1039" i="3"/>
  <c r="D1039" i="3"/>
  <c r="E1039" i="3"/>
  <c r="B1040" i="3"/>
  <c r="C1040" i="3"/>
  <c r="D1040" i="3"/>
  <c r="E1040" i="3"/>
  <c r="B1041" i="3"/>
  <c r="C1041" i="3"/>
  <c r="D1041" i="3"/>
  <c r="E1041" i="3"/>
  <c r="B1042" i="3"/>
  <c r="C1042" i="3"/>
  <c r="D1042" i="3"/>
  <c r="E1042" i="3"/>
  <c r="B1043" i="3"/>
  <c r="C1043" i="3"/>
  <c r="D1043" i="3"/>
  <c r="E1043" i="3"/>
  <c r="B1044" i="3"/>
  <c r="C1044" i="3"/>
  <c r="D1044" i="3"/>
  <c r="E1044" i="3"/>
  <c r="B1045" i="3"/>
  <c r="C1045" i="3"/>
  <c r="D1045" i="3"/>
  <c r="E1045" i="3"/>
  <c r="B1046" i="3"/>
  <c r="C1046" i="3"/>
  <c r="D1046" i="3"/>
  <c r="E1046" i="3"/>
  <c r="B1047" i="3"/>
  <c r="C1047" i="3"/>
  <c r="D1047" i="3"/>
  <c r="E1047" i="3"/>
  <c r="B1048" i="3"/>
  <c r="C1048" i="3"/>
  <c r="D1048" i="3"/>
  <c r="E1048" i="3"/>
  <c r="B1049" i="3"/>
  <c r="C1049" i="3"/>
  <c r="D1049" i="3"/>
  <c r="E1049" i="3"/>
  <c r="B1050" i="3"/>
  <c r="C1050" i="3"/>
  <c r="D1050" i="3"/>
  <c r="E1050" i="3"/>
  <c r="B1051" i="3"/>
  <c r="C1051" i="3"/>
  <c r="D1051" i="3"/>
  <c r="E1051" i="3"/>
  <c r="B1052" i="3"/>
  <c r="C1052" i="3"/>
  <c r="D1052" i="3"/>
  <c r="E1052" i="3"/>
  <c r="B1053" i="3"/>
  <c r="C1053" i="3"/>
  <c r="D1053" i="3"/>
  <c r="E1053" i="3"/>
  <c r="B1054" i="3"/>
  <c r="C1054" i="3"/>
  <c r="D1054" i="3"/>
  <c r="E1054" i="3"/>
  <c r="B1055" i="3"/>
  <c r="C1055" i="3"/>
  <c r="D1055" i="3"/>
  <c r="E1055" i="3"/>
  <c r="B1056" i="3"/>
  <c r="C1056" i="3"/>
  <c r="D1056" i="3"/>
  <c r="E1056" i="3"/>
  <c r="B1057" i="3"/>
  <c r="C1057" i="3"/>
  <c r="D1057" i="3"/>
  <c r="E1057" i="3"/>
  <c r="B1058" i="3"/>
  <c r="C1058" i="3"/>
  <c r="D1058" i="3"/>
  <c r="E1058" i="3"/>
  <c r="B1059" i="3"/>
  <c r="C1059" i="3"/>
  <c r="D1059" i="3"/>
  <c r="E1059" i="3"/>
  <c r="B1060" i="3"/>
  <c r="C1060" i="3"/>
  <c r="D1060" i="3"/>
  <c r="E1060" i="3"/>
  <c r="B1062" i="3"/>
  <c r="C1062" i="3"/>
  <c r="D1062" i="3"/>
  <c r="D1063" i="3"/>
  <c r="E1063" i="3"/>
  <c r="C1064" i="3"/>
  <c r="D1064" i="3"/>
  <c r="B1065" i="3"/>
  <c r="D1065" i="3"/>
  <c r="E1065" i="3"/>
  <c r="D1066" i="3"/>
  <c r="C1067" i="3"/>
  <c r="D1067" i="3"/>
  <c r="E1067" i="3"/>
  <c r="D1068" i="3"/>
  <c r="D1069" i="3"/>
  <c r="E1069" i="3"/>
  <c r="D1070" i="3"/>
  <c r="C1071" i="3"/>
  <c r="D1071" i="3"/>
  <c r="E1071" i="3"/>
  <c r="D1072" i="3"/>
  <c r="D1073" i="3"/>
  <c r="E1073" i="3"/>
  <c r="D1074" i="3"/>
  <c r="D1075" i="3"/>
  <c r="E1075" i="3"/>
  <c r="B1076" i="3"/>
  <c r="C1076" i="3"/>
  <c r="D1076" i="3"/>
  <c r="B1077" i="3"/>
  <c r="D1077" i="3"/>
  <c r="E1077" i="3"/>
  <c r="D1078" i="3"/>
  <c r="B1079" i="3"/>
  <c r="C1079" i="3"/>
  <c r="D1079" i="3"/>
  <c r="E1079" i="3"/>
  <c r="D1080" i="3"/>
  <c r="D1081" i="3"/>
  <c r="D1082" i="3"/>
  <c r="B1083" i="3"/>
  <c r="D1083" i="3"/>
  <c r="E1083" i="3"/>
  <c r="D1084" i="3"/>
  <c r="B1085" i="3"/>
  <c r="D1085" i="3"/>
  <c r="E1085" i="3"/>
  <c r="A1086" i="3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E1086" i="3"/>
  <c r="C1087" i="3"/>
  <c r="D1087" i="3"/>
  <c r="E1087" i="3"/>
  <c r="D1088" i="3"/>
  <c r="E1088" i="3"/>
  <c r="D1089" i="3"/>
  <c r="D1090" i="3"/>
  <c r="E1090" i="3"/>
  <c r="D1091" i="3"/>
  <c r="D1092" i="3"/>
  <c r="E1092" i="3"/>
  <c r="C1093" i="3"/>
  <c r="D1093" i="3"/>
  <c r="E1093" i="3"/>
  <c r="E1094" i="3"/>
  <c r="B1095" i="3"/>
  <c r="D1095" i="3"/>
  <c r="E1095" i="3"/>
  <c r="D1096" i="3"/>
  <c r="E1096" i="3"/>
  <c r="D1097" i="3"/>
  <c r="B1098" i="3"/>
  <c r="D1098" i="3"/>
  <c r="E1098" i="3"/>
  <c r="D1099" i="3"/>
  <c r="E1099" i="3"/>
  <c r="B1100" i="3"/>
  <c r="C1100" i="3"/>
  <c r="D1100" i="3"/>
  <c r="D1101" i="3"/>
  <c r="E1101" i="3"/>
  <c r="B1102" i="3"/>
  <c r="C1102" i="3"/>
  <c r="C1103" i="3"/>
  <c r="D1103" i="3"/>
  <c r="E1103" i="3"/>
  <c r="D1104" i="3"/>
  <c r="E1104" i="3"/>
  <c r="C1105" i="3"/>
  <c r="D1105" i="3"/>
  <c r="D1106" i="3"/>
  <c r="E1106" i="3"/>
  <c r="B1107" i="3"/>
  <c r="D1107" i="3"/>
  <c r="E1107" i="3"/>
  <c r="D1108" i="3"/>
  <c r="E1108" i="3"/>
  <c r="C1109" i="3"/>
  <c r="D1109" i="3"/>
  <c r="E1109" i="3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2" i="2"/>
  <c r="C1062" i="2"/>
  <c r="D1062" i="2"/>
  <c r="E1062" i="2"/>
  <c r="F1062" i="2"/>
  <c r="G1062" i="2"/>
  <c r="I1062" i="2"/>
  <c r="J1062" i="2"/>
  <c r="B1063" i="2"/>
  <c r="C1063" i="2"/>
  <c r="D1063" i="2"/>
  <c r="E1063" i="2"/>
  <c r="F1063" i="2"/>
  <c r="G1063" i="2"/>
  <c r="I1063" i="2"/>
  <c r="J1063" i="2"/>
  <c r="B1064" i="2"/>
  <c r="C1064" i="2"/>
  <c r="D1064" i="2"/>
  <c r="E1064" i="2"/>
  <c r="F1064" i="2"/>
  <c r="G1064" i="2"/>
  <c r="I1064" i="2"/>
  <c r="J1064" i="2"/>
  <c r="B1065" i="2"/>
  <c r="C1065" i="2"/>
  <c r="D1065" i="2"/>
  <c r="E1065" i="2"/>
  <c r="F1065" i="2"/>
  <c r="G1065" i="2"/>
  <c r="H1065" i="2"/>
  <c r="I1065" i="2"/>
  <c r="J1065" i="2"/>
  <c r="B1066" i="2"/>
  <c r="C1066" i="2"/>
  <c r="D1066" i="2"/>
  <c r="E1066" i="2"/>
  <c r="F1066" i="2"/>
  <c r="G1066" i="2"/>
  <c r="H1066" i="2"/>
  <c r="I1066" i="2"/>
  <c r="J1066" i="2"/>
  <c r="B1067" i="2"/>
  <c r="C1067" i="2"/>
  <c r="D1067" i="2"/>
  <c r="E1067" i="2"/>
  <c r="F1067" i="2"/>
  <c r="G1067" i="2"/>
  <c r="H1067" i="2"/>
  <c r="I1067" i="2"/>
  <c r="J1067" i="2"/>
  <c r="B1068" i="2"/>
  <c r="C1068" i="2"/>
  <c r="D1068" i="2"/>
  <c r="E1068" i="2"/>
  <c r="F1068" i="2"/>
  <c r="G1068" i="2"/>
  <c r="H1068" i="2"/>
  <c r="I1068" i="2"/>
  <c r="J1068" i="2"/>
  <c r="B1069" i="2"/>
  <c r="C1069" i="2"/>
  <c r="D1069" i="2"/>
  <c r="E1069" i="2"/>
  <c r="F1069" i="2"/>
  <c r="G1069" i="2"/>
  <c r="H1069" i="2"/>
  <c r="I1069" i="2"/>
  <c r="J1069" i="2"/>
  <c r="B1070" i="2"/>
  <c r="C1070" i="2"/>
  <c r="D1070" i="2"/>
  <c r="E1070" i="2"/>
  <c r="F1070" i="2"/>
  <c r="G1070" i="2"/>
  <c r="H1070" i="2"/>
  <c r="I1070" i="2"/>
  <c r="J1070" i="2"/>
  <c r="B1071" i="2"/>
  <c r="C1071" i="2"/>
  <c r="D1071" i="2"/>
  <c r="E1071" i="2"/>
  <c r="F1071" i="2"/>
  <c r="G1071" i="2"/>
  <c r="H1071" i="2"/>
  <c r="I1071" i="2"/>
  <c r="J1071" i="2"/>
  <c r="B1072" i="2"/>
  <c r="C1072" i="2"/>
  <c r="D1072" i="2"/>
  <c r="E1072" i="2"/>
  <c r="F1072" i="2"/>
  <c r="G1072" i="2"/>
  <c r="H1072" i="2"/>
  <c r="I1072" i="2"/>
  <c r="J1072" i="2"/>
  <c r="B1073" i="2"/>
  <c r="C1073" i="2"/>
  <c r="D1073" i="2"/>
  <c r="E1073" i="2"/>
  <c r="F1073" i="2"/>
  <c r="G1073" i="2"/>
  <c r="H1073" i="2"/>
  <c r="I1073" i="2"/>
  <c r="J1073" i="2"/>
  <c r="B1074" i="2"/>
  <c r="C1074" i="2"/>
  <c r="D1074" i="2"/>
  <c r="E1074" i="2"/>
  <c r="F1074" i="2"/>
  <c r="G1074" i="2"/>
  <c r="H1074" i="2"/>
  <c r="I1074" i="2"/>
  <c r="J1074" i="2"/>
  <c r="B1075" i="2"/>
  <c r="C1075" i="2"/>
  <c r="D1075" i="2"/>
  <c r="E1075" i="2"/>
  <c r="F1075" i="2"/>
  <c r="G1075" i="2"/>
  <c r="H1075" i="2"/>
  <c r="I1075" i="2"/>
  <c r="J1075" i="2"/>
  <c r="B1076" i="2"/>
  <c r="C1076" i="2"/>
  <c r="D1076" i="2"/>
  <c r="E1076" i="2"/>
  <c r="F1076" i="2"/>
  <c r="G1076" i="2"/>
  <c r="H1076" i="2"/>
  <c r="I1076" i="2"/>
  <c r="J1076" i="2"/>
  <c r="B1077" i="2"/>
  <c r="C1077" i="2"/>
  <c r="D1077" i="2"/>
  <c r="E1077" i="2"/>
  <c r="F1077" i="2"/>
  <c r="G1077" i="2"/>
  <c r="H1077" i="2"/>
  <c r="I1077" i="2"/>
  <c r="J1077" i="2"/>
  <c r="B1078" i="2"/>
  <c r="C1078" i="2"/>
  <c r="D1078" i="2"/>
  <c r="E1078" i="2"/>
  <c r="F1078" i="2"/>
  <c r="G1078" i="2"/>
  <c r="H1078" i="2"/>
  <c r="I1078" i="2"/>
  <c r="J1078" i="2"/>
  <c r="B1079" i="2"/>
  <c r="C1079" i="2"/>
  <c r="D1079" i="2"/>
  <c r="E1079" i="2"/>
  <c r="F1079" i="2"/>
  <c r="G1079" i="2"/>
  <c r="H1079" i="2"/>
  <c r="I1079" i="2"/>
  <c r="J1079" i="2"/>
  <c r="B1080" i="2"/>
  <c r="C1080" i="2"/>
  <c r="D1080" i="2"/>
  <c r="E1080" i="2"/>
  <c r="F1080" i="2"/>
  <c r="G1080" i="2"/>
  <c r="H1080" i="2"/>
  <c r="I1080" i="2"/>
  <c r="J1080" i="2"/>
  <c r="B1081" i="2"/>
  <c r="C1081" i="2"/>
  <c r="D1081" i="2"/>
  <c r="E1081" i="2"/>
  <c r="F1081" i="2"/>
  <c r="G1081" i="2"/>
  <c r="H1081" i="2"/>
  <c r="I1081" i="2"/>
  <c r="J1081" i="2"/>
  <c r="B1082" i="2"/>
  <c r="C1082" i="2"/>
  <c r="D1082" i="2"/>
  <c r="E1082" i="2"/>
  <c r="F1082" i="2"/>
  <c r="G1082" i="2"/>
  <c r="H1082" i="2"/>
  <c r="I1082" i="2"/>
  <c r="J1082" i="2"/>
  <c r="B1083" i="2"/>
  <c r="C1083" i="2"/>
  <c r="D1083" i="2"/>
  <c r="E1083" i="2"/>
  <c r="F1083" i="2"/>
  <c r="G1083" i="2"/>
  <c r="H1083" i="2"/>
  <c r="I1083" i="2"/>
  <c r="J1083" i="2"/>
  <c r="B1084" i="2"/>
  <c r="C1084" i="2"/>
  <c r="D1084" i="2"/>
  <c r="E1084" i="2"/>
  <c r="F1084" i="2"/>
  <c r="G1084" i="2"/>
  <c r="H1084" i="2"/>
  <c r="I1084" i="2"/>
  <c r="J1084" i="2"/>
  <c r="B1085" i="2"/>
  <c r="C1085" i="2"/>
  <c r="D1085" i="2"/>
  <c r="E1085" i="2"/>
  <c r="F1085" i="2"/>
  <c r="G1085" i="2"/>
  <c r="H1085" i="2"/>
  <c r="I1085" i="2"/>
  <c r="J1085" i="2"/>
  <c r="A1086" i="2"/>
  <c r="B1086" i="2" s="1"/>
  <c r="C1086" i="2"/>
  <c r="D1086" i="2"/>
  <c r="E1086" i="2"/>
  <c r="F1086" i="2"/>
  <c r="G1086" i="2"/>
  <c r="H1086" i="2"/>
  <c r="I1086" i="2"/>
  <c r="J1086" i="2"/>
  <c r="A1087" i="2"/>
  <c r="B1087" i="2"/>
  <c r="C1087" i="2"/>
  <c r="D1087" i="2"/>
  <c r="E1087" i="2"/>
  <c r="F1087" i="2"/>
  <c r="G1087" i="2"/>
  <c r="H1087" i="2"/>
  <c r="I1087" i="2"/>
  <c r="J1087" i="2"/>
  <c r="A1088" i="2"/>
  <c r="A1089" i="2" s="1"/>
  <c r="B1088" i="2"/>
  <c r="C1088" i="2"/>
  <c r="D1088" i="2"/>
  <c r="E1088" i="2"/>
  <c r="F1088" i="2"/>
  <c r="G1088" i="2"/>
  <c r="H1088" i="2"/>
  <c r="I1088" i="2"/>
  <c r="J1088" i="2"/>
  <c r="C1089" i="2"/>
  <c r="D1089" i="2"/>
  <c r="E1089" i="2"/>
  <c r="F1089" i="2"/>
  <c r="G1089" i="2"/>
  <c r="H1089" i="2"/>
  <c r="I1089" i="2"/>
  <c r="J1089" i="2"/>
  <c r="C1090" i="2"/>
  <c r="D1090" i="2"/>
  <c r="E1090" i="2"/>
  <c r="F1090" i="2"/>
  <c r="G1090" i="2"/>
  <c r="H1090" i="2"/>
  <c r="I1090" i="2"/>
  <c r="J1090" i="2"/>
  <c r="C1091" i="2"/>
  <c r="D1091" i="2"/>
  <c r="E1091" i="2"/>
  <c r="F1091" i="2"/>
  <c r="G1091" i="2"/>
  <c r="H1091" i="2"/>
  <c r="I1091" i="2"/>
  <c r="J1091" i="2"/>
  <c r="C1092" i="2"/>
  <c r="D1092" i="2"/>
  <c r="E1092" i="2"/>
  <c r="F1092" i="2"/>
  <c r="G1092" i="2"/>
  <c r="H1092" i="2"/>
  <c r="I1092" i="2"/>
  <c r="J1092" i="2"/>
  <c r="C1093" i="2"/>
  <c r="D1093" i="2"/>
  <c r="E1093" i="2"/>
  <c r="F1093" i="2"/>
  <c r="G1093" i="2"/>
  <c r="H1093" i="2"/>
  <c r="I1093" i="2"/>
  <c r="J1093" i="2"/>
  <c r="C1094" i="2"/>
  <c r="D1094" i="2"/>
  <c r="E1094" i="2"/>
  <c r="F1094" i="2"/>
  <c r="G1094" i="2"/>
  <c r="H1094" i="2"/>
  <c r="I1094" i="2"/>
  <c r="J1094" i="2"/>
  <c r="C1095" i="2"/>
  <c r="D1095" i="2"/>
  <c r="E1095" i="2"/>
  <c r="F1095" i="2"/>
  <c r="G1095" i="2"/>
  <c r="H1095" i="2"/>
  <c r="I1095" i="2"/>
  <c r="J1095" i="2"/>
  <c r="C1096" i="2"/>
  <c r="D1096" i="2"/>
  <c r="E1096" i="2"/>
  <c r="F1096" i="2"/>
  <c r="G1096" i="2"/>
  <c r="H1096" i="2"/>
  <c r="I1096" i="2"/>
  <c r="J1096" i="2"/>
  <c r="C1097" i="2"/>
  <c r="D1097" i="2"/>
  <c r="E1097" i="2"/>
  <c r="F1097" i="2"/>
  <c r="G1097" i="2"/>
  <c r="H1097" i="2"/>
  <c r="I1097" i="2"/>
  <c r="J1097" i="2"/>
  <c r="C1098" i="2"/>
  <c r="D1098" i="2"/>
  <c r="E1098" i="2"/>
  <c r="F1098" i="2"/>
  <c r="G1098" i="2"/>
  <c r="H1098" i="2"/>
  <c r="I1098" i="2"/>
  <c r="J1098" i="2"/>
  <c r="C1099" i="2"/>
  <c r="D1099" i="2"/>
  <c r="E1099" i="2"/>
  <c r="F1099" i="2"/>
  <c r="G1099" i="2"/>
  <c r="H1099" i="2"/>
  <c r="I1099" i="2"/>
  <c r="J1099" i="2"/>
  <c r="C1100" i="2"/>
  <c r="D1100" i="2"/>
  <c r="E1100" i="2"/>
  <c r="F1100" i="2"/>
  <c r="G1100" i="2"/>
  <c r="H1100" i="2"/>
  <c r="I1100" i="2"/>
  <c r="J1100" i="2"/>
  <c r="C1101" i="2"/>
  <c r="D1101" i="2"/>
  <c r="E1101" i="2"/>
  <c r="F1101" i="2"/>
  <c r="G1101" i="2"/>
  <c r="H1101" i="2"/>
  <c r="I1101" i="2"/>
  <c r="J1101" i="2"/>
  <c r="C1102" i="2"/>
  <c r="D1102" i="2"/>
  <c r="E1102" i="2"/>
  <c r="F1102" i="2"/>
  <c r="G1102" i="2"/>
  <c r="H1102" i="2"/>
  <c r="I1102" i="2"/>
  <c r="J1102" i="2"/>
  <c r="C1103" i="2"/>
  <c r="D1103" i="2"/>
  <c r="E1103" i="2"/>
  <c r="F1103" i="2"/>
  <c r="G1103" i="2"/>
  <c r="H1103" i="2"/>
  <c r="I1103" i="2"/>
  <c r="J1103" i="2"/>
  <c r="C1104" i="2"/>
  <c r="D1104" i="2"/>
  <c r="E1104" i="2"/>
  <c r="F1104" i="2"/>
  <c r="G1104" i="2"/>
  <c r="H1104" i="2"/>
  <c r="I1104" i="2"/>
  <c r="J1104" i="2"/>
  <c r="C1105" i="2"/>
  <c r="D1105" i="2"/>
  <c r="E1105" i="2"/>
  <c r="F1105" i="2"/>
  <c r="G1105" i="2"/>
  <c r="H1105" i="2"/>
  <c r="I1105" i="2"/>
  <c r="J1105" i="2"/>
  <c r="C1106" i="2"/>
  <c r="D1106" i="2"/>
  <c r="E1106" i="2"/>
  <c r="F1106" i="2"/>
  <c r="G1106" i="2"/>
  <c r="H1106" i="2"/>
  <c r="I1106" i="2"/>
  <c r="J1106" i="2"/>
  <c r="C1107" i="2"/>
  <c r="D1107" i="2"/>
  <c r="E1107" i="2"/>
  <c r="F1107" i="2"/>
  <c r="G1107" i="2"/>
  <c r="H1107" i="2"/>
  <c r="I1107" i="2"/>
  <c r="J1107" i="2"/>
  <c r="C1108" i="2"/>
  <c r="D1108" i="2"/>
  <c r="E1108" i="2"/>
  <c r="F1108" i="2"/>
  <c r="G1108" i="2"/>
  <c r="H1108" i="2"/>
  <c r="I1108" i="2"/>
  <c r="J1108" i="2"/>
  <c r="C1109" i="2"/>
  <c r="D1109" i="2"/>
  <c r="E1109" i="2"/>
  <c r="F1109" i="2"/>
  <c r="G1109" i="2"/>
  <c r="H1109" i="2"/>
  <c r="I1109" i="2"/>
  <c r="J1109" i="2"/>
  <c r="D11" i="1"/>
  <c r="F11" i="1"/>
  <c r="B22" i="1"/>
  <c r="C22" i="1"/>
  <c r="D22" i="1"/>
  <c r="E22" i="1"/>
  <c r="F22" i="1"/>
  <c r="G22" i="1"/>
  <c r="H22" i="1"/>
  <c r="I22" i="1"/>
  <c r="J22" i="1"/>
  <c r="K22" i="1"/>
  <c r="B23" i="1"/>
  <c r="C23" i="1"/>
  <c r="D23" i="1"/>
  <c r="E23" i="1"/>
  <c r="F23" i="1"/>
  <c r="G23" i="1"/>
  <c r="H23" i="1"/>
  <c r="I23" i="1"/>
  <c r="J23" i="1"/>
  <c r="K23" i="1"/>
  <c r="R23" i="1"/>
  <c r="R1062" i="1" s="1"/>
  <c r="B24" i="1"/>
  <c r="C24" i="1"/>
  <c r="D24" i="1"/>
  <c r="E24" i="1"/>
  <c r="F24" i="1"/>
  <c r="G24" i="1"/>
  <c r="H24" i="1"/>
  <c r="I24" i="1"/>
  <c r="J24" i="1"/>
  <c r="K24" i="1"/>
  <c r="R24" i="1"/>
  <c r="B25" i="1"/>
  <c r="C25" i="1"/>
  <c r="D25" i="1"/>
  <c r="E25" i="1"/>
  <c r="F25" i="1"/>
  <c r="G25" i="1"/>
  <c r="H25" i="1"/>
  <c r="I25" i="1"/>
  <c r="J25" i="1"/>
  <c r="K25" i="1"/>
  <c r="R25" i="1"/>
  <c r="B26" i="1"/>
  <c r="C26" i="1"/>
  <c r="D26" i="1"/>
  <c r="E26" i="1"/>
  <c r="F26" i="1"/>
  <c r="G26" i="1"/>
  <c r="H26" i="1"/>
  <c r="I26" i="1"/>
  <c r="J26" i="1"/>
  <c r="K26" i="1"/>
  <c r="R26" i="1"/>
  <c r="B27" i="1"/>
  <c r="C27" i="1"/>
  <c r="D27" i="1"/>
  <c r="E27" i="1"/>
  <c r="F27" i="1"/>
  <c r="G27" i="1"/>
  <c r="H27" i="1"/>
  <c r="I27" i="1"/>
  <c r="J27" i="1"/>
  <c r="K27" i="1"/>
  <c r="R27" i="1"/>
  <c r="B28" i="1"/>
  <c r="C28" i="1"/>
  <c r="D28" i="1"/>
  <c r="E28" i="1"/>
  <c r="F28" i="1"/>
  <c r="G28" i="1"/>
  <c r="H28" i="1"/>
  <c r="I28" i="1"/>
  <c r="J28" i="1"/>
  <c r="K28" i="1"/>
  <c r="R28" i="1"/>
  <c r="B29" i="1"/>
  <c r="C29" i="1"/>
  <c r="D29" i="1"/>
  <c r="E29" i="1"/>
  <c r="F29" i="1"/>
  <c r="G29" i="1"/>
  <c r="H29" i="1"/>
  <c r="I29" i="1"/>
  <c r="J29" i="1"/>
  <c r="K29" i="1"/>
  <c r="R29" i="1"/>
  <c r="B30" i="1"/>
  <c r="C30" i="1"/>
  <c r="D30" i="1"/>
  <c r="E30" i="1"/>
  <c r="F30" i="1"/>
  <c r="G30" i="1"/>
  <c r="H30" i="1"/>
  <c r="I30" i="1"/>
  <c r="J30" i="1"/>
  <c r="K30" i="1"/>
  <c r="R30" i="1"/>
  <c r="B31" i="1"/>
  <c r="C31" i="1"/>
  <c r="D31" i="1"/>
  <c r="E31" i="1"/>
  <c r="F31" i="1"/>
  <c r="G31" i="1"/>
  <c r="H31" i="1"/>
  <c r="I31" i="1"/>
  <c r="J31" i="1"/>
  <c r="K31" i="1"/>
  <c r="R31" i="1"/>
  <c r="B32" i="1"/>
  <c r="C32" i="1"/>
  <c r="D32" i="1"/>
  <c r="E32" i="1"/>
  <c r="F32" i="1"/>
  <c r="G32" i="1"/>
  <c r="H32" i="1"/>
  <c r="I32" i="1"/>
  <c r="J32" i="1"/>
  <c r="K32" i="1"/>
  <c r="R32" i="1"/>
  <c r="B33" i="1"/>
  <c r="C33" i="1"/>
  <c r="D33" i="1"/>
  <c r="E33" i="1"/>
  <c r="F33" i="1"/>
  <c r="G33" i="1"/>
  <c r="H33" i="1"/>
  <c r="I33" i="1"/>
  <c r="J33" i="1"/>
  <c r="K33" i="1"/>
  <c r="R33" i="1"/>
  <c r="B34" i="1"/>
  <c r="C34" i="1"/>
  <c r="D34" i="1"/>
  <c r="E34" i="1"/>
  <c r="F34" i="1"/>
  <c r="G34" i="1"/>
  <c r="H34" i="1"/>
  <c r="I34" i="1"/>
  <c r="J34" i="1"/>
  <c r="K34" i="1"/>
  <c r="R34" i="1"/>
  <c r="B35" i="1"/>
  <c r="C35" i="1"/>
  <c r="D35" i="1"/>
  <c r="E35" i="1"/>
  <c r="F35" i="1"/>
  <c r="G35" i="1"/>
  <c r="H35" i="1"/>
  <c r="I35" i="1"/>
  <c r="J35" i="1"/>
  <c r="K35" i="1"/>
  <c r="R35" i="1"/>
  <c r="B36" i="1"/>
  <c r="C36" i="1"/>
  <c r="D36" i="1"/>
  <c r="E36" i="1"/>
  <c r="F36" i="1"/>
  <c r="G36" i="1"/>
  <c r="H36" i="1"/>
  <c r="I36" i="1"/>
  <c r="J36" i="1"/>
  <c r="K36" i="1"/>
  <c r="R36" i="1"/>
  <c r="B37" i="1"/>
  <c r="C37" i="1"/>
  <c r="D37" i="1"/>
  <c r="E37" i="1"/>
  <c r="F37" i="1"/>
  <c r="G37" i="1"/>
  <c r="H37" i="1"/>
  <c r="I37" i="1"/>
  <c r="J37" i="1"/>
  <c r="K37" i="1"/>
  <c r="R37" i="1"/>
  <c r="B38" i="1"/>
  <c r="C38" i="1"/>
  <c r="D38" i="1"/>
  <c r="E38" i="1"/>
  <c r="F38" i="1"/>
  <c r="G38" i="1"/>
  <c r="H38" i="1"/>
  <c r="I38" i="1"/>
  <c r="J38" i="1"/>
  <c r="K38" i="1"/>
  <c r="R38" i="1"/>
  <c r="B39" i="1"/>
  <c r="C39" i="1"/>
  <c r="D39" i="1"/>
  <c r="E39" i="1"/>
  <c r="F39" i="1"/>
  <c r="G39" i="1"/>
  <c r="H39" i="1"/>
  <c r="I39" i="1"/>
  <c r="J39" i="1"/>
  <c r="K39" i="1"/>
  <c r="R39" i="1"/>
  <c r="B40" i="1"/>
  <c r="C40" i="1"/>
  <c r="D40" i="1"/>
  <c r="E40" i="1"/>
  <c r="F40" i="1"/>
  <c r="G40" i="1"/>
  <c r="H40" i="1"/>
  <c r="I40" i="1"/>
  <c r="J40" i="1"/>
  <c r="K40" i="1"/>
  <c r="R40" i="1"/>
  <c r="B41" i="1"/>
  <c r="C41" i="1"/>
  <c r="D41" i="1"/>
  <c r="E41" i="1"/>
  <c r="F41" i="1"/>
  <c r="G41" i="1"/>
  <c r="H41" i="1"/>
  <c r="I41" i="1"/>
  <c r="J41" i="1"/>
  <c r="R41" i="1"/>
  <c r="B42" i="1"/>
  <c r="C42" i="1"/>
  <c r="D42" i="1"/>
  <c r="E42" i="1"/>
  <c r="F42" i="1"/>
  <c r="G42" i="1"/>
  <c r="H42" i="1"/>
  <c r="I42" i="1"/>
  <c r="J42" i="1"/>
  <c r="R42" i="1"/>
  <c r="B43" i="1"/>
  <c r="C43" i="1"/>
  <c r="D43" i="1"/>
  <c r="E43" i="1"/>
  <c r="F43" i="1"/>
  <c r="G43" i="1"/>
  <c r="H43" i="1"/>
  <c r="I43" i="1"/>
  <c r="J43" i="1"/>
  <c r="R43" i="1"/>
  <c r="B44" i="1"/>
  <c r="C44" i="1"/>
  <c r="D44" i="1"/>
  <c r="E44" i="1"/>
  <c r="F44" i="1"/>
  <c r="G44" i="1"/>
  <c r="H44" i="1"/>
  <c r="I44" i="1"/>
  <c r="J44" i="1"/>
  <c r="R44" i="1"/>
  <c r="B45" i="1"/>
  <c r="C45" i="1"/>
  <c r="D45" i="1"/>
  <c r="E45" i="1"/>
  <c r="F45" i="1"/>
  <c r="G45" i="1"/>
  <c r="H45" i="1"/>
  <c r="I45" i="1"/>
  <c r="J45" i="1"/>
  <c r="R45" i="1"/>
  <c r="B46" i="1"/>
  <c r="C46" i="1"/>
  <c r="D46" i="1"/>
  <c r="E46" i="1"/>
  <c r="F46" i="1"/>
  <c r="G46" i="1"/>
  <c r="H46" i="1"/>
  <c r="I46" i="1"/>
  <c r="J46" i="1"/>
  <c r="R46" i="1"/>
  <c r="B47" i="1"/>
  <c r="C47" i="1"/>
  <c r="D47" i="1"/>
  <c r="E47" i="1"/>
  <c r="F47" i="1"/>
  <c r="G47" i="1"/>
  <c r="H47" i="1"/>
  <c r="I47" i="1"/>
  <c r="J47" i="1"/>
  <c r="R47" i="1"/>
  <c r="B48" i="1"/>
  <c r="C48" i="1"/>
  <c r="D48" i="1"/>
  <c r="E48" i="1"/>
  <c r="F48" i="1"/>
  <c r="G48" i="1"/>
  <c r="H48" i="1"/>
  <c r="I48" i="1"/>
  <c r="J48" i="1"/>
  <c r="R48" i="1"/>
  <c r="B49" i="1"/>
  <c r="C49" i="1"/>
  <c r="D49" i="1"/>
  <c r="E49" i="1"/>
  <c r="F49" i="1"/>
  <c r="G49" i="1"/>
  <c r="H49" i="1"/>
  <c r="I49" i="1"/>
  <c r="J49" i="1"/>
  <c r="R49" i="1"/>
  <c r="B50" i="1"/>
  <c r="C50" i="1"/>
  <c r="D50" i="1"/>
  <c r="E50" i="1"/>
  <c r="F50" i="1"/>
  <c r="G50" i="1"/>
  <c r="H50" i="1"/>
  <c r="I50" i="1"/>
  <c r="J50" i="1"/>
  <c r="R50" i="1"/>
  <c r="B51" i="1"/>
  <c r="C51" i="1"/>
  <c r="D51" i="1"/>
  <c r="E51" i="1"/>
  <c r="F51" i="1"/>
  <c r="G51" i="1"/>
  <c r="H51" i="1"/>
  <c r="I51" i="1"/>
  <c r="J51" i="1"/>
  <c r="R51" i="1"/>
  <c r="B52" i="1"/>
  <c r="C52" i="1"/>
  <c r="D52" i="1"/>
  <c r="E52" i="1"/>
  <c r="F52" i="1"/>
  <c r="G52" i="1"/>
  <c r="H52" i="1"/>
  <c r="I52" i="1"/>
  <c r="J52" i="1"/>
  <c r="R52" i="1"/>
  <c r="B53" i="1"/>
  <c r="C53" i="1"/>
  <c r="D53" i="1"/>
  <c r="E53" i="1"/>
  <c r="F53" i="1"/>
  <c r="G53" i="1"/>
  <c r="H53" i="1"/>
  <c r="I53" i="1"/>
  <c r="J53" i="1"/>
  <c r="R53" i="1"/>
  <c r="B54" i="1"/>
  <c r="C54" i="1"/>
  <c r="D54" i="1"/>
  <c r="E54" i="1"/>
  <c r="F54" i="1"/>
  <c r="G54" i="1"/>
  <c r="H54" i="1"/>
  <c r="I54" i="1"/>
  <c r="J54" i="1"/>
  <c r="R54" i="1"/>
  <c r="B55" i="1"/>
  <c r="C55" i="1"/>
  <c r="D55" i="1"/>
  <c r="E55" i="1"/>
  <c r="F55" i="1"/>
  <c r="G55" i="1"/>
  <c r="H55" i="1"/>
  <c r="I55" i="1"/>
  <c r="J55" i="1"/>
  <c r="R55" i="1"/>
  <c r="B56" i="1"/>
  <c r="C56" i="1"/>
  <c r="D56" i="1"/>
  <c r="E56" i="1"/>
  <c r="F56" i="1"/>
  <c r="G56" i="1"/>
  <c r="H56" i="1"/>
  <c r="I56" i="1"/>
  <c r="J56" i="1"/>
  <c r="R56" i="1"/>
  <c r="B57" i="1"/>
  <c r="C57" i="1"/>
  <c r="D57" i="1"/>
  <c r="E57" i="1"/>
  <c r="F57" i="1"/>
  <c r="G57" i="1"/>
  <c r="H57" i="1"/>
  <c r="I57" i="1"/>
  <c r="J57" i="1"/>
  <c r="B58" i="1"/>
  <c r="C58" i="1"/>
  <c r="D58" i="1"/>
  <c r="E58" i="1"/>
  <c r="F58" i="1"/>
  <c r="G58" i="1"/>
  <c r="H58" i="1"/>
  <c r="I58" i="1"/>
  <c r="J58" i="1"/>
  <c r="B59" i="1"/>
  <c r="C59" i="1"/>
  <c r="D59" i="1"/>
  <c r="E59" i="1"/>
  <c r="F59" i="1"/>
  <c r="G59" i="1"/>
  <c r="H59" i="1"/>
  <c r="I59" i="1"/>
  <c r="J59" i="1"/>
  <c r="B60" i="1"/>
  <c r="C60" i="1"/>
  <c r="D60" i="1"/>
  <c r="E60" i="1"/>
  <c r="F60" i="1"/>
  <c r="G60" i="1"/>
  <c r="H60" i="1"/>
  <c r="I60" i="1"/>
  <c r="J60" i="1"/>
  <c r="B61" i="1"/>
  <c r="C61" i="1"/>
  <c r="D61" i="1"/>
  <c r="E61" i="1"/>
  <c r="F61" i="1"/>
  <c r="G61" i="1"/>
  <c r="H61" i="1"/>
  <c r="I61" i="1"/>
  <c r="J61" i="1"/>
  <c r="B62" i="1"/>
  <c r="C62" i="1"/>
  <c r="D62" i="1"/>
  <c r="E62" i="1"/>
  <c r="F62" i="1"/>
  <c r="G62" i="1"/>
  <c r="H62" i="1"/>
  <c r="I62" i="1"/>
  <c r="J62" i="1"/>
  <c r="B63" i="1"/>
  <c r="C63" i="1"/>
  <c r="D63" i="1"/>
  <c r="E63" i="1"/>
  <c r="F63" i="1"/>
  <c r="G63" i="1"/>
  <c r="H63" i="1"/>
  <c r="I63" i="1"/>
  <c r="J63" i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B66" i="1"/>
  <c r="C66" i="1"/>
  <c r="D66" i="1"/>
  <c r="E66" i="1"/>
  <c r="F66" i="1"/>
  <c r="G66" i="1"/>
  <c r="H66" i="1"/>
  <c r="I66" i="1"/>
  <c r="J66" i="1"/>
  <c r="B67" i="1"/>
  <c r="C67" i="1"/>
  <c r="D67" i="1"/>
  <c r="E67" i="1"/>
  <c r="F67" i="1"/>
  <c r="G67" i="1"/>
  <c r="H67" i="1"/>
  <c r="I67" i="1"/>
  <c r="J67" i="1"/>
  <c r="B68" i="1"/>
  <c r="C68" i="1"/>
  <c r="D68" i="1"/>
  <c r="E68" i="1"/>
  <c r="F68" i="1"/>
  <c r="G68" i="1"/>
  <c r="H68" i="1"/>
  <c r="I68" i="1"/>
  <c r="J68" i="1"/>
  <c r="B69" i="1"/>
  <c r="C69" i="1"/>
  <c r="D69" i="1"/>
  <c r="E69" i="1"/>
  <c r="F69" i="1"/>
  <c r="G69" i="1"/>
  <c r="H69" i="1"/>
  <c r="I69" i="1"/>
  <c r="J69" i="1"/>
  <c r="B70" i="1"/>
  <c r="C70" i="1"/>
  <c r="D70" i="1"/>
  <c r="E70" i="1"/>
  <c r="F70" i="1"/>
  <c r="G70" i="1"/>
  <c r="H70" i="1"/>
  <c r="I70" i="1"/>
  <c r="J70" i="1"/>
  <c r="B71" i="1"/>
  <c r="C71" i="1"/>
  <c r="D71" i="1"/>
  <c r="E71" i="1"/>
  <c r="F71" i="1"/>
  <c r="G71" i="1"/>
  <c r="H71" i="1"/>
  <c r="I71" i="1"/>
  <c r="J71" i="1"/>
  <c r="B72" i="1"/>
  <c r="C72" i="1"/>
  <c r="D72" i="1"/>
  <c r="E72" i="1"/>
  <c r="F72" i="1"/>
  <c r="G72" i="1"/>
  <c r="H72" i="1"/>
  <c r="I72" i="1"/>
  <c r="J72" i="1"/>
  <c r="B73" i="1"/>
  <c r="C73" i="1"/>
  <c r="D73" i="1"/>
  <c r="E73" i="1"/>
  <c r="F73" i="1"/>
  <c r="G73" i="1"/>
  <c r="H73" i="1"/>
  <c r="I73" i="1"/>
  <c r="J73" i="1"/>
  <c r="B74" i="1"/>
  <c r="C74" i="1"/>
  <c r="D74" i="1"/>
  <c r="E74" i="1"/>
  <c r="F74" i="1"/>
  <c r="G74" i="1"/>
  <c r="H74" i="1"/>
  <c r="I74" i="1"/>
  <c r="J74" i="1"/>
  <c r="B75" i="1"/>
  <c r="C75" i="1"/>
  <c r="D75" i="1"/>
  <c r="E75" i="1"/>
  <c r="F75" i="1"/>
  <c r="G75" i="1"/>
  <c r="H75" i="1"/>
  <c r="I75" i="1"/>
  <c r="J75" i="1"/>
  <c r="B76" i="1"/>
  <c r="C76" i="1"/>
  <c r="D76" i="1"/>
  <c r="E76" i="1"/>
  <c r="F76" i="1"/>
  <c r="G76" i="1"/>
  <c r="H76" i="1"/>
  <c r="I76" i="1"/>
  <c r="J76" i="1"/>
  <c r="B77" i="1"/>
  <c r="C77" i="1"/>
  <c r="D77" i="1"/>
  <c r="E77" i="1"/>
  <c r="F77" i="1"/>
  <c r="G77" i="1"/>
  <c r="H77" i="1"/>
  <c r="I77" i="1"/>
  <c r="J77" i="1"/>
  <c r="B78" i="1"/>
  <c r="C78" i="1"/>
  <c r="D78" i="1"/>
  <c r="E78" i="1"/>
  <c r="F78" i="1"/>
  <c r="G78" i="1"/>
  <c r="H78" i="1"/>
  <c r="I78" i="1"/>
  <c r="J78" i="1"/>
  <c r="B79" i="1"/>
  <c r="C79" i="1"/>
  <c r="D79" i="1"/>
  <c r="E79" i="1"/>
  <c r="F79" i="1"/>
  <c r="G79" i="1"/>
  <c r="H79" i="1"/>
  <c r="I79" i="1"/>
  <c r="J79" i="1"/>
  <c r="B80" i="1"/>
  <c r="C80" i="1"/>
  <c r="D80" i="1"/>
  <c r="E80" i="1"/>
  <c r="F80" i="1"/>
  <c r="G80" i="1"/>
  <c r="H80" i="1"/>
  <c r="I80" i="1"/>
  <c r="J80" i="1"/>
  <c r="B81" i="1"/>
  <c r="C81" i="1"/>
  <c r="D81" i="1"/>
  <c r="E81" i="1"/>
  <c r="F81" i="1"/>
  <c r="G81" i="1"/>
  <c r="H81" i="1"/>
  <c r="I81" i="1"/>
  <c r="J81" i="1"/>
  <c r="B82" i="1"/>
  <c r="C82" i="1"/>
  <c r="D82" i="1"/>
  <c r="E82" i="1"/>
  <c r="F82" i="1"/>
  <c r="G82" i="1"/>
  <c r="H82" i="1"/>
  <c r="I82" i="1"/>
  <c r="J82" i="1"/>
  <c r="B83" i="1"/>
  <c r="C83" i="1"/>
  <c r="D83" i="1"/>
  <c r="E83" i="1"/>
  <c r="F83" i="1"/>
  <c r="G83" i="1"/>
  <c r="H83" i="1"/>
  <c r="I83" i="1"/>
  <c r="J83" i="1"/>
  <c r="B84" i="1"/>
  <c r="C84" i="1"/>
  <c r="D84" i="1"/>
  <c r="E84" i="1"/>
  <c r="F84" i="1"/>
  <c r="G84" i="1"/>
  <c r="H84" i="1"/>
  <c r="I84" i="1"/>
  <c r="J84" i="1"/>
  <c r="B85" i="1"/>
  <c r="C85" i="1"/>
  <c r="D85" i="1"/>
  <c r="E85" i="1"/>
  <c r="F85" i="1"/>
  <c r="G85" i="1"/>
  <c r="H85" i="1"/>
  <c r="I85" i="1"/>
  <c r="J85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B89" i="1"/>
  <c r="C89" i="1"/>
  <c r="D89" i="1"/>
  <c r="E89" i="1"/>
  <c r="F89" i="1"/>
  <c r="G89" i="1"/>
  <c r="H89" i="1"/>
  <c r="I89" i="1"/>
  <c r="J89" i="1"/>
  <c r="B90" i="1"/>
  <c r="C90" i="1"/>
  <c r="D90" i="1"/>
  <c r="E90" i="1"/>
  <c r="F90" i="1"/>
  <c r="G90" i="1"/>
  <c r="H90" i="1"/>
  <c r="I90" i="1"/>
  <c r="J90" i="1"/>
  <c r="B91" i="1"/>
  <c r="C91" i="1"/>
  <c r="D91" i="1"/>
  <c r="E91" i="1"/>
  <c r="F91" i="1"/>
  <c r="G91" i="1"/>
  <c r="H91" i="1"/>
  <c r="I91" i="1"/>
  <c r="J91" i="1"/>
  <c r="B92" i="1"/>
  <c r="C92" i="1"/>
  <c r="D92" i="1"/>
  <c r="E92" i="1"/>
  <c r="F92" i="1"/>
  <c r="G92" i="1"/>
  <c r="H92" i="1"/>
  <c r="I92" i="1"/>
  <c r="J92" i="1"/>
  <c r="B93" i="1"/>
  <c r="C93" i="1"/>
  <c r="D93" i="1"/>
  <c r="E93" i="1"/>
  <c r="F93" i="1"/>
  <c r="G93" i="1"/>
  <c r="H93" i="1"/>
  <c r="I93" i="1"/>
  <c r="J93" i="1"/>
  <c r="B94" i="1"/>
  <c r="C94" i="1"/>
  <c r="D94" i="1"/>
  <c r="E94" i="1"/>
  <c r="F94" i="1"/>
  <c r="G94" i="1"/>
  <c r="H94" i="1"/>
  <c r="I94" i="1"/>
  <c r="J94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B97" i="1"/>
  <c r="C97" i="1"/>
  <c r="D97" i="1"/>
  <c r="E97" i="1"/>
  <c r="F97" i="1"/>
  <c r="G97" i="1"/>
  <c r="H97" i="1"/>
  <c r="I97" i="1"/>
  <c r="J97" i="1"/>
  <c r="B98" i="1"/>
  <c r="C98" i="1"/>
  <c r="D98" i="1"/>
  <c r="E98" i="1"/>
  <c r="F98" i="1"/>
  <c r="G98" i="1"/>
  <c r="H98" i="1"/>
  <c r="I98" i="1"/>
  <c r="J98" i="1"/>
  <c r="B99" i="1"/>
  <c r="C99" i="1"/>
  <c r="D99" i="1"/>
  <c r="E99" i="1"/>
  <c r="F99" i="1"/>
  <c r="G99" i="1"/>
  <c r="H99" i="1"/>
  <c r="I99" i="1"/>
  <c r="J99" i="1"/>
  <c r="B100" i="1"/>
  <c r="C100" i="1"/>
  <c r="D100" i="1"/>
  <c r="E100" i="1"/>
  <c r="F100" i="1"/>
  <c r="G100" i="1"/>
  <c r="H100" i="1"/>
  <c r="I100" i="1"/>
  <c r="J100" i="1"/>
  <c r="B101" i="1"/>
  <c r="C101" i="1"/>
  <c r="D101" i="1"/>
  <c r="E101" i="1"/>
  <c r="F101" i="1"/>
  <c r="G101" i="1"/>
  <c r="H101" i="1"/>
  <c r="I101" i="1"/>
  <c r="J101" i="1"/>
  <c r="B102" i="1"/>
  <c r="C102" i="1"/>
  <c r="D102" i="1"/>
  <c r="E102" i="1"/>
  <c r="F102" i="1"/>
  <c r="G102" i="1"/>
  <c r="H102" i="1"/>
  <c r="I102" i="1"/>
  <c r="J102" i="1"/>
  <c r="B103" i="1"/>
  <c r="C103" i="1"/>
  <c r="D103" i="1"/>
  <c r="E103" i="1"/>
  <c r="F103" i="1"/>
  <c r="G103" i="1"/>
  <c r="H103" i="1"/>
  <c r="I103" i="1"/>
  <c r="J103" i="1"/>
  <c r="B104" i="1"/>
  <c r="C104" i="1"/>
  <c r="D104" i="1"/>
  <c r="E104" i="1"/>
  <c r="F104" i="1"/>
  <c r="G104" i="1"/>
  <c r="H104" i="1"/>
  <c r="I104" i="1"/>
  <c r="J104" i="1"/>
  <c r="B105" i="1"/>
  <c r="C105" i="1"/>
  <c r="D105" i="1"/>
  <c r="E105" i="1"/>
  <c r="F105" i="1"/>
  <c r="G105" i="1"/>
  <c r="H105" i="1"/>
  <c r="I105" i="1"/>
  <c r="J105" i="1"/>
  <c r="B106" i="1"/>
  <c r="C106" i="1"/>
  <c r="D106" i="1"/>
  <c r="E106" i="1"/>
  <c r="F106" i="1"/>
  <c r="G106" i="1"/>
  <c r="H106" i="1"/>
  <c r="I106" i="1"/>
  <c r="J106" i="1"/>
  <c r="B107" i="1"/>
  <c r="C107" i="1"/>
  <c r="D107" i="1"/>
  <c r="E107" i="1"/>
  <c r="F107" i="1"/>
  <c r="G107" i="1"/>
  <c r="H107" i="1"/>
  <c r="I107" i="1"/>
  <c r="J107" i="1"/>
  <c r="B108" i="1"/>
  <c r="C108" i="1"/>
  <c r="D108" i="1"/>
  <c r="E108" i="1"/>
  <c r="F108" i="1"/>
  <c r="G108" i="1"/>
  <c r="H108" i="1"/>
  <c r="I108" i="1"/>
  <c r="J108" i="1"/>
  <c r="B109" i="1"/>
  <c r="C109" i="1"/>
  <c r="D109" i="1"/>
  <c r="E109" i="1"/>
  <c r="F109" i="1"/>
  <c r="G109" i="1"/>
  <c r="H109" i="1"/>
  <c r="I109" i="1"/>
  <c r="J109" i="1"/>
  <c r="B110" i="1"/>
  <c r="C110" i="1"/>
  <c r="D110" i="1"/>
  <c r="E110" i="1"/>
  <c r="F110" i="1"/>
  <c r="G110" i="1"/>
  <c r="H110" i="1"/>
  <c r="I110" i="1"/>
  <c r="J110" i="1"/>
  <c r="B111" i="1"/>
  <c r="C111" i="1"/>
  <c r="D111" i="1"/>
  <c r="E111" i="1"/>
  <c r="F111" i="1"/>
  <c r="G111" i="1"/>
  <c r="H111" i="1"/>
  <c r="I111" i="1"/>
  <c r="J111" i="1"/>
  <c r="B112" i="1"/>
  <c r="C112" i="1"/>
  <c r="D112" i="1"/>
  <c r="E112" i="1"/>
  <c r="F112" i="1"/>
  <c r="G112" i="1"/>
  <c r="H112" i="1"/>
  <c r="I112" i="1"/>
  <c r="J112" i="1"/>
  <c r="B113" i="1"/>
  <c r="C113" i="1"/>
  <c r="D113" i="1"/>
  <c r="E113" i="1"/>
  <c r="F113" i="1"/>
  <c r="G113" i="1"/>
  <c r="H113" i="1"/>
  <c r="I113" i="1"/>
  <c r="J113" i="1"/>
  <c r="B114" i="1"/>
  <c r="C114" i="1"/>
  <c r="D114" i="1"/>
  <c r="E114" i="1"/>
  <c r="F114" i="1"/>
  <c r="G114" i="1"/>
  <c r="H114" i="1"/>
  <c r="I114" i="1"/>
  <c r="J114" i="1"/>
  <c r="B115" i="1"/>
  <c r="C115" i="1"/>
  <c r="D115" i="1"/>
  <c r="E115" i="1"/>
  <c r="F115" i="1"/>
  <c r="G115" i="1"/>
  <c r="H115" i="1"/>
  <c r="I115" i="1"/>
  <c r="J115" i="1"/>
  <c r="B116" i="1"/>
  <c r="C116" i="1"/>
  <c r="D116" i="1"/>
  <c r="E116" i="1"/>
  <c r="F116" i="1"/>
  <c r="G116" i="1"/>
  <c r="H116" i="1"/>
  <c r="I116" i="1"/>
  <c r="J116" i="1"/>
  <c r="B117" i="1"/>
  <c r="C117" i="1"/>
  <c r="D117" i="1"/>
  <c r="E117" i="1"/>
  <c r="F117" i="1"/>
  <c r="G117" i="1"/>
  <c r="H117" i="1"/>
  <c r="I117" i="1"/>
  <c r="J117" i="1"/>
  <c r="B118" i="1"/>
  <c r="C118" i="1"/>
  <c r="D118" i="1"/>
  <c r="E118" i="1"/>
  <c r="F118" i="1"/>
  <c r="G118" i="1"/>
  <c r="H118" i="1"/>
  <c r="I118" i="1"/>
  <c r="J118" i="1"/>
  <c r="B119" i="1"/>
  <c r="C119" i="1"/>
  <c r="D119" i="1"/>
  <c r="E119" i="1"/>
  <c r="F119" i="1"/>
  <c r="G119" i="1"/>
  <c r="H119" i="1"/>
  <c r="I119" i="1"/>
  <c r="J119" i="1"/>
  <c r="B120" i="1"/>
  <c r="C120" i="1"/>
  <c r="D120" i="1"/>
  <c r="E120" i="1"/>
  <c r="F120" i="1"/>
  <c r="G120" i="1"/>
  <c r="H120" i="1"/>
  <c r="I120" i="1"/>
  <c r="J120" i="1"/>
  <c r="B121" i="1"/>
  <c r="C121" i="1"/>
  <c r="D121" i="1"/>
  <c r="E121" i="1"/>
  <c r="F121" i="1"/>
  <c r="G121" i="1"/>
  <c r="H121" i="1"/>
  <c r="I121" i="1"/>
  <c r="J121" i="1"/>
  <c r="B122" i="1"/>
  <c r="C122" i="1"/>
  <c r="D122" i="1"/>
  <c r="E122" i="1"/>
  <c r="F122" i="1"/>
  <c r="G122" i="1"/>
  <c r="H122" i="1"/>
  <c r="I122" i="1"/>
  <c r="J122" i="1"/>
  <c r="B123" i="1"/>
  <c r="C123" i="1"/>
  <c r="D123" i="1"/>
  <c r="E123" i="1"/>
  <c r="F123" i="1"/>
  <c r="G123" i="1"/>
  <c r="H123" i="1"/>
  <c r="I123" i="1"/>
  <c r="J123" i="1"/>
  <c r="B124" i="1"/>
  <c r="C124" i="1"/>
  <c r="D124" i="1"/>
  <c r="E124" i="1"/>
  <c r="F124" i="1"/>
  <c r="G124" i="1"/>
  <c r="H124" i="1"/>
  <c r="I124" i="1"/>
  <c r="J124" i="1"/>
  <c r="B125" i="1"/>
  <c r="C125" i="1"/>
  <c r="D125" i="1"/>
  <c r="E125" i="1"/>
  <c r="F125" i="1"/>
  <c r="G125" i="1"/>
  <c r="H125" i="1"/>
  <c r="I125" i="1"/>
  <c r="J125" i="1"/>
  <c r="B126" i="1"/>
  <c r="C126" i="1"/>
  <c r="D126" i="1"/>
  <c r="E126" i="1"/>
  <c r="F126" i="1"/>
  <c r="G126" i="1"/>
  <c r="H126" i="1"/>
  <c r="I126" i="1"/>
  <c r="J126" i="1"/>
  <c r="B127" i="1"/>
  <c r="C127" i="1"/>
  <c r="D127" i="1"/>
  <c r="E127" i="1"/>
  <c r="F127" i="1"/>
  <c r="G127" i="1"/>
  <c r="H127" i="1"/>
  <c r="I127" i="1"/>
  <c r="J127" i="1"/>
  <c r="B128" i="1"/>
  <c r="C128" i="1"/>
  <c r="D128" i="1"/>
  <c r="E128" i="1"/>
  <c r="F128" i="1"/>
  <c r="G128" i="1"/>
  <c r="H128" i="1"/>
  <c r="I128" i="1"/>
  <c r="J128" i="1"/>
  <c r="B129" i="1"/>
  <c r="C129" i="1"/>
  <c r="D129" i="1"/>
  <c r="E129" i="1"/>
  <c r="F129" i="1"/>
  <c r="G129" i="1"/>
  <c r="H129" i="1"/>
  <c r="I129" i="1"/>
  <c r="J129" i="1"/>
  <c r="B130" i="1"/>
  <c r="C130" i="1"/>
  <c r="D130" i="1"/>
  <c r="E130" i="1"/>
  <c r="F130" i="1"/>
  <c r="G130" i="1"/>
  <c r="H130" i="1"/>
  <c r="I130" i="1"/>
  <c r="J130" i="1"/>
  <c r="B131" i="1"/>
  <c r="C131" i="1"/>
  <c r="D131" i="1"/>
  <c r="E131" i="1"/>
  <c r="F131" i="1"/>
  <c r="G131" i="1"/>
  <c r="H131" i="1"/>
  <c r="I131" i="1"/>
  <c r="J131" i="1"/>
  <c r="B132" i="1"/>
  <c r="C132" i="1"/>
  <c r="D132" i="1"/>
  <c r="E132" i="1"/>
  <c r="F132" i="1"/>
  <c r="G132" i="1"/>
  <c r="H132" i="1"/>
  <c r="I132" i="1"/>
  <c r="J132" i="1"/>
  <c r="B133" i="1"/>
  <c r="C133" i="1"/>
  <c r="D133" i="1"/>
  <c r="E133" i="1"/>
  <c r="F133" i="1"/>
  <c r="G133" i="1"/>
  <c r="H133" i="1"/>
  <c r="I133" i="1"/>
  <c r="J133" i="1"/>
  <c r="B134" i="1"/>
  <c r="C134" i="1"/>
  <c r="D134" i="1"/>
  <c r="E134" i="1"/>
  <c r="F134" i="1"/>
  <c r="G134" i="1"/>
  <c r="H134" i="1"/>
  <c r="I134" i="1"/>
  <c r="J134" i="1"/>
  <c r="B135" i="1"/>
  <c r="C135" i="1"/>
  <c r="D135" i="1"/>
  <c r="E135" i="1"/>
  <c r="F135" i="1"/>
  <c r="G135" i="1"/>
  <c r="H135" i="1"/>
  <c r="I135" i="1"/>
  <c r="J135" i="1"/>
  <c r="B136" i="1"/>
  <c r="C136" i="1"/>
  <c r="D136" i="1"/>
  <c r="E136" i="1"/>
  <c r="F136" i="1"/>
  <c r="G136" i="1"/>
  <c r="H136" i="1"/>
  <c r="I136" i="1"/>
  <c r="J136" i="1"/>
  <c r="B137" i="1"/>
  <c r="C137" i="1"/>
  <c r="D137" i="1"/>
  <c r="E137" i="1"/>
  <c r="F137" i="1"/>
  <c r="G137" i="1"/>
  <c r="H137" i="1"/>
  <c r="I137" i="1"/>
  <c r="J137" i="1"/>
  <c r="B138" i="1"/>
  <c r="C138" i="1"/>
  <c r="D138" i="1"/>
  <c r="E138" i="1"/>
  <c r="F138" i="1"/>
  <c r="G138" i="1"/>
  <c r="H138" i="1"/>
  <c r="I138" i="1"/>
  <c r="J138" i="1"/>
  <c r="B139" i="1"/>
  <c r="C139" i="1"/>
  <c r="D139" i="1"/>
  <c r="E139" i="1"/>
  <c r="F139" i="1"/>
  <c r="G139" i="1"/>
  <c r="H139" i="1"/>
  <c r="I139" i="1"/>
  <c r="J139" i="1"/>
  <c r="B140" i="1"/>
  <c r="C140" i="1"/>
  <c r="D140" i="1"/>
  <c r="E140" i="1"/>
  <c r="F140" i="1"/>
  <c r="G140" i="1"/>
  <c r="H140" i="1"/>
  <c r="I140" i="1"/>
  <c r="J140" i="1"/>
  <c r="B141" i="1"/>
  <c r="C141" i="1"/>
  <c r="D141" i="1"/>
  <c r="E141" i="1"/>
  <c r="F141" i="1"/>
  <c r="G141" i="1"/>
  <c r="H141" i="1"/>
  <c r="I141" i="1"/>
  <c r="J141" i="1"/>
  <c r="B142" i="1"/>
  <c r="C142" i="1"/>
  <c r="D142" i="1"/>
  <c r="E142" i="1"/>
  <c r="F142" i="1"/>
  <c r="G142" i="1"/>
  <c r="H142" i="1"/>
  <c r="I142" i="1"/>
  <c r="J142" i="1"/>
  <c r="B143" i="1"/>
  <c r="C143" i="1"/>
  <c r="D143" i="1"/>
  <c r="E143" i="1"/>
  <c r="F143" i="1"/>
  <c r="G143" i="1"/>
  <c r="H143" i="1"/>
  <c r="I143" i="1"/>
  <c r="J143" i="1"/>
  <c r="B144" i="1"/>
  <c r="C144" i="1"/>
  <c r="D144" i="1"/>
  <c r="E144" i="1"/>
  <c r="F144" i="1"/>
  <c r="G144" i="1"/>
  <c r="H144" i="1"/>
  <c r="I144" i="1"/>
  <c r="J144" i="1"/>
  <c r="B145" i="1"/>
  <c r="C145" i="1"/>
  <c r="D145" i="1"/>
  <c r="E145" i="1"/>
  <c r="F145" i="1"/>
  <c r="G145" i="1"/>
  <c r="H145" i="1"/>
  <c r="I145" i="1"/>
  <c r="J145" i="1"/>
  <c r="B146" i="1"/>
  <c r="C146" i="1"/>
  <c r="D146" i="1"/>
  <c r="E146" i="1"/>
  <c r="F146" i="1"/>
  <c r="G146" i="1"/>
  <c r="H146" i="1"/>
  <c r="I146" i="1"/>
  <c r="J146" i="1"/>
  <c r="B147" i="1"/>
  <c r="C147" i="1"/>
  <c r="D147" i="1"/>
  <c r="E147" i="1"/>
  <c r="F147" i="1"/>
  <c r="G147" i="1"/>
  <c r="H147" i="1"/>
  <c r="I147" i="1"/>
  <c r="J147" i="1"/>
  <c r="B148" i="1"/>
  <c r="C148" i="1"/>
  <c r="D148" i="1"/>
  <c r="E148" i="1"/>
  <c r="F148" i="1"/>
  <c r="G148" i="1"/>
  <c r="H148" i="1"/>
  <c r="I148" i="1"/>
  <c r="J148" i="1"/>
  <c r="B149" i="1"/>
  <c r="C149" i="1"/>
  <c r="D149" i="1"/>
  <c r="E149" i="1"/>
  <c r="F149" i="1"/>
  <c r="G149" i="1"/>
  <c r="H149" i="1"/>
  <c r="I149" i="1"/>
  <c r="J149" i="1"/>
  <c r="B150" i="1"/>
  <c r="C150" i="1"/>
  <c r="D150" i="1"/>
  <c r="E150" i="1"/>
  <c r="F150" i="1"/>
  <c r="G150" i="1"/>
  <c r="H150" i="1"/>
  <c r="I150" i="1"/>
  <c r="J150" i="1"/>
  <c r="B151" i="1"/>
  <c r="C151" i="1"/>
  <c r="D151" i="1"/>
  <c r="E151" i="1"/>
  <c r="F151" i="1"/>
  <c r="G151" i="1"/>
  <c r="H151" i="1"/>
  <c r="I151" i="1"/>
  <c r="J151" i="1"/>
  <c r="B152" i="1"/>
  <c r="C152" i="1"/>
  <c r="D152" i="1"/>
  <c r="E152" i="1"/>
  <c r="F152" i="1"/>
  <c r="G152" i="1"/>
  <c r="H152" i="1"/>
  <c r="I152" i="1"/>
  <c r="J152" i="1"/>
  <c r="B153" i="1"/>
  <c r="C153" i="1"/>
  <c r="D153" i="1"/>
  <c r="E153" i="1"/>
  <c r="F153" i="1"/>
  <c r="G153" i="1"/>
  <c r="H153" i="1"/>
  <c r="I153" i="1"/>
  <c r="J153" i="1"/>
  <c r="B154" i="1"/>
  <c r="C154" i="1"/>
  <c r="D154" i="1"/>
  <c r="E154" i="1"/>
  <c r="F154" i="1"/>
  <c r="G154" i="1"/>
  <c r="H154" i="1"/>
  <c r="I154" i="1"/>
  <c r="J154" i="1"/>
  <c r="B155" i="1"/>
  <c r="C155" i="1"/>
  <c r="D155" i="1"/>
  <c r="E155" i="1"/>
  <c r="F155" i="1"/>
  <c r="G155" i="1"/>
  <c r="H155" i="1"/>
  <c r="I155" i="1"/>
  <c r="J155" i="1"/>
  <c r="B156" i="1"/>
  <c r="C156" i="1"/>
  <c r="D156" i="1"/>
  <c r="E156" i="1"/>
  <c r="F156" i="1"/>
  <c r="G156" i="1"/>
  <c r="H156" i="1"/>
  <c r="I156" i="1"/>
  <c r="J156" i="1"/>
  <c r="B157" i="1"/>
  <c r="C157" i="1"/>
  <c r="D157" i="1"/>
  <c r="E157" i="1"/>
  <c r="F157" i="1"/>
  <c r="G157" i="1"/>
  <c r="H157" i="1"/>
  <c r="I157" i="1"/>
  <c r="J157" i="1"/>
  <c r="B158" i="1"/>
  <c r="C158" i="1"/>
  <c r="D158" i="1"/>
  <c r="E158" i="1"/>
  <c r="F158" i="1"/>
  <c r="G158" i="1"/>
  <c r="H158" i="1"/>
  <c r="I158" i="1"/>
  <c r="J158" i="1"/>
  <c r="B159" i="1"/>
  <c r="C159" i="1"/>
  <c r="D159" i="1"/>
  <c r="E159" i="1"/>
  <c r="F159" i="1"/>
  <c r="G159" i="1"/>
  <c r="H159" i="1"/>
  <c r="I159" i="1"/>
  <c r="J159" i="1"/>
  <c r="B160" i="1"/>
  <c r="C160" i="1"/>
  <c r="D160" i="1"/>
  <c r="E160" i="1"/>
  <c r="F160" i="1"/>
  <c r="G160" i="1"/>
  <c r="H160" i="1"/>
  <c r="I160" i="1"/>
  <c r="J160" i="1"/>
  <c r="B161" i="1"/>
  <c r="C161" i="1"/>
  <c r="D161" i="1"/>
  <c r="E161" i="1"/>
  <c r="F161" i="1"/>
  <c r="G161" i="1"/>
  <c r="H161" i="1"/>
  <c r="I161" i="1"/>
  <c r="J161" i="1"/>
  <c r="B162" i="1"/>
  <c r="C162" i="1"/>
  <c r="D162" i="1"/>
  <c r="E162" i="1"/>
  <c r="F162" i="1"/>
  <c r="G162" i="1"/>
  <c r="H162" i="1"/>
  <c r="I162" i="1"/>
  <c r="J162" i="1"/>
  <c r="B163" i="1"/>
  <c r="C163" i="1"/>
  <c r="D163" i="1"/>
  <c r="E163" i="1"/>
  <c r="F163" i="1"/>
  <c r="G163" i="1"/>
  <c r="H163" i="1"/>
  <c r="I163" i="1"/>
  <c r="J163" i="1"/>
  <c r="B164" i="1"/>
  <c r="C164" i="1"/>
  <c r="D164" i="1"/>
  <c r="E164" i="1"/>
  <c r="F164" i="1"/>
  <c r="G164" i="1"/>
  <c r="H164" i="1"/>
  <c r="I164" i="1"/>
  <c r="J164" i="1"/>
  <c r="B165" i="1"/>
  <c r="C165" i="1"/>
  <c r="D165" i="1"/>
  <c r="E165" i="1"/>
  <c r="F165" i="1"/>
  <c r="G165" i="1"/>
  <c r="H165" i="1"/>
  <c r="I165" i="1"/>
  <c r="J165" i="1"/>
  <c r="B166" i="1"/>
  <c r="C166" i="1"/>
  <c r="D166" i="1"/>
  <c r="E166" i="1"/>
  <c r="F166" i="1"/>
  <c r="G166" i="1"/>
  <c r="H166" i="1"/>
  <c r="I166" i="1"/>
  <c r="J166" i="1"/>
  <c r="B167" i="1"/>
  <c r="C167" i="1"/>
  <c r="D167" i="1"/>
  <c r="E167" i="1"/>
  <c r="F167" i="1"/>
  <c r="G167" i="1"/>
  <c r="H167" i="1"/>
  <c r="I167" i="1"/>
  <c r="J167" i="1"/>
  <c r="B168" i="1"/>
  <c r="C168" i="1"/>
  <c r="D168" i="1"/>
  <c r="E168" i="1"/>
  <c r="F168" i="1"/>
  <c r="G168" i="1"/>
  <c r="H168" i="1"/>
  <c r="I168" i="1"/>
  <c r="J168" i="1"/>
  <c r="B169" i="1"/>
  <c r="C169" i="1"/>
  <c r="D169" i="1"/>
  <c r="E169" i="1"/>
  <c r="F169" i="1"/>
  <c r="G169" i="1"/>
  <c r="H169" i="1"/>
  <c r="I169" i="1"/>
  <c r="J169" i="1"/>
  <c r="B170" i="1"/>
  <c r="C170" i="1"/>
  <c r="D170" i="1"/>
  <c r="E170" i="1"/>
  <c r="F170" i="1"/>
  <c r="G170" i="1"/>
  <c r="H170" i="1"/>
  <c r="I170" i="1"/>
  <c r="J170" i="1"/>
  <c r="B171" i="1"/>
  <c r="C171" i="1"/>
  <c r="D171" i="1"/>
  <c r="E171" i="1"/>
  <c r="F171" i="1"/>
  <c r="G171" i="1"/>
  <c r="H171" i="1"/>
  <c r="I171" i="1"/>
  <c r="J171" i="1"/>
  <c r="B172" i="1"/>
  <c r="C172" i="1"/>
  <c r="D172" i="1"/>
  <c r="E172" i="1"/>
  <c r="F172" i="1"/>
  <c r="G172" i="1"/>
  <c r="H172" i="1"/>
  <c r="I172" i="1"/>
  <c r="J172" i="1"/>
  <c r="B173" i="1"/>
  <c r="C173" i="1"/>
  <c r="D173" i="1"/>
  <c r="E173" i="1"/>
  <c r="F173" i="1"/>
  <c r="G173" i="1"/>
  <c r="H173" i="1"/>
  <c r="I173" i="1"/>
  <c r="J173" i="1"/>
  <c r="B174" i="1"/>
  <c r="C174" i="1"/>
  <c r="D174" i="1"/>
  <c r="E174" i="1"/>
  <c r="F174" i="1"/>
  <c r="G174" i="1"/>
  <c r="H174" i="1"/>
  <c r="I174" i="1"/>
  <c r="J174" i="1"/>
  <c r="B175" i="1"/>
  <c r="C175" i="1"/>
  <c r="D175" i="1"/>
  <c r="E175" i="1"/>
  <c r="F175" i="1"/>
  <c r="G175" i="1"/>
  <c r="H175" i="1"/>
  <c r="I175" i="1"/>
  <c r="J175" i="1"/>
  <c r="B176" i="1"/>
  <c r="C176" i="1"/>
  <c r="D176" i="1"/>
  <c r="E176" i="1"/>
  <c r="F176" i="1"/>
  <c r="G176" i="1"/>
  <c r="H176" i="1"/>
  <c r="I176" i="1"/>
  <c r="J176" i="1"/>
  <c r="B177" i="1"/>
  <c r="C177" i="1"/>
  <c r="D177" i="1"/>
  <c r="E177" i="1"/>
  <c r="F177" i="1"/>
  <c r="G177" i="1"/>
  <c r="H177" i="1"/>
  <c r="I177" i="1"/>
  <c r="J177" i="1"/>
  <c r="B178" i="1"/>
  <c r="C178" i="1"/>
  <c r="D178" i="1"/>
  <c r="E178" i="1"/>
  <c r="F178" i="1"/>
  <c r="G178" i="1"/>
  <c r="H178" i="1"/>
  <c r="I178" i="1"/>
  <c r="J178" i="1"/>
  <c r="B179" i="1"/>
  <c r="C179" i="1"/>
  <c r="D179" i="1"/>
  <c r="E179" i="1"/>
  <c r="F179" i="1"/>
  <c r="G179" i="1"/>
  <c r="H179" i="1"/>
  <c r="I179" i="1"/>
  <c r="J179" i="1"/>
  <c r="B180" i="1"/>
  <c r="C180" i="1"/>
  <c r="D180" i="1"/>
  <c r="E180" i="1"/>
  <c r="F180" i="1"/>
  <c r="G180" i="1"/>
  <c r="H180" i="1"/>
  <c r="I180" i="1"/>
  <c r="J180" i="1"/>
  <c r="B181" i="1"/>
  <c r="C181" i="1"/>
  <c r="D181" i="1"/>
  <c r="E181" i="1"/>
  <c r="F181" i="1"/>
  <c r="G181" i="1"/>
  <c r="H181" i="1"/>
  <c r="I181" i="1"/>
  <c r="J181" i="1"/>
  <c r="B182" i="1"/>
  <c r="C182" i="1"/>
  <c r="D182" i="1"/>
  <c r="E182" i="1"/>
  <c r="F182" i="1"/>
  <c r="G182" i="1"/>
  <c r="H182" i="1"/>
  <c r="I182" i="1"/>
  <c r="J182" i="1"/>
  <c r="B183" i="1"/>
  <c r="C183" i="1"/>
  <c r="D183" i="1"/>
  <c r="E183" i="1"/>
  <c r="F183" i="1"/>
  <c r="G183" i="1"/>
  <c r="H183" i="1"/>
  <c r="I183" i="1"/>
  <c r="J183" i="1"/>
  <c r="B184" i="1"/>
  <c r="C184" i="1"/>
  <c r="D184" i="1"/>
  <c r="E184" i="1"/>
  <c r="F184" i="1"/>
  <c r="G184" i="1"/>
  <c r="H184" i="1"/>
  <c r="I184" i="1"/>
  <c r="J184" i="1"/>
  <c r="B185" i="1"/>
  <c r="C185" i="1"/>
  <c r="D185" i="1"/>
  <c r="E185" i="1"/>
  <c r="F185" i="1"/>
  <c r="G185" i="1"/>
  <c r="H185" i="1"/>
  <c r="I185" i="1"/>
  <c r="J185" i="1"/>
  <c r="B186" i="1"/>
  <c r="C186" i="1"/>
  <c r="D186" i="1"/>
  <c r="E186" i="1"/>
  <c r="F186" i="1"/>
  <c r="G186" i="1"/>
  <c r="H186" i="1"/>
  <c r="I186" i="1"/>
  <c r="J186" i="1"/>
  <c r="B187" i="1"/>
  <c r="C187" i="1"/>
  <c r="D187" i="1"/>
  <c r="E187" i="1"/>
  <c r="F187" i="1"/>
  <c r="G187" i="1"/>
  <c r="H187" i="1"/>
  <c r="I187" i="1"/>
  <c r="J187" i="1"/>
  <c r="B188" i="1"/>
  <c r="C188" i="1"/>
  <c r="D188" i="1"/>
  <c r="E188" i="1"/>
  <c r="F188" i="1"/>
  <c r="G188" i="1"/>
  <c r="H188" i="1"/>
  <c r="I188" i="1"/>
  <c r="J188" i="1"/>
  <c r="B189" i="1"/>
  <c r="C189" i="1"/>
  <c r="D189" i="1"/>
  <c r="E189" i="1"/>
  <c r="F189" i="1"/>
  <c r="G189" i="1"/>
  <c r="H189" i="1"/>
  <c r="I189" i="1"/>
  <c r="J189" i="1"/>
  <c r="B190" i="1"/>
  <c r="C190" i="1"/>
  <c r="D190" i="1"/>
  <c r="E190" i="1"/>
  <c r="F190" i="1"/>
  <c r="G190" i="1"/>
  <c r="H190" i="1"/>
  <c r="I190" i="1"/>
  <c r="J190" i="1"/>
  <c r="B191" i="1"/>
  <c r="C191" i="1"/>
  <c r="D191" i="1"/>
  <c r="E191" i="1"/>
  <c r="F191" i="1"/>
  <c r="G191" i="1"/>
  <c r="H191" i="1"/>
  <c r="I191" i="1"/>
  <c r="J191" i="1"/>
  <c r="B192" i="1"/>
  <c r="C192" i="1"/>
  <c r="D192" i="1"/>
  <c r="E192" i="1"/>
  <c r="F192" i="1"/>
  <c r="G192" i="1"/>
  <c r="H192" i="1"/>
  <c r="I192" i="1"/>
  <c r="J192" i="1"/>
  <c r="B193" i="1"/>
  <c r="C193" i="1"/>
  <c r="D193" i="1"/>
  <c r="E193" i="1"/>
  <c r="F193" i="1"/>
  <c r="G193" i="1"/>
  <c r="H193" i="1"/>
  <c r="I193" i="1"/>
  <c r="J193" i="1"/>
  <c r="B194" i="1"/>
  <c r="C194" i="1"/>
  <c r="D194" i="1"/>
  <c r="E194" i="1"/>
  <c r="F194" i="1"/>
  <c r="G194" i="1"/>
  <c r="H194" i="1"/>
  <c r="I194" i="1"/>
  <c r="J194" i="1"/>
  <c r="B195" i="1"/>
  <c r="C195" i="1"/>
  <c r="D195" i="1"/>
  <c r="E195" i="1"/>
  <c r="F195" i="1"/>
  <c r="G195" i="1"/>
  <c r="H195" i="1"/>
  <c r="I195" i="1"/>
  <c r="J195" i="1"/>
  <c r="B196" i="1"/>
  <c r="C196" i="1"/>
  <c r="D196" i="1"/>
  <c r="E196" i="1"/>
  <c r="F196" i="1"/>
  <c r="G196" i="1"/>
  <c r="H196" i="1"/>
  <c r="I196" i="1"/>
  <c r="J196" i="1"/>
  <c r="B197" i="1"/>
  <c r="C197" i="1"/>
  <c r="D197" i="1"/>
  <c r="E197" i="1"/>
  <c r="F197" i="1"/>
  <c r="G197" i="1"/>
  <c r="H197" i="1"/>
  <c r="I197" i="1"/>
  <c r="J197" i="1"/>
  <c r="B198" i="1"/>
  <c r="C198" i="1"/>
  <c r="D198" i="1"/>
  <c r="E198" i="1"/>
  <c r="F198" i="1"/>
  <c r="G198" i="1"/>
  <c r="H198" i="1"/>
  <c r="I198" i="1"/>
  <c r="J198" i="1"/>
  <c r="B199" i="1"/>
  <c r="C199" i="1"/>
  <c r="D199" i="1"/>
  <c r="E199" i="1"/>
  <c r="F199" i="1"/>
  <c r="G199" i="1"/>
  <c r="H199" i="1"/>
  <c r="I199" i="1"/>
  <c r="J199" i="1"/>
  <c r="B200" i="1"/>
  <c r="C200" i="1"/>
  <c r="D200" i="1"/>
  <c r="E200" i="1"/>
  <c r="F200" i="1"/>
  <c r="G200" i="1"/>
  <c r="H200" i="1"/>
  <c r="I200" i="1"/>
  <c r="J200" i="1"/>
  <c r="B201" i="1"/>
  <c r="C201" i="1"/>
  <c r="D201" i="1"/>
  <c r="E201" i="1"/>
  <c r="F201" i="1"/>
  <c r="G201" i="1"/>
  <c r="H201" i="1"/>
  <c r="I201" i="1"/>
  <c r="J201" i="1"/>
  <c r="B202" i="1"/>
  <c r="C202" i="1"/>
  <c r="D202" i="1"/>
  <c r="E202" i="1"/>
  <c r="F202" i="1"/>
  <c r="G202" i="1"/>
  <c r="H202" i="1"/>
  <c r="I202" i="1"/>
  <c r="J202" i="1"/>
  <c r="B203" i="1"/>
  <c r="C203" i="1"/>
  <c r="D203" i="1"/>
  <c r="E203" i="1"/>
  <c r="F203" i="1"/>
  <c r="G203" i="1"/>
  <c r="H203" i="1"/>
  <c r="I203" i="1"/>
  <c r="J203" i="1"/>
  <c r="B204" i="1"/>
  <c r="C204" i="1"/>
  <c r="D204" i="1"/>
  <c r="E204" i="1"/>
  <c r="F204" i="1"/>
  <c r="G204" i="1"/>
  <c r="H204" i="1"/>
  <c r="I204" i="1"/>
  <c r="J204" i="1"/>
  <c r="B205" i="1"/>
  <c r="C205" i="1"/>
  <c r="D205" i="1"/>
  <c r="E205" i="1"/>
  <c r="F205" i="1"/>
  <c r="G205" i="1"/>
  <c r="H205" i="1"/>
  <c r="I205" i="1"/>
  <c r="J205" i="1"/>
  <c r="B206" i="1"/>
  <c r="C206" i="1"/>
  <c r="D206" i="1"/>
  <c r="E206" i="1"/>
  <c r="F206" i="1"/>
  <c r="G206" i="1"/>
  <c r="H206" i="1"/>
  <c r="I206" i="1"/>
  <c r="J206" i="1"/>
  <c r="B207" i="1"/>
  <c r="C207" i="1"/>
  <c r="D207" i="1"/>
  <c r="E207" i="1"/>
  <c r="F207" i="1"/>
  <c r="G207" i="1"/>
  <c r="H207" i="1"/>
  <c r="I207" i="1"/>
  <c r="J207" i="1"/>
  <c r="B208" i="1"/>
  <c r="C208" i="1"/>
  <c r="D208" i="1"/>
  <c r="E208" i="1"/>
  <c r="F208" i="1"/>
  <c r="G208" i="1"/>
  <c r="H208" i="1"/>
  <c r="I208" i="1"/>
  <c r="J208" i="1"/>
  <c r="B209" i="1"/>
  <c r="C209" i="1"/>
  <c r="D209" i="1"/>
  <c r="E209" i="1"/>
  <c r="F209" i="1"/>
  <c r="G209" i="1"/>
  <c r="H209" i="1"/>
  <c r="I209" i="1"/>
  <c r="J209" i="1"/>
  <c r="B210" i="1"/>
  <c r="C210" i="1"/>
  <c r="D210" i="1"/>
  <c r="E210" i="1"/>
  <c r="F210" i="1"/>
  <c r="G210" i="1"/>
  <c r="H210" i="1"/>
  <c r="I210" i="1"/>
  <c r="J210" i="1"/>
  <c r="B211" i="1"/>
  <c r="C211" i="1"/>
  <c r="D211" i="1"/>
  <c r="E211" i="1"/>
  <c r="F211" i="1"/>
  <c r="G211" i="1"/>
  <c r="H211" i="1"/>
  <c r="I211" i="1"/>
  <c r="J211" i="1"/>
  <c r="B212" i="1"/>
  <c r="C212" i="1"/>
  <c r="D212" i="1"/>
  <c r="E212" i="1"/>
  <c r="F212" i="1"/>
  <c r="G212" i="1"/>
  <c r="H212" i="1"/>
  <c r="I212" i="1"/>
  <c r="J212" i="1"/>
  <c r="B213" i="1"/>
  <c r="C213" i="1"/>
  <c r="D213" i="1"/>
  <c r="E213" i="1"/>
  <c r="F213" i="1"/>
  <c r="G213" i="1"/>
  <c r="H213" i="1"/>
  <c r="I213" i="1"/>
  <c r="J213" i="1"/>
  <c r="B214" i="1"/>
  <c r="C214" i="1"/>
  <c r="D214" i="1"/>
  <c r="E214" i="1"/>
  <c r="F214" i="1"/>
  <c r="G214" i="1"/>
  <c r="H214" i="1"/>
  <c r="I214" i="1"/>
  <c r="J214" i="1"/>
  <c r="B215" i="1"/>
  <c r="C215" i="1"/>
  <c r="D215" i="1"/>
  <c r="E215" i="1"/>
  <c r="F215" i="1"/>
  <c r="G215" i="1"/>
  <c r="H215" i="1"/>
  <c r="I215" i="1"/>
  <c r="J215" i="1"/>
  <c r="B216" i="1"/>
  <c r="C216" i="1"/>
  <c r="D216" i="1"/>
  <c r="E216" i="1"/>
  <c r="F216" i="1"/>
  <c r="G216" i="1"/>
  <c r="H216" i="1"/>
  <c r="I216" i="1"/>
  <c r="J216" i="1"/>
  <c r="B217" i="1"/>
  <c r="C217" i="1"/>
  <c r="D217" i="1"/>
  <c r="E217" i="1"/>
  <c r="F217" i="1"/>
  <c r="G217" i="1"/>
  <c r="H217" i="1"/>
  <c r="I217" i="1"/>
  <c r="J217" i="1"/>
  <c r="B218" i="1"/>
  <c r="C218" i="1"/>
  <c r="D218" i="1"/>
  <c r="E218" i="1"/>
  <c r="F218" i="1"/>
  <c r="G218" i="1"/>
  <c r="H218" i="1"/>
  <c r="I218" i="1"/>
  <c r="J218" i="1"/>
  <c r="B219" i="1"/>
  <c r="C219" i="1"/>
  <c r="D219" i="1"/>
  <c r="E219" i="1"/>
  <c r="F219" i="1"/>
  <c r="G219" i="1"/>
  <c r="H219" i="1"/>
  <c r="I219" i="1"/>
  <c r="J219" i="1"/>
  <c r="B220" i="1"/>
  <c r="C220" i="1"/>
  <c r="D220" i="1"/>
  <c r="E220" i="1"/>
  <c r="F220" i="1"/>
  <c r="G220" i="1"/>
  <c r="H220" i="1"/>
  <c r="I220" i="1"/>
  <c r="J220" i="1"/>
  <c r="B221" i="1"/>
  <c r="C221" i="1"/>
  <c r="D221" i="1"/>
  <c r="E221" i="1"/>
  <c r="F221" i="1"/>
  <c r="G221" i="1"/>
  <c r="H221" i="1"/>
  <c r="I221" i="1"/>
  <c r="J221" i="1"/>
  <c r="B222" i="1"/>
  <c r="C222" i="1"/>
  <c r="D222" i="1"/>
  <c r="E222" i="1"/>
  <c r="F222" i="1"/>
  <c r="G222" i="1"/>
  <c r="H222" i="1"/>
  <c r="I222" i="1"/>
  <c r="J222" i="1"/>
  <c r="B223" i="1"/>
  <c r="C223" i="1"/>
  <c r="D223" i="1"/>
  <c r="E223" i="1"/>
  <c r="F223" i="1"/>
  <c r="G223" i="1"/>
  <c r="H223" i="1"/>
  <c r="I223" i="1"/>
  <c r="J223" i="1"/>
  <c r="B224" i="1"/>
  <c r="C224" i="1"/>
  <c r="D224" i="1"/>
  <c r="E224" i="1"/>
  <c r="F224" i="1"/>
  <c r="G224" i="1"/>
  <c r="H224" i="1"/>
  <c r="I224" i="1"/>
  <c r="J224" i="1"/>
  <c r="B225" i="1"/>
  <c r="C225" i="1"/>
  <c r="D225" i="1"/>
  <c r="E225" i="1"/>
  <c r="F225" i="1"/>
  <c r="G225" i="1"/>
  <c r="H225" i="1"/>
  <c r="I225" i="1"/>
  <c r="J225" i="1"/>
  <c r="B226" i="1"/>
  <c r="C226" i="1"/>
  <c r="D226" i="1"/>
  <c r="E226" i="1"/>
  <c r="F226" i="1"/>
  <c r="G226" i="1"/>
  <c r="H226" i="1"/>
  <c r="I226" i="1"/>
  <c r="J226" i="1"/>
  <c r="B227" i="1"/>
  <c r="C227" i="1"/>
  <c r="D227" i="1"/>
  <c r="E227" i="1"/>
  <c r="F227" i="1"/>
  <c r="G227" i="1"/>
  <c r="H227" i="1"/>
  <c r="I227" i="1"/>
  <c r="J227" i="1"/>
  <c r="B228" i="1"/>
  <c r="C228" i="1"/>
  <c r="D228" i="1"/>
  <c r="E228" i="1"/>
  <c r="F228" i="1"/>
  <c r="G228" i="1"/>
  <c r="H228" i="1"/>
  <c r="I228" i="1"/>
  <c r="J228" i="1"/>
  <c r="B229" i="1"/>
  <c r="C229" i="1"/>
  <c r="D229" i="1"/>
  <c r="E229" i="1"/>
  <c r="F229" i="1"/>
  <c r="G229" i="1"/>
  <c r="H229" i="1"/>
  <c r="I229" i="1"/>
  <c r="J229" i="1"/>
  <c r="B230" i="1"/>
  <c r="C230" i="1"/>
  <c r="D230" i="1"/>
  <c r="E230" i="1"/>
  <c r="F230" i="1"/>
  <c r="G230" i="1"/>
  <c r="H230" i="1"/>
  <c r="I230" i="1"/>
  <c r="J230" i="1"/>
  <c r="B231" i="1"/>
  <c r="C231" i="1"/>
  <c r="D231" i="1"/>
  <c r="E231" i="1"/>
  <c r="F231" i="1"/>
  <c r="G231" i="1"/>
  <c r="H231" i="1"/>
  <c r="I231" i="1"/>
  <c r="J231" i="1"/>
  <c r="B232" i="1"/>
  <c r="C232" i="1"/>
  <c r="D232" i="1"/>
  <c r="E232" i="1"/>
  <c r="F232" i="1"/>
  <c r="G232" i="1"/>
  <c r="H232" i="1"/>
  <c r="I232" i="1"/>
  <c r="J232" i="1"/>
  <c r="B233" i="1"/>
  <c r="C233" i="1"/>
  <c r="D233" i="1"/>
  <c r="E233" i="1"/>
  <c r="F233" i="1"/>
  <c r="G233" i="1"/>
  <c r="H233" i="1"/>
  <c r="I233" i="1"/>
  <c r="J233" i="1"/>
  <c r="B234" i="1"/>
  <c r="C234" i="1"/>
  <c r="D234" i="1"/>
  <c r="E234" i="1"/>
  <c r="F234" i="1"/>
  <c r="G234" i="1"/>
  <c r="H234" i="1"/>
  <c r="I234" i="1"/>
  <c r="J234" i="1"/>
  <c r="B235" i="1"/>
  <c r="C235" i="1"/>
  <c r="D235" i="1"/>
  <c r="E235" i="1"/>
  <c r="F235" i="1"/>
  <c r="G235" i="1"/>
  <c r="H235" i="1"/>
  <c r="I235" i="1"/>
  <c r="J235" i="1"/>
  <c r="B236" i="1"/>
  <c r="C236" i="1"/>
  <c r="D236" i="1"/>
  <c r="E236" i="1"/>
  <c r="F236" i="1"/>
  <c r="G236" i="1"/>
  <c r="H236" i="1"/>
  <c r="I236" i="1"/>
  <c r="J236" i="1"/>
  <c r="B237" i="1"/>
  <c r="C237" i="1"/>
  <c r="D237" i="1"/>
  <c r="E237" i="1"/>
  <c r="F237" i="1"/>
  <c r="G237" i="1"/>
  <c r="H237" i="1"/>
  <c r="I237" i="1"/>
  <c r="J237" i="1"/>
  <c r="B238" i="1"/>
  <c r="C238" i="1"/>
  <c r="D238" i="1"/>
  <c r="E238" i="1"/>
  <c r="F238" i="1"/>
  <c r="G238" i="1"/>
  <c r="H238" i="1"/>
  <c r="I238" i="1"/>
  <c r="J238" i="1"/>
  <c r="B239" i="1"/>
  <c r="C239" i="1"/>
  <c r="D239" i="1"/>
  <c r="E239" i="1"/>
  <c r="F239" i="1"/>
  <c r="G239" i="1"/>
  <c r="H239" i="1"/>
  <c r="I239" i="1"/>
  <c r="J239" i="1"/>
  <c r="B240" i="1"/>
  <c r="C240" i="1"/>
  <c r="D240" i="1"/>
  <c r="E240" i="1"/>
  <c r="F240" i="1"/>
  <c r="G240" i="1"/>
  <c r="H240" i="1"/>
  <c r="I240" i="1"/>
  <c r="J240" i="1"/>
  <c r="B241" i="1"/>
  <c r="C241" i="1"/>
  <c r="D241" i="1"/>
  <c r="E241" i="1"/>
  <c r="F241" i="1"/>
  <c r="G241" i="1"/>
  <c r="H241" i="1"/>
  <c r="I241" i="1"/>
  <c r="J241" i="1"/>
  <c r="B242" i="1"/>
  <c r="C242" i="1"/>
  <c r="D242" i="1"/>
  <c r="E242" i="1"/>
  <c r="F242" i="1"/>
  <c r="G242" i="1"/>
  <c r="H242" i="1"/>
  <c r="I242" i="1"/>
  <c r="J242" i="1"/>
  <c r="B243" i="1"/>
  <c r="C243" i="1"/>
  <c r="D243" i="1"/>
  <c r="E243" i="1"/>
  <c r="F243" i="1"/>
  <c r="G243" i="1"/>
  <c r="H243" i="1"/>
  <c r="I243" i="1"/>
  <c r="J243" i="1"/>
  <c r="B244" i="1"/>
  <c r="C244" i="1"/>
  <c r="D244" i="1"/>
  <c r="E244" i="1"/>
  <c r="F244" i="1"/>
  <c r="G244" i="1"/>
  <c r="H244" i="1"/>
  <c r="I244" i="1"/>
  <c r="J244" i="1"/>
  <c r="B245" i="1"/>
  <c r="C245" i="1"/>
  <c r="D245" i="1"/>
  <c r="E245" i="1"/>
  <c r="F245" i="1"/>
  <c r="G245" i="1"/>
  <c r="H245" i="1"/>
  <c r="I245" i="1"/>
  <c r="J245" i="1"/>
  <c r="B246" i="1"/>
  <c r="C246" i="1"/>
  <c r="D246" i="1"/>
  <c r="E246" i="1"/>
  <c r="F246" i="1"/>
  <c r="G246" i="1"/>
  <c r="H246" i="1"/>
  <c r="I246" i="1"/>
  <c r="J246" i="1"/>
  <c r="B247" i="1"/>
  <c r="C247" i="1"/>
  <c r="D247" i="1"/>
  <c r="E247" i="1"/>
  <c r="F247" i="1"/>
  <c r="G247" i="1"/>
  <c r="H247" i="1"/>
  <c r="I247" i="1"/>
  <c r="J247" i="1"/>
  <c r="B248" i="1"/>
  <c r="C248" i="1"/>
  <c r="D248" i="1"/>
  <c r="E248" i="1"/>
  <c r="F248" i="1"/>
  <c r="G248" i="1"/>
  <c r="H248" i="1"/>
  <c r="I248" i="1"/>
  <c r="J248" i="1"/>
  <c r="B249" i="1"/>
  <c r="C249" i="1"/>
  <c r="D249" i="1"/>
  <c r="E249" i="1"/>
  <c r="F249" i="1"/>
  <c r="G249" i="1"/>
  <c r="H249" i="1"/>
  <c r="I249" i="1"/>
  <c r="J249" i="1"/>
  <c r="B250" i="1"/>
  <c r="C250" i="1"/>
  <c r="D250" i="1"/>
  <c r="E250" i="1"/>
  <c r="F250" i="1"/>
  <c r="G250" i="1"/>
  <c r="H250" i="1"/>
  <c r="I250" i="1"/>
  <c r="J250" i="1"/>
  <c r="B251" i="1"/>
  <c r="C251" i="1"/>
  <c r="D251" i="1"/>
  <c r="E251" i="1"/>
  <c r="F251" i="1"/>
  <c r="G251" i="1"/>
  <c r="H251" i="1"/>
  <c r="I251" i="1"/>
  <c r="J251" i="1"/>
  <c r="B252" i="1"/>
  <c r="C252" i="1"/>
  <c r="D252" i="1"/>
  <c r="E252" i="1"/>
  <c r="F252" i="1"/>
  <c r="G252" i="1"/>
  <c r="H252" i="1"/>
  <c r="I252" i="1"/>
  <c r="J252" i="1"/>
  <c r="B253" i="1"/>
  <c r="C253" i="1"/>
  <c r="D253" i="1"/>
  <c r="E253" i="1"/>
  <c r="F253" i="1"/>
  <c r="G253" i="1"/>
  <c r="H253" i="1"/>
  <c r="I253" i="1"/>
  <c r="J253" i="1"/>
  <c r="B254" i="1"/>
  <c r="C254" i="1"/>
  <c r="D254" i="1"/>
  <c r="E254" i="1"/>
  <c r="F254" i="1"/>
  <c r="G254" i="1"/>
  <c r="H254" i="1"/>
  <c r="I254" i="1"/>
  <c r="J254" i="1"/>
  <c r="B255" i="1"/>
  <c r="C255" i="1"/>
  <c r="D255" i="1"/>
  <c r="E255" i="1"/>
  <c r="F255" i="1"/>
  <c r="G255" i="1"/>
  <c r="H255" i="1"/>
  <c r="I255" i="1"/>
  <c r="J255" i="1"/>
  <c r="B256" i="1"/>
  <c r="C256" i="1"/>
  <c r="D256" i="1"/>
  <c r="E256" i="1"/>
  <c r="F256" i="1"/>
  <c r="G256" i="1"/>
  <c r="H256" i="1"/>
  <c r="I256" i="1"/>
  <c r="J256" i="1"/>
  <c r="B257" i="1"/>
  <c r="C257" i="1"/>
  <c r="D257" i="1"/>
  <c r="E257" i="1"/>
  <c r="F257" i="1"/>
  <c r="G257" i="1"/>
  <c r="H257" i="1"/>
  <c r="I257" i="1"/>
  <c r="J257" i="1"/>
  <c r="B258" i="1"/>
  <c r="C258" i="1"/>
  <c r="D258" i="1"/>
  <c r="E258" i="1"/>
  <c r="F258" i="1"/>
  <c r="G258" i="1"/>
  <c r="H258" i="1"/>
  <c r="I258" i="1"/>
  <c r="J258" i="1"/>
  <c r="B259" i="1"/>
  <c r="C259" i="1"/>
  <c r="D259" i="1"/>
  <c r="E259" i="1"/>
  <c r="F259" i="1"/>
  <c r="G259" i="1"/>
  <c r="H259" i="1"/>
  <c r="I259" i="1"/>
  <c r="J259" i="1"/>
  <c r="B260" i="1"/>
  <c r="C260" i="1"/>
  <c r="D260" i="1"/>
  <c r="E260" i="1"/>
  <c r="F260" i="1"/>
  <c r="G260" i="1"/>
  <c r="H260" i="1"/>
  <c r="I260" i="1"/>
  <c r="J260" i="1"/>
  <c r="B261" i="1"/>
  <c r="C261" i="1"/>
  <c r="D261" i="1"/>
  <c r="E261" i="1"/>
  <c r="F261" i="1"/>
  <c r="G261" i="1"/>
  <c r="H261" i="1"/>
  <c r="I261" i="1"/>
  <c r="J261" i="1"/>
  <c r="B262" i="1"/>
  <c r="C262" i="1"/>
  <c r="D262" i="1"/>
  <c r="E262" i="1"/>
  <c r="F262" i="1"/>
  <c r="G262" i="1"/>
  <c r="H262" i="1"/>
  <c r="I262" i="1"/>
  <c r="J262" i="1"/>
  <c r="B263" i="1"/>
  <c r="C263" i="1"/>
  <c r="D263" i="1"/>
  <c r="E263" i="1"/>
  <c r="F263" i="1"/>
  <c r="G263" i="1"/>
  <c r="H263" i="1"/>
  <c r="I263" i="1"/>
  <c r="J263" i="1"/>
  <c r="B264" i="1"/>
  <c r="C264" i="1"/>
  <c r="D264" i="1"/>
  <c r="E264" i="1"/>
  <c r="F264" i="1"/>
  <c r="G264" i="1"/>
  <c r="H264" i="1"/>
  <c r="I264" i="1"/>
  <c r="J264" i="1"/>
  <c r="B265" i="1"/>
  <c r="C265" i="1"/>
  <c r="D265" i="1"/>
  <c r="E265" i="1"/>
  <c r="F265" i="1"/>
  <c r="G265" i="1"/>
  <c r="H265" i="1"/>
  <c r="I265" i="1"/>
  <c r="J265" i="1"/>
  <c r="B266" i="1"/>
  <c r="C266" i="1"/>
  <c r="D266" i="1"/>
  <c r="E266" i="1"/>
  <c r="F266" i="1"/>
  <c r="G266" i="1"/>
  <c r="H266" i="1"/>
  <c r="I266" i="1"/>
  <c r="J266" i="1"/>
  <c r="B267" i="1"/>
  <c r="C267" i="1"/>
  <c r="D267" i="1"/>
  <c r="E267" i="1"/>
  <c r="F267" i="1"/>
  <c r="G267" i="1"/>
  <c r="H267" i="1"/>
  <c r="I267" i="1"/>
  <c r="J267" i="1"/>
  <c r="B268" i="1"/>
  <c r="C268" i="1"/>
  <c r="D268" i="1"/>
  <c r="E268" i="1"/>
  <c r="F268" i="1"/>
  <c r="G268" i="1"/>
  <c r="H268" i="1"/>
  <c r="I268" i="1"/>
  <c r="J268" i="1"/>
  <c r="B269" i="1"/>
  <c r="C269" i="1"/>
  <c r="D269" i="1"/>
  <c r="E269" i="1"/>
  <c r="F269" i="1"/>
  <c r="G269" i="1"/>
  <c r="H269" i="1"/>
  <c r="I269" i="1"/>
  <c r="J269" i="1"/>
  <c r="B270" i="1"/>
  <c r="C270" i="1"/>
  <c r="D270" i="1"/>
  <c r="E270" i="1"/>
  <c r="F270" i="1"/>
  <c r="G270" i="1"/>
  <c r="H270" i="1"/>
  <c r="I270" i="1"/>
  <c r="J270" i="1"/>
  <c r="B271" i="1"/>
  <c r="C271" i="1"/>
  <c r="D271" i="1"/>
  <c r="E271" i="1"/>
  <c r="F271" i="1"/>
  <c r="G271" i="1"/>
  <c r="H271" i="1"/>
  <c r="I271" i="1"/>
  <c r="J271" i="1"/>
  <c r="B272" i="1"/>
  <c r="C272" i="1"/>
  <c r="D272" i="1"/>
  <c r="E272" i="1"/>
  <c r="F272" i="1"/>
  <c r="G272" i="1"/>
  <c r="H272" i="1"/>
  <c r="I272" i="1"/>
  <c r="J272" i="1"/>
  <c r="B273" i="1"/>
  <c r="C273" i="1"/>
  <c r="D273" i="1"/>
  <c r="E273" i="1"/>
  <c r="F273" i="1"/>
  <c r="G273" i="1"/>
  <c r="H273" i="1"/>
  <c r="I273" i="1"/>
  <c r="J273" i="1"/>
  <c r="B274" i="1"/>
  <c r="C274" i="1"/>
  <c r="D274" i="1"/>
  <c r="E274" i="1"/>
  <c r="F274" i="1"/>
  <c r="G274" i="1"/>
  <c r="H274" i="1"/>
  <c r="I274" i="1"/>
  <c r="J274" i="1"/>
  <c r="B275" i="1"/>
  <c r="C275" i="1"/>
  <c r="D275" i="1"/>
  <c r="E275" i="1"/>
  <c r="F275" i="1"/>
  <c r="G275" i="1"/>
  <c r="H275" i="1"/>
  <c r="I275" i="1"/>
  <c r="J275" i="1"/>
  <c r="B276" i="1"/>
  <c r="C276" i="1"/>
  <c r="D276" i="1"/>
  <c r="E276" i="1"/>
  <c r="F276" i="1"/>
  <c r="G276" i="1"/>
  <c r="H276" i="1"/>
  <c r="I276" i="1"/>
  <c r="J276" i="1"/>
  <c r="B277" i="1"/>
  <c r="C277" i="1"/>
  <c r="D277" i="1"/>
  <c r="E277" i="1"/>
  <c r="F277" i="1"/>
  <c r="G277" i="1"/>
  <c r="H277" i="1"/>
  <c r="I277" i="1"/>
  <c r="J277" i="1"/>
  <c r="B278" i="1"/>
  <c r="C278" i="1"/>
  <c r="D278" i="1"/>
  <c r="E278" i="1"/>
  <c r="F278" i="1"/>
  <c r="G278" i="1"/>
  <c r="H278" i="1"/>
  <c r="I278" i="1"/>
  <c r="J278" i="1"/>
  <c r="B279" i="1"/>
  <c r="C279" i="1"/>
  <c r="D279" i="1"/>
  <c r="E279" i="1"/>
  <c r="F279" i="1"/>
  <c r="G279" i="1"/>
  <c r="H279" i="1"/>
  <c r="I279" i="1"/>
  <c r="J279" i="1"/>
  <c r="B280" i="1"/>
  <c r="C280" i="1"/>
  <c r="D280" i="1"/>
  <c r="E280" i="1"/>
  <c r="F280" i="1"/>
  <c r="G280" i="1"/>
  <c r="H280" i="1"/>
  <c r="I280" i="1"/>
  <c r="J280" i="1"/>
  <c r="B281" i="1"/>
  <c r="C281" i="1"/>
  <c r="D281" i="1"/>
  <c r="E281" i="1"/>
  <c r="F281" i="1"/>
  <c r="G281" i="1"/>
  <c r="H281" i="1"/>
  <c r="I281" i="1"/>
  <c r="J281" i="1"/>
  <c r="B282" i="1"/>
  <c r="C282" i="1"/>
  <c r="D282" i="1"/>
  <c r="E282" i="1"/>
  <c r="F282" i="1"/>
  <c r="G282" i="1"/>
  <c r="H282" i="1"/>
  <c r="I282" i="1"/>
  <c r="J282" i="1"/>
  <c r="B283" i="1"/>
  <c r="C283" i="1"/>
  <c r="D283" i="1"/>
  <c r="E283" i="1"/>
  <c r="F283" i="1"/>
  <c r="G283" i="1"/>
  <c r="H283" i="1"/>
  <c r="I283" i="1"/>
  <c r="J283" i="1"/>
  <c r="B284" i="1"/>
  <c r="C284" i="1"/>
  <c r="D284" i="1"/>
  <c r="E284" i="1"/>
  <c r="F284" i="1"/>
  <c r="G284" i="1"/>
  <c r="H284" i="1"/>
  <c r="I284" i="1"/>
  <c r="J284" i="1"/>
  <c r="B285" i="1"/>
  <c r="C285" i="1"/>
  <c r="D285" i="1"/>
  <c r="E285" i="1"/>
  <c r="F285" i="1"/>
  <c r="G285" i="1"/>
  <c r="H285" i="1"/>
  <c r="I285" i="1"/>
  <c r="J285" i="1"/>
  <c r="B286" i="1"/>
  <c r="C286" i="1"/>
  <c r="D286" i="1"/>
  <c r="E286" i="1"/>
  <c r="F286" i="1"/>
  <c r="G286" i="1"/>
  <c r="H286" i="1"/>
  <c r="I286" i="1"/>
  <c r="J286" i="1"/>
  <c r="B287" i="1"/>
  <c r="C287" i="1"/>
  <c r="D287" i="1"/>
  <c r="E287" i="1"/>
  <c r="F287" i="1"/>
  <c r="G287" i="1"/>
  <c r="H287" i="1"/>
  <c r="I287" i="1"/>
  <c r="J287" i="1"/>
  <c r="B288" i="1"/>
  <c r="C288" i="1"/>
  <c r="D288" i="1"/>
  <c r="E288" i="1"/>
  <c r="F288" i="1"/>
  <c r="G288" i="1"/>
  <c r="H288" i="1"/>
  <c r="I288" i="1"/>
  <c r="J288" i="1"/>
  <c r="B289" i="1"/>
  <c r="C289" i="1"/>
  <c r="D289" i="1"/>
  <c r="E289" i="1"/>
  <c r="F289" i="1"/>
  <c r="G289" i="1"/>
  <c r="H289" i="1"/>
  <c r="I289" i="1"/>
  <c r="J289" i="1"/>
  <c r="B290" i="1"/>
  <c r="C290" i="1"/>
  <c r="D290" i="1"/>
  <c r="E290" i="1"/>
  <c r="F290" i="1"/>
  <c r="G290" i="1"/>
  <c r="H290" i="1"/>
  <c r="I290" i="1"/>
  <c r="J290" i="1"/>
  <c r="B291" i="1"/>
  <c r="C291" i="1"/>
  <c r="D291" i="1"/>
  <c r="E291" i="1"/>
  <c r="F291" i="1"/>
  <c r="G291" i="1"/>
  <c r="H291" i="1"/>
  <c r="I291" i="1"/>
  <c r="J291" i="1"/>
  <c r="B292" i="1"/>
  <c r="C292" i="1"/>
  <c r="D292" i="1"/>
  <c r="E292" i="1"/>
  <c r="F292" i="1"/>
  <c r="G292" i="1"/>
  <c r="H292" i="1"/>
  <c r="I292" i="1"/>
  <c r="J292" i="1"/>
  <c r="B293" i="1"/>
  <c r="C293" i="1"/>
  <c r="D293" i="1"/>
  <c r="E293" i="1"/>
  <c r="F293" i="1"/>
  <c r="G293" i="1"/>
  <c r="H293" i="1"/>
  <c r="I293" i="1"/>
  <c r="J293" i="1"/>
  <c r="B294" i="1"/>
  <c r="C294" i="1"/>
  <c r="D294" i="1"/>
  <c r="E294" i="1"/>
  <c r="F294" i="1"/>
  <c r="G294" i="1"/>
  <c r="H294" i="1"/>
  <c r="I294" i="1"/>
  <c r="J294" i="1"/>
  <c r="B295" i="1"/>
  <c r="C295" i="1"/>
  <c r="D295" i="1"/>
  <c r="E295" i="1"/>
  <c r="F295" i="1"/>
  <c r="G295" i="1"/>
  <c r="H295" i="1"/>
  <c r="I295" i="1"/>
  <c r="J295" i="1"/>
  <c r="B296" i="1"/>
  <c r="C296" i="1"/>
  <c r="D296" i="1"/>
  <c r="E296" i="1"/>
  <c r="F296" i="1"/>
  <c r="G296" i="1"/>
  <c r="H296" i="1"/>
  <c r="I296" i="1"/>
  <c r="J296" i="1"/>
  <c r="B297" i="1"/>
  <c r="C297" i="1"/>
  <c r="D297" i="1"/>
  <c r="E297" i="1"/>
  <c r="F297" i="1"/>
  <c r="G297" i="1"/>
  <c r="H297" i="1"/>
  <c r="I297" i="1"/>
  <c r="J297" i="1"/>
  <c r="B298" i="1"/>
  <c r="C298" i="1"/>
  <c r="D298" i="1"/>
  <c r="E298" i="1"/>
  <c r="F298" i="1"/>
  <c r="G298" i="1"/>
  <c r="H298" i="1"/>
  <c r="I298" i="1"/>
  <c r="J298" i="1"/>
  <c r="B299" i="1"/>
  <c r="C299" i="1"/>
  <c r="D299" i="1"/>
  <c r="E299" i="1"/>
  <c r="F299" i="1"/>
  <c r="G299" i="1"/>
  <c r="H299" i="1"/>
  <c r="I299" i="1"/>
  <c r="J299" i="1"/>
  <c r="B300" i="1"/>
  <c r="C300" i="1"/>
  <c r="D300" i="1"/>
  <c r="E300" i="1"/>
  <c r="F300" i="1"/>
  <c r="G300" i="1"/>
  <c r="H300" i="1"/>
  <c r="I300" i="1"/>
  <c r="J300" i="1"/>
  <c r="B301" i="1"/>
  <c r="C301" i="1"/>
  <c r="D301" i="1"/>
  <c r="E301" i="1"/>
  <c r="F301" i="1"/>
  <c r="G301" i="1"/>
  <c r="H301" i="1"/>
  <c r="I301" i="1"/>
  <c r="J301" i="1"/>
  <c r="B302" i="1"/>
  <c r="C302" i="1"/>
  <c r="D302" i="1"/>
  <c r="E302" i="1"/>
  <c r="F302" i="1"/>
  <c r="G302" i="1"/>
  <c r="H302" i="1"/>
  <c r="I302" i="1"/>
  <c r="J302" i="1"/>
  <c r="B303" i="1"/>
  <c r="C303" i="1"/>
  <c r="D303" i="1"/>
  <c r="E303" i="1"/>
  <c r="F303" i="1"/>
  <c r="G303" i="1"/>
  <c r="H303" i="1"/>
  <c r="I303" i="1"/>
  <c r="J303" i="1"/>
  <c r="B304" i="1"/>
  <c r="C304" i="1"/>
  <c r="D304" i="1"/>
  <c r="E304" i="1"/>
  <c r="F304" i="1"/>
  <c r="G304" i="1"/>
  <c r="H304" i="1"/>
  <c r="I304" i="1"/>
  <c r="J304" i="1"/>
  <c r="B305" i="1"/>
  <c r="C305" i="1"/>
  <c r="D305" i="1"/>
  <c r="E305" i="1"/>
  <c r="F305" i="1"/>
  <c r="G305" i="1"/>
  <c r="H305" i="1"/>
  <c r="I305" i="1"/>
  <c r="J305" i="1"/>
  <c r="B306" i="1"/>
  <c r="C306" i="1"/>
  <c r="D306" i="1"/>
  <c r="E306" i="1"/>
  <c r="F306" i="1"/>
  <c r="G306" i="1"/>
  <c r="H306" i="1"/>
  <c r="I306" i="1"/>
  <c r="J306" i="1"/>
  <c r="B307" i="1"/>
  <c r="C307" i="1"/>
  <c r="D307" i="1"/>
  <c r="E307" i="1"/>
  <c r="F307" i="1"/>
  <c r="G307" i="1"/>
  <c r="H307" i="1"/>
  <c r="I307" i="1"/>
  <c r="J307" i="1"/>
  <c r="B308" i="1"/>
  <c r="C308" i="1"/>
  <c r="D308" i="1"/>
  <c r="E308" i="1"/>
  <c r="F308" i="1"/>
  <c r="G308" i="1"/>
  <c r="H308" i="1"/>
  <c r="I308" i="1"/>
  <c r="J308" i="1"/>
  <c r="B309" i="1"/>
  <c r="C309" i="1"/>
  <c r="D309" i="1"/>
  <c r="E309" i="1"/>
  <c r="F309" i="1"/>
  <c r="G309" i="1"/>
  <c r="H309" i="1"/>
  <c r="I309" i="1"/>
  <c r="J309" i="1"/>
  <c r="B310" i="1"/>
  <c r="C310" i="1"/>
  <c r="D310" i="1"/>
  <c r="E310" i="1"/>
  <c r="F310" i="1"/>
  <c r="G310" i="1"/>
  <c r="H310" i="1"/>
  <c r="I310" i="1"/>
  <c r="J310" i="1"/>
  <c r="B311" i="1"/>
  <c r="C311" i="1"/>
  <c r="D311" i="1"/>
  <c r="E311" i="1"/>
  <c r="F311" i="1"/>
  <c r="G311" i="1"/>
  <c r="H311" i="1"/>
  <c r="I311" i="1"/>
  <c r="J311" i="1"/>
  <c r="B312" i="1"/>
  <c r="C312" i="1"/>
  <c r="D312" i="1"/>
  <c r="E312" i="1"/>
  <c r="F312" i="1"/>
  <c r="G312" i="1"/>
  <c r="H312" i="1"/>
  <c r="I312" i="1"/>
  <c r="J312" i="1"/>
  <c r="B313" i="1"/>
  <c r="C313" i="1"/>
  <c r="D313" i="1"/>
  <c r="E313" i="1"/>
  <c r="F313" i="1"/>
  <c r="G313" i="1"/>
  <c r="H313" i="1"/>
  <c r="I313" i="1"/>
  <c r="J313" i="1"/>
  <c r="B314" i="1"/>
  <c r="C314" i="1"/>
  <c r="D314" i="1"/>
  <c r="E314" i="1"/>
  <c r="F314" i="1"/>
  <c r="G314" i="1"/>
  <c r="H314" i="1"/>
  <c r="I314" i="1"/>
  <c r="J314" i="1"/>
  <c r="B315" i="1"/>
  <c r="C315" i="1"/>
  <c r="D315" i="1"/>
  <c r="E315" i="1"/>
  <c r="F315" i="1"/>
  <c r="G315" i="1"/>
  <c r="H315" i="1"/>
  <c r="I315" i="1"/>
  <c r="J315" i="1"/>
  <c r="B316" i="1"/>
  <c r="C316" i="1"/>
  <c r="D316" i="1"/>
  <c r="E316" i="1"/>
  <c r="F316" i="1"/>
  <c r="G316" i="1"/>
  <c r="H316" i="1"/>
  <c r="I316" i="1"/>
  <c r="J316" i="1"/>
  <c r="B317" i="1"/>
  <c r="C317" i="1"/>
  <c r="D317" i="1"/>
  <c r="E317" i="1"/>
  <c r="F317" i="1"/>
  <c r="G317" i="1"/>
  <c r="H317" i="1"/>
  <c r="I317" i="1"/>
  <c r="J317" i="1"/>
  <c r="B318" i="1"/>
  <c r="C318" i="1"/>
  <c r="D318" i="1"/>
  <c r="E318" i="1"/>
  <c r="F318" i="1"/>
  <c r="G318" i="1"/>
  <c r="H318" i="1"/>
  <c r="I318" i="1"/>
  <c r="J318" i="1"/>
  <c r="B319" i="1"/>
  <c r="C319" i="1"/>
  <c r="D319" i="1"/>
  <c r="E319" i="1"/>
  <c r="F319" i="1"/>
  <c r="G319" i="1"/>
  <c r="H319" i="1"/>
  <c r="I319" i="1"/>
  <c r="J319" i="1"/>
  <c r="B320" i="1"/>
  <c r="C320" i="1"/>
  <c r="D320" i="1"/>
  <c r="E320" i="1"/>
  <c r="F320" i="1"/>
  <c r="G320" i="1"/>
  <c r="H320" i="1"/>
  <c r="I320" i="1"/>
  <c r="J320" i="1"/>
  <c r="B321" i="1"/>
  <c r="C321" i="1"/>
  <c r="D321" i="1"/>
  <c r="E321" i="1"/>
  <c r="F321" i="1"/>
  <c r="G321" i="1"/>
  <c r="H321" i="1"/>
  <c r="I321" i="1"/>
  <c r="J321" i="1"/>
  <c r="B322" i="1"/>
  <c r="C322" i="1"/>
  <c r="D322" i="1"/>
  <c r="E322" i="1"/>
  <c r="F322" i="1"/>
  <c r="G322" i="1"/>
  <c r="H322" i="1"/>
  <c r="I322" i="1"/>
  <c r="J322" i="1"/>
  <c r="B323" i="1"/>
  <c r="C323" i="1"/>
  <c r="D323" i="1"/>
  <c r="E323" i="1"/>
  <c r="F323" i="1"/>
  <c r="G323" i="1"/>
  <c r="H323" i="1"/>
  <c r="I323" i="1"/>
  <c r="J323" i="1"/>
  <c r="B324" i="1"/>
  <c r="C324" i="1"/>
  <c r="D324" i="1"/>
  <c r="E324" i="1"/>
  <c r="F324" i="1"/>
  <c r="G324" i="1"/>
  <c r="H324" i="1"/>
  <c r="I324" i="1"/>
  <c r="J324" i="1"/>
  <c r="B325" i="1"/>
  <c r="C325" i="1"/>
  <c r="D325" i="1"/>
  <c r="E325" i="1"/>
  <c r="F325" i="1"/>
  <c r="G325" i="1"/>
  <c r="H325" i="1"/>
  <c r="I325" i="1"/>
  <c r="J325" i="1"/>
  <c r="B326" i="1"/>
  <c r="C326" i="1"/>
  <c r="D326" i="1"/>
  <c r="E326" i="1"/>
  <c r="F326" i="1"/>
  <c r="G326" i="1"/>
  <c r="H326" i="1"/>
  <c r="I326" i="1"/>
  <c r="J326" i="1"/>
  <c r="B327" i="1"/>
  <c r="C327" i="1"/>
  <c r="D327" i="1"/>
  <c r="E327" i="1"/>
  <c r="F327" i="1"/>
  <c r="G327" i="1"/>
  <c r="H327" i="1"/>
  <c r="I327" i="1"/>
  <c r="J327" i="1"/>
  <c r="B328" i="1"/>
  <c r="C328" i="1"/>
  <c r="D328" i="1"/>
  <c r="E328" i="1"/>
  <c r="F328" i="1"/>
  <c r="G328" i="1"/>
  <c r="H328" i="1"/>
  <c r="I328" i="1"/>
  <c r="J328" i="1"/>
  <c r="B329" i="1"/>
  <c r="C329" i="1"/>
  <c r="D329" i="1"/>
  <c r="E329" i="1"/>
  <c r="F329" i="1"/>
  <c r="G329" i="1"/>
  <c r="H329" i="1"/>
  <c r="I329" i="1"/>
  <c r="J329" i="1"/>
  <c r="B330" i="1"/>
  <c r="C330" i="1"/>
  <c r="D330" i="1"/>
  <c r="E330" i="1"/>
  <c r="F330" i="1"/>
  <c r="G330" i="1"/>
  <c r="H330" i="1"/>
  <c r="I330" i="1"/>
  <c r="J330" i="1"/>
  <c r="B331" i="1"/>
  <c r="C331" i="1"/>
  <c r="D331" i="1"/>
  <c r="E331" i="1"/>
  <c r="F331" i="1"/>
  <c r="G331" i="1"/>
  <c r="H331" i="1"/>
  <c r="I331" i="1"/>
  <c r="J331" i="1"/>
  <c r="B332" i="1"/>
  <c r="C332" i="1"/>
  <c r="D332" i="1"/>
  <c r="E332" i="1"/>
  <c r="F332" i="1"/>
  <c r="G332" i="1"/>
  <c r="H332" i="1"/>
  <c r="I332" i="1"/>
  <c r="J332" i="1"/>
  <c r="B333" i="1"/>
  <c r="C333" i="1"/>
  <c r="D333" i="1"/>
  <c r="E333" i="1"/>
  <c r="F333" i="1"/>
  <c r="G333" i="1"/>
  <c r="H333" i="1"/>
  <c r="I333" i="1"/>
  <c r="J333" i="1"/>
  <c r="B334" i="1"/>
  <c r="C334" i="1"/>
  <c r="D334" i="1"/>
  <c r="E334" i="1"/>
  <c r="F334" i="1"/>
  <c r="G334" i="1"/>
  <c r="H334" i="1"/>
  <c r="I334" i="1"/>
  <c r="J334" i="1"/>
  <c r="B335" i="1"/>
  <c r="C335" i="1"/>
  <c r="D335" i="1"/>
  <c r="E335" i="1"/>
  <c r="F335" i="1"/>
  <c r="G335" i="1"/>
  <c r="H335" i="1"/>
  <c r="I335" i="1"/>
  <c r="J335" i="1"/>
  <c r="B336" i="1"/>
  <c r="C336" i="1"/>
  <c r="D336" i="1"/>
  <c r="E336" i="1"/>
  <c r="F336" i="1"/>
  <c r="G336" i="1"/>
  <c r="H336" i="1"/>
  <c r="I336" i="1"/>
  <c r="J336" i="1"/>
  <c r="B337" i="1"/>
  <c r="C337" i="1"/>
  <c r="D337" i="1"/>
  <c r="E337" i="1"/>
  <c r="F337" i="1"/>
  <c r="G337" i="1"/>
  <c r="H337" i="1"/>
  <c r="I337" i="1"/>
  <c r="J337" i="1"/>
  <c r="B338" i="1"/>
  <c r="C338" i="1"/>
  <c r="D338" i="1"/>
  <c r="E338" i="1"/>
  <c r="F338" i="1"/>
  <c r="G338" i="1"/>
  <c r="H338" i="1"/>
  <c r="I338" i="1"/>
  <c r="J338" i="1"/>
  <c r="B339" i="1"/>
  <c r="C339" i="1"/>
  <c r="D339" i="1"/>
  <c r="E339" i="1"/>
  <c r="F339" i="1"/>
  <c r="G339" i="1"/>
  <c r="H339" i="1"/>
  <c r="I339" i="1"/>
  <c r="J339" i="1"/>
  <c r="B340" i="1"/>
  <c r="C340" i="1"/>
  <c r="D340" i="1"/>
  <c r="E340" i="1"/>
  <c r="F340" i="1"/>
  <c r="G340" i="1"/>
  <c r="H340" i="1"/>
  <c r="I340" i="1"/>
  <c r="J340" i="1"/>
  <c r="B341" i="1"/>
  <c r="C341" i="1"/>
  <c r="D341" i="1"/>
  <c r="E341" i="1"/>
  <c r="F341" i="1"/>
  <c r="G341" i="1"/>
  <c r="H341" i="1"/>
  <c r="I341" i="1"/>
  <c r="J341" i="1"/>
  <c r="B342" i="1"/>
  <c r="C342" i="1"/>
  <c r="D342" i="1"/>
  <c r="E342" i="1"/>
  <c r="F342" i="1"/>
  <c r="G342" i="1"/>
  <c r="H342" i="1"/>
  <c r="I342" i="1"/>
  <c r="J342" i="1"/>
  <c r="B343" i="1"/>
  <c r="C343" i="1"/>
  <c r="D343" i="1"/>
  <c r="E343" i="1"/>
  <c r="F343" i="1"/>
  <c r="G343" i="1"/>
  <c r="H343" i="1"/>
  <c r="I343" i="1"/>
  <c r="J343" i="1"/>
  <c r="B344" i="1"/>
  <c r="C344" i="1"/>
  <c r="D344" i="1"/>
  <c r="E344" i="1"/>
  <c r="F344" i="1"/>
  <c r="G344" i="1"/>
  <c r="H344" i="1"/>
  <c r="I344" i="1"/>
  <c r="J344" i="1"/>
  <c r="B345" i="1"/>
  <c r="C345" i="1"/>
  <c r="D345" i="1"/>
  <c r="E345" i="1"/>
  <c r="F345" i="1"/>
  <c r="G345" i="1"/>
  <c r="H345" i="1"/>
  <c r="I345" i="1"/>
  <c r="J345" i="1"/>
  <c r="B346" i="1"/>
  <c r="C346" i="1"/>
  <c r="D346" i="1"/>
  <c r="E346" i="1"/>
  <c r="F346" i="1"/>
  <c r="G346" i="1"/>
  <c r="H346" i="1"/>
  <c r="I346" i="1"/>
  <c r="J346" i="1"/>
  <c r="B347" i="1"/>
  <c r="C347" i="1"/>
  <c r="D347" i="1"/>
  <c r="E347" i="1"/>
  <c r="F347" i="1"/>
  <c r="G347" i="1"/>
  <c r="H347" i="1"/>
  <c r="I347" i="1"/>
  <c r="J347" i="1"/>
  <c r="B348" i="1"/>
  <c r="C348" i="1"/>
  <c r="D348" i="1"/>
  <c r="E348" i="1"/>
  <c r="F348" i="1"/>
  <c r="G348" i="1"/>
  <c r="H348" i="1"/>
  <c r="I348" i="1"/>
  <c r="J348" i="1"/>
  <c r="B349" i="1"/>
  <c r="C349" i="1"/>
  <c r="D349" i="1"/>
  <c r="E349" i="1"/>
  <c r="F349" i="1"/>
  <c r="G349" i="1"/>
  <c r="H349" i="1"/>
  <c r="I349" i="1"/>
  <c r="J349" i="1"/>
  <c r="B350" i="1"/>
  <c r="C350" i="1"/>
  <c r="D350" i="1"/>
  <c r="E350" i="1"/>
  <c r="F350" i="1"/>
  <c r="G350" i="1"/>
  <c r="H350" i="1"/>
  <c r="I350" i="1"/>
  <c r="J350" i="1"/>
  <c r="B351" i="1"/>
  <c r="C351" i="1"/>
  <c r="D351" i="1"/>
  <c r="E351" i="1"/>
  <c r="F351" i="1"/>
  <c r="G351" i="1"/>
  <c r="H351" i="1"/>
  <c r="I351" i="1"/>
  <c r="J351" i="1"/>
  <c r="B352" i="1"/>
  <c r="C352" i="1"/>
  <c r="D352" i="1"/>
  <c r="E352" i="1"/>
  <c r="F352" i="1"/>
  <c r="G352" i="1"/>
  <c r="H352" i="1"/>
  <c r="I352" i="1"/>
  <c r="J352" i="1"/>
  <c r="B353" i="1"/>
  <c r="C353" i="1"/>
  <c r="D353" i="1"/>
  <c r="E353" i="1"/>
  <c r="F353" i="1"/>
  <c r="G353" i="1"/>
  <c r="H353" i="1"/>
  <c r="I353" i="1"/>
  <c r="J353" i="1"/>
  <c r="B354" i="1"/>
  <c r="C354" i="1"/>
  <c r="D354" i="1"/>
  <c r="E354" i="1"/>
  <c r="F354" i="1"/>
  <c r="G354" i="1"/>
  <c r="H354" i="1"/>
  <c r="I354" i="1"/>
  <c r="J354" i="1"/>
  <c r="B355" i="1"/>
  <c r="C355" i="1"/>
  <c r="D355" i="1"/>
  <c r="E355" i="1"/>
  <c r="F355" i="1"/>
  <c r="G355" i="1"/>
  <c r="H355" i="1"/>
  <c r="I355" i="1"/>
  <c r="J355" i="1"/>
  <c r="B356" i="1"/>
  <c r="C356" i="1"/>
  <c r="D356" i="1"/>
  <c r="E356" i="1"/>
  <c r="F356" i="1"/>
  <c r="G356" i="1"/>
  <c r="H356" i="1"/>
  <c r="I356" i="1"/>
  <c r="J356" i="1"/>
  <c r="B357" i="1"/>
  <c r="C357" i="1"/>
  <c r="D357" i="1"/>
  <c r="E357" i="1"/>
  <c r="F357" i="1"/>
  <c r="G357" i="1"/>
  <c r="H357" i="1"/>
  <c r="I357" i="1"/>
  <c r="J357" i="1"/>
  <c r="B358" i="1"/>
  <c r="C358" i="1"/>
  <c r="D358" i="1"/>
  <c r="E358" i="1"/>
  <c r="F358" i="1"/>
  <c r="G358" i="1"/>
  <c r="H358" i="1"/>
  <c r="I358" i="1"/>
  <c r="J358" i="1"/>
  <c r="B359" i="1"/>
  <c r="C359" i="1"/>
  <c r="D359" i="1"/>
  <c r="E359" i="1"/>
  <c r="F359" i="1"/>
  <c r="G359" i="1"/>
  <c r="H359" i="1"/>
  <c r="I359" i="1"/>
  <c r="J359" i="1"/>
  <c r="B360" i="1"/>
  <c r="C360" i="1"/>
  <c r="D360" i="1"/>
  <c r="E360" i="1"/>
  <c r="F360" i="1"/>
  <c r="G360" i="1"/>
  <c r="H360" i="1"/>
  <c r="I360" i="1"/>
  <c r="J360" i="1"/>
  <c r="B361" i="1"/>
  <c r="C361" i="1"/>
  <c r="D361" i="1"/>
  <c r="E361" i="1"/>
  <c r="F361" i="1"/>
  <c r="G361" i="1"/>
  <c r="H361" i="1"/>
  <c r="I361" i="1"/>
  <c r="J361" i="1"/>
  <c r="B362" i="1"/>
  <c r="C362" i="1"/>
  <c r="D362" i="1"/>
  <c r="E362" i="1"/>
  <c r="F362" i="1"/>
  <c r="G362" i="1"/>
  <c r="H362" i="1"/>
  <c r="I362" i="1"/>
  <c r="J362" i="1"/>
  <c r="B363" i="1"/>
  <c r="C363" i="1"/>
  <c r="D363" i="1"/>
  <c r="E363" i="1"/>
  <c r="F363" i="1"/>
  <c r="G363" i="1"/>
  <c r="H363" i="1"/>
  <c r="I363" i="1"/>
  <c r="J363" i="1"/>
  <c r="B364" i="1"/>
  <c r="C364" i="1"/>
  <c r="D364" i="1"/>
  <c r="E364" i="1"/>
  <c r="F364" i="1"/>
  <c r="G364" i="1"/>
  <c r="H364" i="1"/>
  <c r="I364" i="1"/>
  <c r="J364" i="1"/>
  <c r="B365" i="1"/>
  <c r="C365" i="1"/>
  <c r="D365" i="1"/>
  <c r="E365" i="1"/>
  <c r="F365" i="1"/>
  <c r="G365" i="1"/>
  <c r="H365" i="1"/>
  <c r="I365" i="1"/>
  <c r="J365" i="1"/>
  <c r="B366" i="1"/>
  <c r="C366" i="1"/>
  <c r="D366" i="1"/>
  <c r="E366" i="1"/>
  <c r="F366" i="1"/>
  <c r="G366" i="1"/>
  <c r="H366" i="1"/>
  <c r="I366" i="1"/>
  <c r="J366" i="1"/>
  <c r="B367" i="1"/>
  <c r="C367" i="1"/>
  <c r="D367" i="1"/>
  <c r="E367" i="1"/>
  <c r="F367" i="1"/>
  <c r="G367" i="1"/>
  <c r="H367" i="1"/>
  <c r="I367" i="1"/>
  <c r="J367" i="1"/>
  <c r="B368" i="1"/>
  <c r="C368" i="1"/>
  <c r="D368" i="1"/>
  <c r="E368" i="1"/>
  <c r="F368" i="1"/>
  <c r="G368" i="1"/>
  <c r="H368" i="1"/>
  <c r="I368" i="1"/>
  <c r="J368" i="1"/>
  <c r="B369" i="1"/>
  <c r="C369" i="1"/>
  <c r="D369" i="1"/>
  <c r="E369" i="1"/>
  <c r="F369" i="1"/>
  <c r="G369" i="1"/>
  <c r="H369" i="1"/>
  <c r="I369" i="1"/>
  <c r="J369" i="1"/>
  <c r="B370" i="1"/>
  <c r="C370" i="1"/>
  <c r="D370" i="1"/>
  <c r="E370" i="1"/>
  <c r="F370" i="1"/>
  <c r="G370" i="1"/>
  <c r="H370" i="1"/>
  <c r="I370" i="1"/>
  <c r="J370" i="1"/>
  <c r="B371" i="1"/>
  <c r="C371" i="1"/>
  <c r="D371" i="1"/>
  <c r="E371" i="1"/>
  <c r="F371" i="1"/>
  <c r="G371" i="1"/>
  <c r="H371" i="1"/>
  <c r="I371" i="1"/>
  <c r="J371" i="1"/>
  <c r="B372" i="1"/>
  <c r="C372" i="1"/>
  <c r="D372" i="1"/>
  <c r="E372" i="1"/>
  <c r="F372" i="1"/>
  <c r="G372" i="1"/>
  <c r="H372" i="1"/>
  <c r="I372" i="1"/>
  <c r="J372" i="1"/>
  <c r="B373" i="1"/>
  <c r="C373" i="1"/>
  <c r="D373" i="1"/>
  <c r="E373" i="1"/>
  <c r="F373" i="1"/>
  <c r="G373" i="1"/>
  <c r="H373" i="1"/>
  <c r="I373" i="1"/>
  <c r="J373" i="1"/>
  <c r="B374" i="1"/>
  <c r="C374" i="1"/>
  <c r="D374" i="1"/>
  <c r="E374" i="1"/>
  <c r="F374" i="1"/>
  <c r="G374" i="1"/>
  <c r="H374" i="1"/>
  <c r="I374" i="1"/>
  <c r="J374" i="1"/>
  <c r="B375" i="1"/>
  <c r="C375" i="1"/>
  <c r="D375" i="1"/>
  <c r="E375" i="1"/>
  <c r="F375" i="1"/>
  <c r="G375" i="1"/>
  <c r="H375" i="1"/>
  <c r="I375" i="1"/>
  <c r="J375" i="1"/>
  <c r="B376" i="1"/>
  <c r="C376" i="1"/>
  <c r="D376" i="1"/>
  <c r="E376" i="1"/>
  <c r="F376" i="1"/>
  <c r="G376" i="1"/>
  <c r="H376" i="1"/>
  <c r="I376" i="1"/>
  <c r="J376" i="1"/>
  <c r="B377" i="1"/>
  <c r="C377" i="1"/>
  <c r="D377" i="1"/>
  <c r="E377" i="1"/>
  <c r="F377" i="1"/>
  <c r="G377" i="1"/>
  <c r="H377" i="1"/>
  <c r="I377" i="1"/>
  <c r="J377" i="1"/>
  <c r="B378" i="1"/>
  <c r="C378" i="1"/>
  <c r="D378" i="1"/>
  <c r="E378" i="1"/>
  <c r="F378" i="1"/>
  <c r="G378" i="1"/>
  <c r="H378" i="1"/>
  <c r="I378" i="1"/>
  <c r="J378" i="1"/>
  <c r="B379" i="1"/>
  <c r="C379" i="1"/>
  <c r="D379" i="1"/>
  <c r="E379" i="1"/>
  <c r="F379" i="1"/>
  <c r="G379" i="1"/>
  <c r="H379" i="1"/>
  <c r="I379" i="1"/>
  <c r="J379" i="1"/>
  <c r="B380" i="1"/>
  <c r="C380" i="1"/>
  <c r="D380" i="1"/>
  <c r="E380" i="1"/>
  <c r="F380" i="1"/>
  <c r="G380" i="1"/>
  <c r="H380" i="1"/>
  <c r="I380" i="1"/>
  <c r="J380" i="1"/>
  <c r="B381" i="1"/>
  <c r="C381" i="1"/>
  <c r="D381" i="1"/>
  <c r="E381" i="1"/>
  <c r="F381" i="1"/>
  <c r="G381" i="1"/>
  <c r="H381" i="1"/>
  <c r="I381" i="1"/>
  <c r="J381" i="1"/>
  <c r="B382" i="1"/>
  <c r="C382" i="1"/>
  <c r="D382" i="1"/>
  <c r="E382" i="1"/>
  <c r="F382" i="1"/>
  <c r="G382" i="1"/>
  <c r="H382" i="1"/>
  <c r="I382" i="1"/>
  <c r="J382" i="1"/>
  <c r="B383" i="1"/>
  <c r="C383" i="1"/>
  <c r="D383" i="1"/>
  <c r="E383" i="1"/>
  <c r="F383" i="1"/>
  <c r="G383" i="1"/>
  <c r="H383" i="1"/>
  <c r="I383" i="1"/>
  <c r="J383" i="1"/>
  <c r="B384" i="1"/>
  <c r="C384" i="1"/>
  <c r="D384" i="1"/>
  <c r="E384" i="1"/>
  <c r="F384" i="1"/>
  <c r="G384" i="1"/>
  <c r="H384" i="1"/>
  <c r="I384" i="1"/>
  <c r="J384" i="1"/>
  <c r="B385" i="1"/>
  <c r="C385" i="1"/>
  <c r="D385" i="1"/>
  <c r="E385" i="1"/>
  <c r="F385" i="1"/>
  <c r="G385" i="1"/>
  <c r="H385" i="1"/>
  <c r="I385" i="1"/>
  <c r="J385" i="1"/>
  <c r="B386" i="1"/>
  <c r="C386" i="1"/>
  <c r="D386" i="1"/>
  <c r="E386" i="1"/>
  <c r="F386" i="1"/>
  <c r="G386" i="1"/>
  <c r="H386" i="1"/>
  <c r="I386" i="1"/>
  <c r="J386" i="1"/>
  <c r="B387" i="1"/>
  <c r="C387" i="1"/>
  <c r="D387" i="1"/>
  <c r="E387" i="1"/>
  <c r="F387" i="1"/>
  <c r="G387" i="1"/>
  <c r="H387" i="1"/>
  <c r="I387" i="1"/>
  <c r="J387" i="1"/>
  <c r="B388" i="1"/>
  <c r="C388" i="1"/>
  <c r="D388" i="1"/>
  <c r="E388" i="1"/>
  <c r="F388" i="1"/>
  <c r="G388" i="1"/>
  <c r="H388" i="1"/>
  <c r="I388" i="1"/>
  <c r="J388" i="1"/>
  <c r="B389" i="1"/>
  <c r="C389" i="1"/>
  <c r="D389" i="1"/>
  <c r="E389" i="1"/>
  <c r="F389" i="1"/>
  <c r="G389" i="1"/>
  <c r="H389" i="1"/>
  <c r="I389" i="1"/>
  <c r="J389" i="1"/>
  <c r="B390" i="1"/>
  <c r="C390" i="1"/>
  <c r="D390" i="1"/>
  <c r="E390" i="1"/>
  <c r="F390" i="1"/>
  <c r="G390" i="1"/>
  <c r="H390" i="1"/>
  <c r="I390" i="1"/>
  <c r="J390" i="1"/>
  <c r="B391" i="1"/>
  <c r="C391" i="1"/>
  <c r="D391" i="1"/>
  <c r="E391" i="1"/>
  <c r="F391" i="1"/>
  <c r="G391" i="1"/>
  <c r="H391" i="1"/>
  <c r="I391" i="1"/>
  <c r="J391" i="1"/>
  <c r="B392" i="1"/>
  <c r="C392" i="1"/>
  <c r="D392" i="1"/>
  <c r="E392" i="1"/>
  <c r="F392" i="1"/>
  <c r="G392" i="1"/>
  <c r="H392" i="1"/>
  <c r="I392" i="1"/>
  <c r="J392" i="1"/>
  <c r="B393" i="1"/>
  <c r="C393" i="1"/>
  <c r="D393" i="1"/>
  <c r="E393" i="1"/>
  <c r="F393" i="1"/>
  <c r="G393" i="1"/>
  <c r="H393" i="1"/>
  <c r="I393" i="1"/>
  <c r="J393" i="1"/>
  <c r="B394" i="1"/>
  <c r="C394" i="1"/>
  <c r="D394" i="1"/>
  <c r="E394" i="1"/>
  <c r="F394" i="1"/>
  <c r="G394" i="1"/>
  <c r="H394" i="1"/>
  <c r="I394" i="1"/>
  <c r="J394" i="1"/>
  <c r="B395" i="1"/>
  <c r="C395" i="1"/>
  <c r="D395" i="1"/>
  <c r="E395" i="1"/>
  <c r="F395" i="1"/>
  <c r="G395" i="1"/>
  <c r="H395" i="1"/>
  <c r="I395" i="1"/>
  <c r="J395" i="1"/>
  <c r="B396" i="1"/>
  <c r="C396" i="1"/>
  <c r="D396" i="1"/>
  <c r="E396" i="1"/>
  <c r="F396" i="1"/>
  <c r="G396" i="1"/>
  <c r="H396" i="1"/>
  <c r="I396" i="1"/>
  <c r="J396" i="1"/>
  <c r="B397" i="1"/>
  <c r="C397" i="1"/>
  <c r="D397" i="1"/>
  <c r="E397" i="1"/>
  <c r="F397" i="1"/>
  <c r="G397" i="1"/>
  <c r="H397" i="1"/>
  <c r="I397" i="1"/>
  <c r="J397" i="1"/>
  <c r="B398" i="1"/>
  <c r="C398" i="1"/>
  <c r="D398" i="1"/>
  <c r="E398" i="1"/>
  <c r="F398" i="1"/>
  <c r="G398" i="1"/>
  <c r="H398" i="1"/>
  <c r="I398" i="1"/>
  <c r="J398" i="1"/>
  <c r="B399" i="1"/>
  <c r="C399" i="1"/>
  <c r="D399" i="1"/>
  <c r="E399" i="1"/>
  <c r="F399" i="1"/>
  <c r="G399" i="1"/>
  <c r="H399" i="1"/>
  <c r="I399" i="1"/>
  <c r="J399" i="1"/>
  <c r="B400" i="1"/>
  <c r="C400" i="1"/>
  <c r="D400" i="1"/>
  <c r="E400" i="1"/>
  <c r="F400" i="1"/>
  <c r="G400" i="1"/>
  <c r="H400" i="1"/>
  <c r="I400" i="1"/>
  <c r="J400" i="1"/>
  <c r="B401" i="1"/>
  <c r="C401" i="1"/>
  <c r="D401" i="1"/>
  <c r="E401" i="1"/>
  <c r="F401" i="1"/>
  <c r="G401" i="1"/>
  <c r="H401" i="1"/>
  <c r="I401" i="1"/>
  <c r="J401" i="1"/>
  <c r="B402" i="1"/>
  <c r="C402" i="1"/>
  <c r="D402" i="1"/>
  <c r="E402" i="1"/>
  <c r="F402" i="1"/>
  <c r="G402" i="1"/>
  <c r="H402" i="1"/>
  <c r="I402" i="1"/>
  <c r="J402" i="1"/>
  <c r="B403" i="1"/>
  <c r="C403" i="1"/>
  <c r="D403" i="1"/>
  <c r="E403" i="1"/>
  <c r="F403" i="1"/>
  <c r="G403" i="1"/>
  <c r="H403" i="1"/>
  <c r="I403" i="1"/>
  <c r="J403" i="1"/>
  <c r="B404" i="1"/>
  <c r="C404" i="1"/>
  <c r="D404" i="1"/>
  <c r="E404" i="1"/>
  <c r="F404" i="1"/>
  <c r="G404" i="1"/>
  <c r="H404" i="1"/>
  <c r="I404" i="1"/>
  <c r="J404" i="1"/>
  <c r="B405" i="1"/>
  <c r="C405" i="1"/>
  <c r="D405" i="1"/>
  <c r="E405" i="1"/>
  <c r="F405" i="1"/>
  <c r="G405" i="1"/>
  <c r="H405" i="1"/>
  <c r="I405" i="1"/>
  <c r="J405" i="1"/>
  <c r="B406" i="1"/>
  <c r="C406" i="1"/>
  <c r="D406" i="1"/>
  <c r="E406" i="1"/>
  <c r="F406" i="1"/>
  <c r="G406" i="1"/>
  <c r="H406" i="1"/>
  <c r="I406" i="1"/>
  <c r="J406" i="1"/>
  <c r="B407" i="1"/>
  <c r="C407" i="1"/>
  <c r="D407" i="1"/>
  <c r="E407" i="1"/>
  <c r="F407" i="1"/>
  <c r="G407" i="1"/>
  <c r="H407" i="1"/>
  <c r="I407" i="1"/>
  <c r="J407" i="1"/>
  <c r="B408" i="1"/>
  <c r="C408" i="1"/>
  <c r="D408" i="1"/>
  <c r="E408" i="1"/>
  <c r="F408" i="1"/>
  <c r="G408" i="1"/>
  <c r="H408" i="1"/>
  <c r="I408" i="1"/>
  <c r="J408" i="1"/>
  <c r="B409" i="1"/>
  <c r="C409" i="1"/>
  <c r="D409" i="1"/>
  <c r="E409" i="1"/>
  <c r="F409" i="1"/>
  <c r="G409" i="1"/>
  <c r="H409" i="1"/>
  <c r="I409" i="1"/>
  <c r="J409" i="1"/>
  <c r="B410" i="1"/>
  <c r="C410" i="1"/>
  <c r="D410" i="1"/>
  <c r="E410" i="1"/>
  <c r="F410" i="1"/>
  <c r="G410" i="1"/>
  <c r="H410" i="1"/>
  <c r="I410" i="1"/>
  <c r="J410" i="1"/>
  <c r="B411" i="1"/>
  <c r="C411" i="1"/>
  <c r="D411" i="1"/>
  <c r="E411" i="1"/>
  <c r="F411" i="1"/>
  <c r="G411" i="1"/>
  <c r="H411" i="1"/>
  <c r="I411" i="1"/>
  <c r="J411" i="1"/>
  <c r="B412" i="1"/>
  <c r="C412" i="1"/>
  <c r="D412" i="1"/>
  <c r="E412" i="1"/>
  <c r="F412" i="1"/>
  <c r="G412" i="1"/>
  <c r="H412" i="1"/>
  <c r="I412" i="1"/>
  <c r="J412" i="1"/>
  <c r="B413" i="1"/>
  <c r="C413" i="1"/>
  <c r="D413" i="1"/>
  <c r="E413" i="1"/>
  <c r="F413" i="1"/>
  <c r="G413" i="1"/>
  <c r="H413" i="1"/>
  <c r="I413" i="1"/>
  <c r="J413" i="1"/>
  <c r="B414" i="1"/>
  <c r="C414" i="1"/>
  <c r="D414" i="1"/>
  <c r="E414" i="1"/>
  <c r="F414" i="1"/>
  <c r="G414" i="1"/>
  <c r="H414" i="1"/>
  <c r="I414" i="1"/>
  <c r="J414" i="1"/>
  <c r="B415" i="1"/>
  <c r="C415" i="1"/>
  <c r="D415" i="1"/>
  <c r="E415" i="1"/>
  <c r="F415" i="1"/>
  <c r="G415" i="1"/>
  <c r="H415" i="1"/>
  <c r="I415" i="1"/>
  <c r="J415" i="1"/>
  <c r="B416" i="1"/>
  <c r="C416" i="1"/>
  <c r="D416" i="1"/>
  <c r="E416" i="1"/>
  <c r="F416" i="1"/>
  <c r="G416" i="1"/>
  <c r="H416" i="1"/>
  <c r="I416" i="1"/>
  <c r="J416" i="1"/>
  <c r="B417" i="1"/>
  <c r="C417" i="1"/>
  <c r="D417" i="1"/>
  <c r="E417" i="1"/>
  <c r="F417" i="1"/>
  <c r="G417" i="1"/>
  <c r="H417" i="1"/>
  <c r="I417" i="1"/>
  <c r="J417" i="1"/>
  <c r="B418" i="1"/>
  <c r="C418" i="1"/>
  <c r="D418" i="1"/>
  <c r="E418" i="1"/>
  <c r="F418" i="1"/>
  <c r="G418" i="1"/>
  <c r="H418" i="1"/>
  <c r="I418" i="1"/>
  <c r="J418" i="1"/>
  <c r="B419" i="1"/>
  <c r="C419" i="1"/>
  <c r="D419" i="1"/>
  <c r="E419" i="1"/>
  <c r="F419" i="1"/>
  <c r="G419" i="1"/>
  <c r="H419" i="1"/>
  <c r="I419" i="1"/>
  <c r="J419" i="1"/>
  <c r="B420" i="1"/>
  <c r="C420" i="1"/>
  <c r="D420" i="1"/>
  <c r="E420" i="1"/>
  <c r="F420" i="1"/>
  <c r="G420" i="1"/>
  <c r="H420" i="1"/>
  <c r="I420" i="1"/>
  <c r="J420" i="1"/>
  <c r="B421" i="1"/>
  <c r="C421" i="1"/>
  <c r="D421" i="1"/>
  <c r="E421" i="1"/>
  <c r="F421" i="1"/>
  <c r="G421" i="1"/>
  <c r="H421" i="1"/>
  <c r="I421" i="1"/>
  <c r="J421" i="1"/>
  <c r="B422" i="1"/>
  <c r="C422" i="1"/>
  <c r="D422" i="1"/>
  <c r="E422" i="1"/>
  <c r="F422" i="1"/>
  <c r="G422" i="1"/>
  <c r="H422" i="1"/>
  <c r="I422" i="1"/>
  <c r="J422" i="1"/>
  <c r="B423" i="1"/>
  <c r="C423" i="1"/>
  <c r="D423" i="1"/>
  <c r="E423" i="1"/>
  <c r="F423" i="1"/>
  <c r="G423" i="1"/>
  <c r="H423" i="1"/>
  <c r="I423" i="1"/>
  <c r="J423" i="1"/>
  <c r="B424" i="1"/>
  <c r="C424" i="1"/>
  <c r="D424" i="1"/>
  <c r="E424" i="1"/>
  <c r="F424" i="1"/>
  <c r="G424" i="1"/>
  <c r="H424" i="1"/>
  <c r="I424" i="1"/>
  <c r="J424" i="1"/>
  <c r="B425" i="1"/>
  <c r="C425" i="1"/>
  <c r="D425" i="1"/>
  <c r="E425" i="1"/>
  <c r="F425" i="1"/>
  <c r="G425" i="1"/>
  <c r="H425" i="1"/>
  <c r="I425" i="1"/>
  <c r="J425" i="1"/>
  <c r="B426" i="1"/>
  <c r="C426" i="1"/>
  <c r="D426" i="1"/>
  <c r="E426" i="1"/>
  <c r="F426" i="1"/>
  <c r="G426" i="1"/>
  <c r="H426" i="1"/>
  <c r="I426" i="1"/>
  <c r="J426" i="1"/>
  <c r="B427" i="1"/>
  <c r="C427" i="1"/>
  <c r="D427" i="1"/>
  <c r="E427" i="1"/>
  <c r="F427" i="1"/>
  <c r="G427" i="1"/>
  <c r="H427" i="1"/>
  <c r="I427" i="1"/>
  <c r="J427" i="1"/>
  <c r="B428" i="1"/>
  <c r="C428" i="1"/>
  <c r="D428" i="1"/>
  <c r="E428" i="1"/>
  <c r="F428" i="1"/>
  <c r="G428" i="1"/>
  <c r="H428" i="1"/>
  <c r="I428" i="1"/>
  <c r="J428" i="1"/>
  <c r="B429" i="1"/>
  <c r="C429" i="1"/>
  <c r="D429" i="1"/>
  <c r="E429" i="1"/>
  <c r="F429" i="1"/>
  <c r="G429" i="1"/>
  <c r="H429" i="1"/>
  <c r="I429" i="1"/>
  <c r="J429" i="1"/>
  <c r="B430" i="1"/>
  <c r="C430" i="1"/>
  <c r="D430" i="1"/>
  <c r="E430" i="1"/>
  <c r="F430" i="1"/>
  <c r="G430" i="1"/>
  <c r="H430" i="1"/>
  <c r="I430" i="1"/>
  <c r="J430" i="1"/>
  <c r="B431" i="1"/>
  <c r="C431" i="1"/>
  <c r="D431" i="1"/>
  <c r="E431" i="1"/>
  <c r="F431" i="1"/>
  <c r="G431" i="1"/>
  <c r="H431" i="1"/>
  <c r="I431" i="1"/>
  <c r="J431" i="1"/>
  <c r="B432" i="1"/>
  <c r="C432" i="1"/>
  <c r="D432" i="1"/>
  <c r="E432" i="1"/>
  <c r="F432" i="1"/>
  <c r="G432" i="1"/>
  <c r="H432" i="1"/>
  <c r="I432" i="1"/>
  <c r="J432" i="1"/>
  <c r="B433" i="1"/>
  <c r="C433" i="1"/>
  <c r="D433" i="1"/>
  <c r="E433" i="1"/>
  <c r="F433" i="1"/>
  <c r="G433" i="1"/>
  <c r="H433" i="1"/>
  <c r="I433" i="1"/>
  <c r="J433" i="1"/>
  <c r="B434" i="1"/>
  <c r="C434" i="1"/>
  <c r="D434" i="1"/>
  <c r="E434" i="1"/>
  <c r="F434" i="1"/>
  <c r="G434" i="1"/>
  <c r="H434" i="1"/>
  <c r="I434" i="1"/>
  <c r="J434" i="1"/>
  <c r="B435" i="1"/>
  <c r="C435" i="1"/>
  <c r="D435" i="1"/>
  <c r="E435" i="1"/>
  <c r="F435" i="1"/>
  <c r="G435" i="1"/>
  <c r="H435" i="1"/>
  <c r="I435" i="1"/>
  <c r="J435" i="1"/>
  <c r="B436" i="1"/>
  <c r="C436" i="1"/>
  <c r="D436" i="1"/>
  <c r="E436" i="1"/>
  <c r="F436" i="1"/>
  <c r="G436" i="1"/>
  <c r="H436" i="1"/>
  <c r="I436" i="1"/>
  <c r="J436" i="1"/>
  <c r="B437" i="1"/>
  <c r="C437" i="1"/>
  <c r="D437" i="1"/>
  <c r="E437" i="1"/>
  <c r="F437" i="1"/>
  <c r="G437" i="1"/>
  <c r="H437" i="1"/>
  <c r="I437" i="1"/>
  <c r="J437" i="1"/>
  <c r="B438" i="1"/>
  <c r="C438" i="1"/>
  <c r="D438" i="1"/>
  <c r="E438" i="1"/>
  <c r="F438" i="1"/>
  <c r="G438" i="1"/>
  <c r="H438" i="1"/>
  <c r="I438" i="1"/>
  <c r="J438" i="1"/>
  <c r="B439" i="1"/>
  <c r="C439" i="1"/>
  <c r="D439" i="1"/>
  <c r="E439" i="1"/>
  <c r="F439" i="1"/>
  <c r="G439" i="1"/>
  <c r="H439" i="1"/>
  <c r="I439" i="1"/>
  <c r="J439" i="1"/>
  <c r="B440" i="1"/>
  <c r="C440" i="1"/>
  <c r="D440" i="1"/>
  <c r="E440" i="1"/>
  <c r="F440" i="1"/>
  <c r="G440" i="1"/>
  <c r="H440" i="1"/>
  <c r="I440" i="1"/>
  <c r="J440" i="1"/>
  <c r="B441" i="1"/>
  <c r="C441" i="1"/>
  <c r="D441" i="1"/>
  <c r="E441" i="1"/>
  <c r="F441" i="1"/>
  <c r="G441" i="1"/>
  <c r="H441" i="1"/>
  <c r="I441" i="1"/>
  <c r="J441" i="1"/>
  <c r="B442" i="1"/>
  <c r="C442" i="1"/>
  <c r="D442" i="1"/>
  <c r="E442" i="1"/>
  <c r="F442" i="1"/>
  <c r="G442" i="1"/>
  <c r="H442" i="1"/>
  <c r="I442" i="1"/>
  <c r="J442" i="1"/>
  <c r="B443" i="1"/>
  <c r="C443" i="1"/>
  <c r="D443" i="1"/>
  <c r="E443" i="1"/>
  <c r="F443" i="1"/>
  <c r="G443" i="1"/>
  <c r="H443" i="1"/>
  <c r="I443" i="1"/>
  <c r="J443" i="1"/>
  <c r="B444" i="1"/>
  <c r="C444" i="1"/>
  <c r="D444" i="1"/>
  <c r="E444" i="1"/>
  <c r="F444" i="1"/>
  <c r="G444" i="1"/>
  <c r="H444" i="1"/>
  <c r="I444" i="1"/>
  <c r="J444" i="1"/>
  <c r="B445" i="1"/>
  <c r="C445" i="1"/>
  <c r="D445" i="1"/>
  <c r="E445" i="1"/>
  <c r="F445" i="1"/>
  <c r="G445" i="1"/>
  <c r="H445" i="1"/>
  <c r="I445" i="1"/>
  <c r="J445" i="1"/>
  <c r="B446" i="1"/>
  <c r="C446" i="1"/>
  <c r="D446" i="1"/>
  <c r="E446" i="1"/>
  <c r="F446" i="1"/>
  <c r="G446" i="1"/>
  <c r="H446" i="1"/>
  <c r="I446" i="1"/>
  <c r="J446" i="1"/>
  <c r="B447" i="1"/>
  <c r="C447" i="1"/>
  <c r="D447" i="1"/>
  <c r="E447" i="1"/>
  <c r="F447" i="1"/>
  <c r="G447" i="1"/>
  <c r="H447" i="1"/>
  <c r="I447" i="1"/>
  <c r="J447" i="1"/>
  <c r="B448" i="1"/>
  <c r="C448" i="1"/>
  <c r="D448" i="1"/>
  <c r="E448" i="1"/>
  <c r="F448" i="1"/>
  <c r="G448" i="1"/>
  <c r="H448" i="1"/>
  <c r="I448" i="1"/>
  <c r="J448" i="1"/>
  <c r="B449" i="1"/>
  <c r="C449" i="1"/>
  <c r="D449" i="1"/>
  <c r="E449" i="1"/>
  <c r="F449" i="1"/>
  <c r="G449" i="1"/>
  <c r="H449" i="1"/>
  <c r="I449" i="1"/>
  <c r="J449" i="1"/>
  <c r="B450" i="1"/>
  <c r="C450" i="1"/>
  <c r="D450" i="1"/>
  <c r="E450" i="1"/>
  <c r="F450" i="1"/>
  <c r="G450" i="1"/>
  <c r="H450" i="1"/>
  <c r="I450" i="1"/>
  <c r="J450" i="1"/>
  <c r="B451" i="1"/>
  <c r="C451" i="1"/>
  <c r="D451" i="1"/>
  <c r="E451" i="1"/>
  <c r="F451" i="1"/>
  <c r="G451" i="1"/>
  <c r="H451" i="1"/>
  <c r="I451" i="1"/>
  <c r="J451" i="1"/>
  <c r="B452" i="1"/>
  <c r="C452" i="1"/>
  <c r="D452" i="1"/>
  <c r="E452" i="1"/>
  <c r="F452" i="1"/>
  <c r="G452" i="1"/>
  <c r="H452" i="1"/>
  <c r="I452" i="1"/>
  <c r="J452" i="1"/>
  <c r="B453" i="1"/>
  <c r="C453" i="1"/>
  <c r="D453" i="1"/>
  <c r="E453" i="1"/>
  <c r="F453" i="1"/>
  <c r="G453" i="1"/>
  <c r="H453" i="1"/>
  <c r="I453" i="1"/>
  <c r="J453" i="1"/>
  <c r="B454" i="1"/>
  <c r="C454" i="1"/>
  <c r="D454" i="1"/>
  <c r="E454" i="1"/>
  <c r="F454" i="1"/>
  <c r="G454" i="1"/>
  <c r="H454" i="1"/>
  <c r="I454" i="1"/>
  <c r="J454" i="1"/>
  <c r="B455" i="1"/>
  <c r="C455" i="1"/>
  <c r="D455" i="1"/>
  <c r="E455" i="1"/>
  <c r="F455" i="1"/>
  <c r="G455" i="1"/>
  <c r="H455" i="1"/>
  <c r="I455" i="1"/>
  <c r="J455" i="1"/>
  <c r="B456" i="1"/>
  <c r="C456" i="1"/>
  <c r="D456" i="1"/>
  <c r="E456" i="1"/>
  <c r="F456" i="1"/>
  <c r="G456" i="1"/>
  <c r="H456" i="1"/>
  <c r="I456" i="1"/>
  <c r="J456" i="1"/>
  <c r="B457" i="1"/>
  <c r="C457" i="1"/>
  <c r="D457" i="1"/>
  <c r="E457" i="1"/>
  <c r="F457" i="1"/>
  <c r="G457" i="1"/>
  <c r="H457" i="1"/>
  <c r="I457" i="1"/>
  <c r="J457" i="1"/>
  <c r="B458" i="1"/>
  <c r="C458" i="1"/>
  <c r="D458" i="1"/>
  <c r="E458" i="1"/>
  <c r="F458" i="1"/>
  <c r="G458" i="1"/>
  <c r="H458" i="1"/>
  <c r="I458" i="1"/>
  <c r="J458" i="1"/>
  <c r="B459" i="1"/>
  <c r="C459" i="1"/>
  <c r="D459" i="1"/>
  <c r="E459" i="1"/>
  <c r="F459" i="1"/>
  <c r="G459" i="1"/>
  <c r="H459" i="1"/>
  <c r="I459" i="1"/>
  <c r="J459" i="1"/>
  <c r="B460" i="1"/>
  <c r="C460" i="1"/>
  <c r="D460" i="1"/>
  <c r="E460" i="1"/>
  <c r="F460" i="1"/>
  <c r="G460" i="1"/>
  <c r="H460" i="1"/>
  <c r="I460" i="1"/>
  <c r="J460" i="1"/>
  <c r="B461" i="1"/>
  <c r="C461" i="1"/>
  <c r="D461" i="1"/>
  <c r="E461" i="1"/>
  <c r="F461" i="1"/>
  <c r="G461" i="1"/>
  <c r="H461" i="1"/>
  <c r="I461" i="1"/>
  <c r="J461" i="1"/>
  <c r="B462" i="1"/>
  <c r="C462" i="1"/>
  <c r="D462" i="1"/>
  <c r="E462" i="1"/>
  <c r="F462" i="1"/>
  <c r="G462" i="1"/>
  <c r="H462" i="1"/>
  <c r="I462" i="1"/>
  <c r="J462" i="1"/>
  <c r="B463" i="1"/>
  <c r="C463" i="1"/>
  <c r="D463" i="1"/>
  <c r="E463" i="1"/>
  <c r="F463" i="1"/>
  <c r="G463" i="1"/>
  <c r="H463" i="1"/>
  <c r="I463" i="1"/>
  <c r="J463" i="1"/>
  <c r="B464" i="1"/>
  <c r="C464" i="1"/>
  <c r="D464" i="1"/>
  <c r="E464" i="1"/>
  <c r="F464" i="1"/>
  <c r="G464" i="1"/>
  <c r="H464" i="1"/>
  <c r="I464" i="1"/>
  <c r="J464" i="1"/>
  <c r="B465" i="1"/>
  <c r="C465" i="1"/>
  <c r="D465" i="1"/>
  <c r="E465" i="1"/>
  <c r="F465" i="1"/>
  <c r="G465" i="1"/>
  <c r="H465" i="1"/>
  <c r="I465" i="1"/>
  <c r="J465" i="1"/>
  <c r="B466" i="1"/>
  <c r="C466" i="1"/>
  <c r="D466" i="1"/>
  <c r="E466" i="1"/>
  <c r="F466" i="1"/>
  <c r="G466" i="1"/>
  <c r="H466" i="1"/>
  <c r="I466" i="1"/>
  <c r="J466" i="1"/>
  <c r="B467" i="1"/>
  <c r="C467" i="1"/>
  <c r="D467" i="1"/>
  <c r="E467" i="1"/>
  <c r="F467" i="1"/>
  <c r="G467" i="1"/>
  <c r="H467" i="1"/>
  <c r="I467" i="1"/>
  <c r="J467" i="1"/>
  <c r="B468" i="1"/>
  <c r="C468" i="1"/>
  <c r="D468" i="1"/>
  <c r="E468" i="1"/>
  <c r="F468" i="1"/>
  <c r="G468" i="1"/>
  <c r="H468" i="1"/>
  <c r="I468" i="1"/>
  <c r="J468" i="1"/>
  <c r="B469" i="1"/>
  <c r="C469" i="1"/>
  <c r="D469" i="1"/>
  <c r="E469" i="1"/>
  <c r="F469" i="1"/>
  <c r="G469" i="1"/>
  <c r="H469" i="1"/>
  <c r="I469" i="1"/>
  <c r="J469" i="1"/>
  <c r="B470" i="1"/>
  <c r="C470" i="1"/>
  <c r="D470" i="1"/>
  <c r="E470" i="1"/>
  <c r="F470" i="1"/>
  <c r="G470" i="1"/>
  <c r="H470" i="1"/>
  <c r="I470" i="1"/>
  <c r="J470" i="1"/>
  <c r="B471" i="1"/>
  <c r="C471" i="1"/>
  <c r="D471" i="1"/>
  <c r="E471" i="1"/>
  <c r="F471" i="1"/>
  <c r="G471" i="1"/>
  <c r="H471" i="1"/>
  <c r="I471" i="1"/>
  <c r="J471" i="1"/>
  <c r="B472" i="1"/>
  <c r="C472" i="1"/>
  <c r="D472" i="1"/>
  <c r="E472" i="1"/>
  <c r="F472" i="1"/>
  <c r="G472" i="1"/>
  <c r="H472" i="1"/>
  <c r="I472" i="1"/>
  <c r="J472" i="1"/>
  <c r="B473" i="1"/>
  <c r="C473" i="1"/>
  <c r="D473" i="1"/>
  <c r="E473" i="1"/>
  <c r="F473" i="1"/>
  <c r="G473" i="1"/>
  <c r="H473" i="1"/>
  <c r="I473" i="1"/>
  <c r="J473" i="1"/>
  <c r="B474" i="1"/>
  <c r="C474" i="1"/>
  <c r="D474" i="1"/>
  <c r="E474" i="1"/>
  <c r="F474" i="1"/>
  <c r="G474" i="1"/>
  <c r="H474" i="1"/>
  <c r="I474" i="1"/>
  <c r="J474" i="1"/>
  <c r="B475" i="1"/>
  <c r="C475" i="1"/>
  <c r="D475" i="1"/>
  <c r="E475" i="1"/>
  <c r="F475" i="1"/>
  <c r="G475" i="1"/>
  <c r="H475" i="1"/>
  <c r="I475" i="1"/>
  <c r="J475" i="1"/>
  <c r="B476" i="1"/>
  <c r="C476" i="1"/>
  <c r="D476" i="1"/>
  <c r="E476" i="1"/>
  <c r="F476" i="1"/>
  <c r="G476" i="1"/>
  <c r="H476" i="1"/>
  <c r="I476" i="1"/>
  <c r="J476" i="1"/>
  <c r="B477" i="1"/>
  <c r="C477" i="1"/>
  <c r="D477" i="1"/>
  <c r="E477" i="1"/>
  <c r="F477" i="1"/>
  <c r="G477" i="1"/>
  <c r="H477" i="1"/>
  <c r="I477" i="1"/>
  <c r="J477" i="1"/>
  <c r="B478" i="1"/>
  <c r="C478" i="1"/>
  <c r="D478" i="1"/>
  <c r="E478" i="1"/>
  <c r="F478" i="1"/>
  <c r="G478" i="1"/>
  <c r="H478" i="1"/>
  <c r="I478" i="1"/>
  <c r="J478" i="1"/>
  <c r="B479" i="1"/>
  <c r="C479" i="1"/>
  <c r="D479" i="1"/>
  <c r="E479" i="1"/>
  <c r="F479" i="1"/>
  <c r="G479" i="1"/>
  <c r="H479" i="1"/>
  <c r="I479" i="1"/>
  <c r="J479" i="1"/>
  <c r="B480" i="1"/>
  <c r="C480" i="1"/>
  <c r="D480" i="1"/>
  <c r="E480" i="1"/>
  <c r="F480" i="1"/>
  <c r="G480" i="1"/>
  <c r="H480" i="1"/>
  <c r="I480" i="1"/>
  <c r="J480" i="1"/>
  <c r="B481" i="1"/>
  <c r="C481" i="1"/>
  <c r="D481" i="1"/>
  <c r="E481" i="1"/>
  <c r="F481" i="1"/>
  <c r="G481" i="1"/>
  <c r="H481" i="1"/>
  <c r="I481" i="1"/>
  <c r="J481" i="1"/>
  <c r="B482" i="1"/>
  <c r="C482" i="1"/>
  <c r="D482" i="1"/>
  <c r="E482" i="1"/>
  <c r="F482" i="1"/>
  <c r="G482" i="1"/>
  <c r="H482" i="1"/>
  <c r="I482" i="1"/>
  <c r="J482" i="1"/>
  <c r="B483" i="1"/>
  <c r="C483" i="1"/>
  <c r="D483" i="1"/>
  <c r="E483" i="1"/>
  <c r="F483" i="1"/>
  <c r="G483" i="1"/>
  <c r="H483" i="1"/>
  <c r="I483" i="1"/>
  <c r="J483" i="1"/>
  <c r="B484" i="1"/>
  <c r="C484" i="1"/>
  <c r="D484" i="1"/>
  <c r="E484" i="1"/>
  <c r="F484" i="1"/>
  <c r="G484" i="1"/>
  <c r="H484" i="1"/>
  <c r="I484" i="1"/>
  <c r="J484" i="1"/>
  <c r="B485" i="1"/>
  <c r="C485" i="1"/>
  <c r="D485" i="1"/>
  <c r="E485" i="1"/>
  <c r="F485" i="1"/>
  <c r="G485" i="1"/>
  <c r="H485" i="1"/>
  <c r="I485" i="1"/>
  <c r="J485" i="1"/>
  <c r="B486" i="1"/>
  <c r="C486" i="1"/>
  <c r="D486" i="1"/>
  <c r="E486" i="1"/>
  <c r="F486" i="1"/>
  <c r="G486" i="1"/>
  <c r="H486" i="1"/>
  <c r="I486" i="1"/>
  <c r="J486" i="1"/>
  <c r="B487" i="1"/>
  <c r="C487" i="1"/>
  <c r="D487" i="1"/>
  <c r="E487" i="1"/>
  <c r="F487" i="1"/>
  <c r="G487" i="1"/>
  <c r="H487" i="1"/>
  <c r="I487" i="1"/>
  <c r="J487" i="1"/>
  <c r="B488" i="1"/>
  <c r="C488" i="1"/>
  <c r="D488" i="1"/>
  <c r="E488" i="1"/>
  <c r="F488" i="1"/>
  <c r="G488" i="1"/>
  <c r="H488" i="1"/>
  <c r="I488" i="1"/>
  <c r="J488" i="1"/>
  <c r="B489" i="1"/>
  <c r="C489" i="1"/>
  <c r="D489" i="1"/>
  <c r="E489" i="1"/>
  <c r="F489" i="1"/>
  <c r="G489" i="1"/>
  <c r="H489" i="1"/>
  <c r="I489" i="1"/>
  <c r="J489" i="1"/>
  <c r="B490" i="1"/>
  <c r="C490" i="1"/>
  <c r="D490" i="1"/>
  <c r="E490" i="1"/>
  <c r="F490" i="1"/>
  <c r="G490" i="1"/>
  <c r="H490" i="1"/>
  <c r="I490" i="1"/>
  <c r="J490" i="1"/>
  <c r="B491" i="1"/>
  <c r="C491" i="1"/>
  <c r="D491" i="1"/>
  <c r="E491" i="1"/>
  <c r="F491" i="1"/>
  <c r="G491" i="1"/>
  <c r="H491" i="1"/>
  <c r="I491" i="1"/>
  <c r="J491" i="1"/>
  <c r="B492" i="1"/>
  <c r="C492" i="1"/>
  <c r="D492" i="1"/>
  <c r="E492" i="1"/>
  <c r="F492" i="1"/>
  <c r="G492" i="1"/>
  <c r="H492" i="1"/>
  <c r="I492" i="1"/>
  <c r="J492" i="1"/>
  <c r="B493" i="1"/>
  <c r="C493" i="1"/>
  <c r="D493" i="1"/>
  <c r="E493" i="1"/>
  <c r="F493" i="1"/>
  <c r="G493" i="1"/>
  <c r="H493" i="1"/>
  <c r="I493" i="1"/>
  <c r="J493" i="1"/>
  <c r="B494" i="1"/>
  <c r="C494" i="1"/>
  <c r="D494" i="1"/>
  <c r="E494" i="1"/>
  <c r="F494" i="1"/>
  <c r="G494" i="1"/>
  <c r="H494" i="1"/>
  <c r="I494" i="1"/>
  <c r="J494" i="1"/>
  <c r="B495" i="1"/>
  <c r="C495" i="1"/>
  <c r="D495" i="1"/>
  <c r="E495" i="1"/>
  <c r="F495" i="1"/>
  <c r="G495" i="1"/>
  <c r="H495" i="1"/>
  <c r="I495" i="1"/>
  <c r="J495" i="1"/>
  <c r="B496" i="1"/>
  <c r="C496" i="1"/>
  <c r="D496" i="1"/>
  <c r="E496" i="1"/>
  <c r="F496" i="1"/>
  <c r="G496" i="1"/>
  <c r="H496" i="1"/>
  <c r="I496" i="1"/>
  <c r="J496" i="1"/>
  <c r="B497" i="1"/>
  <c r="C497" i="1"/>
  <c r="D497" i="1"/>
  <c r="E497" i="1"/>
  <c r="F497" i="1"/>
  <c r="G497" i="1"/>
  <c r="H497" i="1"/>
  <c r="I497" i="1"/>
  <c r="J497" i="1"/>
  <c r="B498" i="1"/>
  <c r="C498" i="1"/>
  <c r="D498" i="1"/>
  <c r="E498" i="1"/>
  <c r="F498" i="1"/>
  <c r="G498" i="1"/>
  <c r="H498" i="1"/>
  <c r="I498" i="1"/>
  <c r="J498" i="1"/>
  <c r="B499" i="1"/>
  <c r="C499" i="1"/>
  <c r="D499" i="1"/>
  <c r="E499" i="1"/>
  <c r="F499" i="1"/>
  <c r="G499" i="1"/>
  <c r="H499" i="1"/>
  <c r="I499" i="1"/>
  <c r="J499" i="1"/>
  <c r="B500" i="1"/>
  <c r="C500" i="1"/>
  <c r="D500" i="1"/>
  <c r="E500" i="1"/>
  <c r="F500" i="1"/>
  <c r="G500" i="1"/>
  <c r="H500" i="1"/>
  <c r="I500" i="1"/>
  <c r="J500" i="1"/>
  <c r="B501" i="1"/>
  <c r="C501" i="1"/>
  <c r="D501" i="1"/>
  <c r="E501" i="1"/>
  <c r="F501" i="1"/>
  <c r="G501" i="1"/>
  <c r="H501" i="1"/>
  <c r="I501" i="1"/>
  <c r="J501" i="1"/>
  <c r="B502" i="1"/>
  <c r="C502" i="1"/>
  <c r="D502" i="1"/>
  <c r="E502" i="1"/>
  <c r="F502" i="1"/>
  <c r="G502" i="1"/>
  <c r="H502" i="1"/>
  <c r="I502" i="1"/>
  <c r="J502" i="1"/>
  <c r="B503" i="1"/>
  <c r="C503" i="1"/>
  <c r="D503" i="1"/>
  <c r="E503" i="1"/>
  <c r="F503" i="1"/>
  <c r="G503" i="1"/>
  <c r="H503" i="1"/>
  <c r="I503" i="1"/>
  <c r="J503" i="1"/>
  <c r="B504" i="1"/>
  <c r="C504" i="1"/>
  <c r="D504" i="1"/>
  <c r="E504" i="1"/>
  <c r="F504" i="1"/>
  <c r="G504" i="1"/>
  <c r="H504" i="1"/>
  <c r="I504" i="1"/>
  <c r="J504" i="1"/>
  <c r="B505" i="1"/>
  <c r="C505" i="1"/>
  <c r="D505" i="1"/>
  <c r="E505" i="1"/>
  <c r="F505" i="1"/>
  <c r="G505" i="1"/>
  <c r="H505" i="1"/>
  <c r="I505" i="1"/>
  <c r="J505" i="1"/>
  <c r="B506" i="1"/>
  <c r="C506" i="1"/>
  <c r="D506" i="1"/>
  <c r="E506" i="1"/>
  <c r="F506" i="1"/>
  <c r="G506" i="1"/>
  <c r="H506" i="1"/>
  <c r="I506" i="1"/>
  <c r="J506" i="1"/>
  <c r="B507" i="1"/>
  <c r="C507" i="1"/>
  <c r="D507" i="1"/>
  <c r="E507" i="1"/>
  <c r="F507" i="1"/>
  <c r="G507" i="1"/>
  <c r="H507" i="1"/>
  <c r="I507" i="1"/>
  <c r="J507" i="1"/>
  <c r="B508" i="1"/>
  <c r="C508" i="1"/>
  <c r="D508" i="1"/>
  <c r="E508" i="1"/>
  <c r="F508" i="1"/>
  <c r="G508" i="1"/>
  <c r="H508" i="1"/>
  <c r="I508" i="1"/>
  <c r="J508" i="1"/>
  <c r="B509" i="1"/>
  <c r="C509" i="1"/>
  <c r="D509" i="1"/>
  <c r="E509" i="1"/>
  <c r="F509" i="1"/>
  <c r="G509" i="1"/>
  <c r="H509" i="1"/>
  <c r="I509" i="1"/>
  <c r="J509" i="1"/>
  <c r="B510" i="1"/>
  <c r="C510" i="1"/>
  <c r="D510" i="1"/>
  <c r="E510" i="1"/>
  <c r="F510" i="1"/>
  <c r="G510" i="1"/>
  <c r="H510" i="1"/>
  <c r="I510" i="1"/>
  <c r="J510" i="1"/>
  <c r="B511" i="1"/>
  <c r="C511" i="1"/>
  <c r="D511" i="1"/>
  <c r="E511" i="1"/>
  <c r="F511" i="1"/>
  <c r="G511" i="1"/>
  <c r="H511" i="1"/>
  <c r="I511" i="1"/>
  <c r="J511" i="1"/>
  <c r="B512" i="1"/>
  <c r="C512" i="1"/>
  <c r="D512" i="1"/>
  <c r="E512" i="1"/>
  <c r="F512" i="1"/>
  <c r="G512" i="1"/>
  <c r="H512" i="1"/>
  <c r="I512" i="1"/>
  <c r="J512" i="1"/>
  <c r="B513" i="1"/>
  <c r="C513" i="1"/>
  <c r="D513" i="1"/>
  <c r="E513" i="1"/>
  <c r="F513" i="1"/>
  <c r="G513" i="1"/>
  <c r="H513" i="1"/>
  <c r="I513" i="1"/>
  <c r="J513" i="1"/>
  <c r="B514" i="1"/>
  <c r="C514" i="1"/>
  <c r="D514" i="1"/>
  <c r="E514" i="1"/>
  <c r="F514" i="1"/>
  <c r="G514" i="1"/>
  <c r="H514" i="1"/>
  <c r="I514" i="1"/>
  <c r="J514" i="1"/>
  <c r="B515" i="1"/>
  <c r="C515" i="1"/>
  <c r="D515" i="1"/>
  <c r="E515" i="1"/>
  <c r="F515" i="1"/>
  <c r="G515" i="1"/>
  <c r="H515" i="1"/>
  <c r="I515" i="1"/>
  <c r="J515" i="1"/>
  <c r="B516" i="1"/>
  <c r="C516" i="1"/>
  <c r="D516" i="1"/>
  <c r="E516" i="1"/>
  <c r="F516" i="1"/>
  <c r="G516" i="1"/>
  <c r="H516" i="1"/>
  <c r="I516" i="1"/>
  <c r="J516" i="1"/>
  <c r="B517" i="1"/>
  <c r="C517" i="1"/>
  <c r="D517" i="1"/>
  <c r="E517" i="1"/>
  <c r="F517" i="1"/>
  <c r="G517" i="1"/>
  <c r="H517" i="1"/>
  <c r="I517" i="1"/>
  <c r="J517" i="1"/>
  <c r="B518" i="1"/>
  <c r="C518" i="1"/>
  <c r="D518" i="1"/>
  <c r="E518" i="1"/>
  <c r="F518" i="1"/>
  <c r="G518" i="1"/>
  <c r="H518" i="1"/>
  <c r="I518" i="1"/>
  <c r="J518" i="1"/>
  <c r="B519" i="1"/>
  <c r="C519" i="1"/>
  <c r="D519" i="1"/>
  <c r="E519" i="1"/>
  <c r="F519" i="1"/>
  <c r="G519" i="1"/>
  <c r="H519" i="1"/>
  <c r="I519" i="1"/>
  <c r="J519" i="1"/>
  <c r="B520" i="1"/>
  <c r="C520" i="1"/>
  <c r="D520" i="1"/>
  <c r="E520" i="1"/>
  <c r="F520" i="1"/>
  <c r="G520" i="1"/>
  <c r="H520" i="1"/>
  <c r="I520" i="1"/>
  <c r="J520" i="1"/>
  <c r="B521" i="1"/>
  <c r="C521" i="1"/>
  <c r="D521" i="1"/>
  <c r="E521" i="1"/>
  <c r="F521" i="1"/>
  <c r="G521" i="1"/>
  <c r="H521" i="1"/>
  <c r="I521" i="1"/>
  <c r="J521" i="1"/>
  <c r="B522" i="1"/>
  <c r="C522" i="1"/>
  <c r="D522" i="1"/>
  <c r="E522" i="1"/>
  <c r="F522" i="1"/>
  <c r="G522" i="1"/>
  <c r="H522" i="1"/>
  <c r="I522" i="1"/>
  <c r="J522" i="1"/>
  <c r="B523" i="1"/>
  <c r="C523" i="1"/>
  <c r="D523" i="1"/>
  <c r="E523" i="1"/>
  <c r="F523" i="1"/>
  <c r="G523" i="1"/>
  <c r="H523" i="1"/>
  <c r="I523" i="1"/>
  <c r="J523" i="1"/>
  <c r="B524" i="1"/>
  <c r="C524" i="1"/>
  <c r="D524" i="1"/>
  <c r="E524" i="1"/>
  <c r="F524" i="1"/>
  <c r="G524" i="1"/>
  <c r="H524" i="1"/>
  <c r="I524" i="1"/>
  <c r="J524" i="1"/>
  <c r="B525" i="1"/>
  <c r="C525" i="1"/>
  <c r="D525" i="1"/>
  <c r="E525" i="1"/>
  <c r="F525" i="1"/>
  <c r="G525" i="1"/>
  <c r="H525" i="1"/>
  <c r="I525" i="1"/>
  <c r="J525" i="1"/>
  <c r="B526" i="1"/>
  <c r="C526" i="1"/>
  <c r="D526" i="1"/>
  <c r="E526" i="1"/>
  <c r="F526" i="1"/>
  <c r="G526" i="1"/>
  <c r="H526" i="1"/>
  <c r="I526" i="1"/>
  <c r="J526" i="1"/>
  <c r="B527" i="1"/>
  <c r="C527" i="1"/>
  <c r="D527" i="1"/>
  <c r="E527" i="1"/>
  <c r="F527" i="1"/>
  <c r="G527" i="1"/>
  <c r="H527" i="1"/>
  <c r="I527" i="1"/>
  <c r="J527" i="1"/>
  <c r="B528" i="1"/>
  <c r="C528" i="1"/>
  <c r="D528" i="1"/>
  <c r="E528" i="1"/>
  <c r="F528" i="1"/>
  <c r="G528" i="1"/>
  <c r="H528" i="1"/>
  <c r="I528" i="1"/>
  <c r="J528" i="1"/>
  <c r="B529" i="1"/>
  <c r="C529" i="1"/>
  <c r="D529" i="1"/>
  <c r="E529" i="1"/>
  <c r="F529" i="1"/>
  <c r="G529" i="1"/>
  <c r="H529" i="1"/>
  <c r="I529" i="1"/>
  <c r="J529" i="1"/>
  <c r="B530" i="1"/>
  <c r="C530" i="1"/>
  <c r="D530" i="1"/>
  <c r="E530" i="1"/>
  <c r="F530" i="1"/>
  <c r="G530" i="1"/>
  <c r="H530" i="1"/>
  <c r="I530" i="1"/>
  <c r="J530" i="1"/>
  <c r="B531" i="1"/>
  <c r="C531" i="1"/>
  <c r="D531" i="1"/>
  <c r="E531" i="1"/>
  <c r="F531" i="1"/>
  <c r="G531" i="1"/>
  <c r="H531" i="1"/>
  <c r="I531" i="1"/>
  <c r="J531" i="1"/>
  <c r="B532" i="1"/>
  <c r="C532" i="1"/>
  <c r="D532" i="1"/>
  <c r="E532" i="1"/>
  <c r="F532" i="1"/>
  <c r="G532" i="1"/>
  <c r="H532" i="1"/>
  <c r="I532" i="1"/>
  <c r="J532" i="1"/>
  <c r="B533" i="1"/>
  <c r="C533" i="1"/>
  <c r="D533" i="1"/>
  <c r="E533" i="1"/>
  <c r="F533" i="1"/>
  <c r="G533" i="1"/>
  <c r="H533" i="1"/>
  <c r="I533" i="1"/>
  <c r="J533" i="1"/>
  <c r="B534" i="1"/>
  <c r="C534" i="1"/>
  <c r="D534" i="1"/>
  <c r="E534" i="1"/>
  <c r="F534" i="1"/>
  <c r="G534" i="1"/>
  <c r="H534" i="1"/>
  <c r="I534" i="1"/>
  <c r="J534" i="1"/>
  <c r="B535" i="1"/>
  <c r="C535" i="1"/>
  <c r="D535" i="1"/>
  <c r="E535" i="1"/>
  <c r="F535" i="1"/>
  <c r="G535" i="1"/>
  <c r="H535" i="1"/>
  <c r="I535" i="1"/>
  <c r="J535" i="1"/>
  <c r="B536" i="1"/>
  <c r="C536" i="1"/>
  <c r="D536" i="1"/>
  <c r="E536" i="1"/>
  <c r="F536" i="1"/>
  <c r="G536" i="1"/>
  <c r="H536" i="1"/>
  <c r="I536" i="1"/>
  <c r="J536" i="1"/>
  <c r="B537" i="1"/>
  <c r="C537" i="1"/>
  <c r="D537" i="1"/>
  <c r="E537" i="1"/>
  <c r="F537" i="1"/>
  <c r="G537" i="1"/>
  <c r="H537" i="1"/>
  <c r="I537" i="1"/>
  <c r="J537" i="1"/>
  <c r="B538" i="1"/>
  <c r="C538" i="1"/>
  <c r="D538" i="1"/>
  <c r="E538" i="1"/>
  <c r="F538" i="1"/>
  <c r="G538" i="1"/>
  <c r="H538" i="1"/>
  <c r="I538" i="1"/>
  <c r="J538" i="1"/>
  <c r="B539" i="1"/>
  <c r="C539" i="1"/>
  <c r="D539" i="1"/>
  <c r="E539" i="1"/>
  <c r="F539" i="1"/>
  <c r="G539" i="1"/>
  <c r="H539" i="1"/>
  <c r="I539" i="1"/>
  <c r="J539" i="1"/>
  <c r="B540" i="1"/>
  <c r="C540" i="1"/>
  <c r="D540" i="1"/>
  <c r="E540" i="1"/>
  <c r="F540" i="1"/>
  <c r="G540" i="1"/>
  <c r="H540" i="1"/>
  <c r="I540" i="1"/>
  <c r="J540" i="1"/>
  <c r="B541" i="1"/>
  <c r="C541" i="1"/>
  <c r="D541" i="1"/>
  <c r="E541" i="1"/>
  <c r="F541" i="1"/>
  <c r="G541" i="1"/>
  <c r="H541" i="1"/>
  <c r="I541" i="1"/>
  <c r="J541" i="1"/>
  <c r="B542" i="1"/>
  <c r="C542" i="1"/>
  <c r="D542" i="1"/>
  <c r="E542" i="1"/>
  <c r="F542" i="1"/>
  <c r="G542" i="1"/>
  <c r="H542" i="1"/>
  <c r="I542" i="1"/>
  <c r="J542" i="1"/>
  <c r="B543" i="1"/>
  <c r="C543" i="1"/>
  <c r="D543" i="1"/>
  <c r="E543" i="1"/>
  <c r="F543" i="1"/>
  <c r="G543" i="1"/>
  <c r="H543" i="1"/>
  <c r="I543" i="1"/>
  <c r="J543" i="1"/>
  <c r="B544" i="1"/>
  <c r="C544" i="1"/>
  <c r="D544" i="1"/>
  <c r="E544" i="1"/>
  <c r="F544" i="1"/>
  <c r="G544" i="1"/>
  <c r="H544" i="1"/>
  <c r="I544" i="1"/>
  <c r="J544" i="1"/>
  <c r="B545" i="1"/>
  <c r="C545" i="1"/>
  <c r="D545" i="1"/>
  <c r="E545" i="1"/>
  <c r="F545" i="1"/>
  <c r="G545" i="1"/>
  <c r="H545" i="1"/>
  <c r="I545" i="1"/>
  <c r="J545" i="1"/>
  <c r="B546" i="1"/>
  <c r="C546" i="1"/>
  <c r="D546" i="1"/>
  <c r="E546" i="1"/>
  <c r="F546" i="1"/>
  <c r="G546" i="1"/>
  <c r="H546" i="1"/>
  <c r="I546" i="1"/>
  <c r="J546" i="1"/>
  <c r="B547" i="1"/>
  <c r="C547" i="1"/>
  <c r="D547" i="1"/>
  <c r="E547" i="1"/>
  <c r="F547" i="1"/>
  <c r="G547" i="1"/>
  <c r="H547" i="1"/>
  <c r="I547" i="1"/>
  <c r="J547" i="1"/>
  <c r="B548" i="1"/>
  <c r="C548" i="1"/>
  <c r="D548" i="1"/>
  <c r="E548" i="1"/>
  <c r="F548" i="1"/>
  <c r="G548" i="1"/>
  <c r="H548" i="1"/>
  <c r="I548" i="1"/>
  <c r="J548" i="1"/>
  <c r="B549" i="1"/>
  <c r="C549" i="1"/>
  <c r="D549" i="1"/>
  <c r="E549" i="1"/>
  <c r="F549" i="1"/>
  <c r="G549" i="1"/>
  <c r="H549" i="1"/>
  <c r="I549" i="1"/>
  <c r="J549" i="1"/>
  <c r="B550" i="1"/>
  <c r="C550" i="1"/>
  <c r="D550" i="1"/>
  <c r="E550" i="1"/>
  <c r="F550" i="1"/>
  <c r="G550" i="1"/>
  <c r="H550" i="1"/>
  <c r="I550" i="1"/>
  <c r="J550" i="1"/>
  <c r="B551" i="1"/>
  <c r="C551" i="1"/>
  <c r="D551" i="1"/>
  <c r="E551" i="1"/>
  <c r="F551" i="1"/>
  <c r="G551" i="1"/>
  <c r="H551" i="1"/>
  <c r="I551" i="1"/>
  <c r="J551" i="1"/>
  <c r="B552" i="1"/>
  <c r="C552" i="1"/>
  <c r="D552" i="1"/>
  <c r="E552" i="1"/>
  <c r="F552" i="1"/>
  <c r="G552" i="1"/>
  <c r="H552" i="1"/>
  <c r="I552" i="1"/>
  <c r="J552" i="1"/>
  <c r="B553" i="1"/>
  <c r="C553" i="1"/>
  <c r="D553" i="1"/>
  <c r="E553" i="1"/>
  <c r="F553" i="1"/>
  <c r="G553" i="1"/>
  <c r="H553" i="1"/>
  <c r="I553" i="1"/>
  <c r="J553" i="1"/>
  <c r="B554" i="1"/>
  <c r="C554" i="1"/>
  <c r="D554" i="1"/>
  <c r="E554" i="1"/>
  <c r="F554" i="1"/>
  <c r="G554" i="1"/>
  <c r="H554" i="1"/>
  <c r="I554" i="1"/>
  <c r="J554" i="1"/>
  <c r="B555" i="1"/>
  <c r="C555" i="1"/>
  <c r="D555" i="1"/>
  <c r="E555" i="1"/>
  <c r="F555" i="1"/>
  <c r="G555" i="1"/>
  <c r="H555" i="1"/>
  <c r="I555" i="1"/>
  <c r="J555" i="1"/>
  <c r="B556" i="1"/>
  <c r="C556" i="1"/>
  <c r="D556" i="1"/>
  <c r="E556" i="1"/>
  <c r="F556" i="1"/>
  <c r="G556" i="1"/>
  <c r="H556" i="1"/>
  <c r="I556" i="1"/>
  <c r="J556" i="1"/>
  <c r="B557" i="1"/>
  <c r="C557" i="1"/>
  <c r="D557" i="1"/>
  <c r="E557" i="1"/>
  <c r="F557" i="1"/>
  <c r="G557" i="1"/>
  <c r="H557" i="1"/>
  <c r="I557" i="1"/>
  <c r="J557" i="1"/>
  <c r="B558" i="1"/>
  <c r="C558" i="1"/>
  <c r="D558" i="1"/>
  <c r="E558" i="1"/>
  <c r="F558" i="1"/>
  <c r="G558" i="1"/>
  <c r="H558" i="1"/>
  <c r="I558" i="1"/>
  <c r="J558" i="1"/>
  <c r="B559" i="1"/>
  <c r="C559" i="1"/>
  <c r="D559" i="1"/>
  <c r="E559" i="1"/>
  <c r="F559" i="1"/>
  <c r="G559" i="1"/>
  <c r="H559" i="1"/>
  <c r="I559" i="1"/>
  <c r="J559" i="1"/>
  <c r="B560" i="1"/>
  <c r="C560" i="1"/>
  <c r="D560" i="1"/>
  <c r="E560" i="1"/>
  <c r="F560" i="1"/>
  <c r="G560" i="1"/>
  <c r="H560" i="1"/>
  <c r="I560" i="1"/>
  <c r="J560" i="1"/>
  <c r="B561" i="1"/>
  <c r="C561" i="1"/>
  <c r="D561" i="1"/>
  <c r="E561" i="1"/>
  <c r="F561" i="1"/>
  <c r="G561" i="1"/>
  <c r="H561" i="1"/>
  <c r="I561" i="1"/>
  <c r="J561" i="1"/>
  <c r="B562" i="1"/>
  <c r="C562" i="1"/>
  <c r="D562" i="1"/>
  <c r="E562" i="1"/>
  <c r="F562" i="1"/>
  <c r="G562" i="1"/>
  <c r="H562" i="1"/>
  <c r="I562" i="1"/>
  <c r="J562" i="1"/>
  <c r="B563" i="1"/>
  <c r="C563" i="1"/>
  <c r="D563" i="1"/>
  <c r="E563" i="1"/>
  <c r="F563" i="1"/>
  <c r="G563" i="1"/>
  <c r="H563" i="1"/>
  <c r="I563" i="1"/>
  <c r="J563" i="1"/>
  <c r="B564" i="1"/>
  <c r="C564" i="1"/>
  <c r="D564" i="1"/>
  <c r="E564" i="1"/>
  <c r="F564" i="1"/>
  <c r="G564" i="1"/>
  <c r="H564" i="1"/>
  <c r="I564" i="1"/>
  <c r="J564" i="1"/>
  <c r="B565" i="1"/>
  <c r="C565" i="1"/>
  <c r="D565" i="1"/>
  <c r="E565" i="1"/>
  <c r="F565" i="1"/>
  <c r="G565" i="1"/>
  <c r="H565" i="1"/>
  <c r="I565" i="1"/>
  <c r="J565" i="1"/>
  <c r="B566" i="1"/>
  <c r="C566" i="1"/>
  <c r="D566" i="1"/>
  <c r="E566" i="1"/>
  <c r="F566" i="1"/>
  <c r="G566" i="1"/>
  <c r="H566" i="1"/>
  <c r="I566" i="1"/>
  <c r="J566" i="1"/>
  <c r="B567" i="1"/>
  <c r="C567" i="1"/>
  <c r="D567" i="1"/>
  <c r="E567" i="1"/>
  <c r="F567" i="1"/>
  <c r="G567" i="1"/>
  <c r="H567" i="1"/>
  <c r="I567" i="1"/>
  <c r="J567" i="1"/>
  <c r="B568" i="1"/>
  <c r="C568" i="1"/>
  <c r="D568" i="1"/>
  <c r="E568" i="1"/>
  <c r="F568" i="1"/>
  <c r="G568" i="1"/>
  <c r="H568" i="1"/>
  <c r="I568" i="1"/>
  <c r="J568" i="1"/>
  <c r="B569" i="1"/>
  <c r="C569" i="1"/>
  <c r="D569" i="1"/>
  <c r="E569" i="1"/>
  <c r="F569" i="1"/>
  <c r="G569" i="1"/>
  <c r="H569" i="1"/>
  <c r="I569" i="1"/>
  <c r="J569" i="1"/>
  <c r="B570" i="1"/>
  <c r="C570" i="1"/>
  <c r="D570" i="1"/>
  <c r="E570" i="1"/>
  <c r="F570" i="1"/>
  <c r="G570" i="1"/>
  <c r="H570" i="1"/>
  <c r="I570" i="1"/>
  <c r="J570" i="1"/>
  <c r="B571" i="1"/>
  <c r="C571" i="1"/>
  <c r="D571" i="1"/>
  <c r="E571" i="1"/>
  <c r="F571" i="1"/>
  <c r="G571" i="1"/>
  <c r="H571" i="1"/>
  <c r="I571" i="1"/>
  <c r="J571" i="1"/>
  <c r="B572" i="1"/>
  <c r="C572" i="1"/>
  <c r="D572" i="1"/>
  <c r="E572" i="1"/>
  <c r="F572" i="1"/>
  <c r="G572" i="1"/>
  <c r="H572" i="1"/>
  <c r="I572" i="1"/>
  <c r="J572" i="1"/>
  <c r="B573" i="1"/>
  <c r="C573" i="1"/>
  <c r="D573" i="1"/>
  <c r="E573" i="1"/>
  <c r="F573" i="1"/>
  <c r="G573" i="1"/>
  <c r="H573" i="1"/>
  <c r="I573" i="1"/>
  <c r="J573" i="1"/>
  <c r="B574" i="1"/>
  <c r="C574" i="1"/>
  <c r="D574" i="1"/>
  <c r="E574" i="1"/>
  <c r="F574" i="1"/>
  <c r="G574" i="1"/>
  <c r="H574" i="1"/>
  <c r="I574" i="1"/>
  <c r="J574" i="1"/>
  <c r="B575" i="1"/>
  <c r="C575" i="1"/>
  <c r="D575" i="1"/>
  <c r="E575" i="1"/>
  <c r="F575" i="1"/>
  <c r="G575" i="1"/>
  <c r="H575" i="1"/>
  <c r="I575" i="1"/>
  <c r="J575" i="1"/>
  <c r="B576" i="1"/>
  <c r="C576" i="1"/>
  <c r="D576" i="1"/>
  <c r="E576" i="1"/>
  <c r="F576" i="1"/>
  <c r="G576" i="1"/>
  <c r="H576" i="1"/>
  <c r="I576" i="1"/>
  <c r="J576" i="1"/>
  <c r="B577" i="1"/>
  <c r="C577" i="1"/>
  <c r="D577" i="1"/>
  <c r="E577" i="1"/>
  <c r="F577" i="1"/>
  <c r="G577" i="1"/>
  <c r="H577" i="1"/>
  <c r="I577" i="1"/>
  <c r="J577" i="1"/>
  <c r="B578" i="1"/>
  <c r="C578" i="1"/>
  <c r="D578" i="1"/>
  <c r="E578" i="1"/>
  <c r="F578" i="1"/>
  <c r="G578" i="1"/>
  <c r="H578" i="1"/>
  <c r="I578" i="1"/>
  <c r="J578" i="1"/>
  <c r="B579" i="1"/>
  <c r="C579" i="1"/>
  <c r="D579" i="1"/>
  <c r="E579" i="1"/>
  <c r="F579" i="1"/>
  <c r="G579" i="1"/>
  <c r="H579" i="1"/>
  <c r="I579" i="1"/>
  <c r="J579" i="1"/>
  <c r="B580" i="1"/>
  <c r="C580" i="1"/>
  <c r="D580" i="1"/>
  <c r="E580" i="1"/>
  <c r="F580" i="1"/>
  <c r="G580" i="1"/>
  <c r="H580" i="1"/>
  <c r="I580" i="1"/>
  <c r="J580" i="1"/>
  <c r="B581" i="1"/>
  <c r="C581" i="1"/>
  <c r="D581" i="1"/>
  <c r="E581" i="1"/>
  <c r="F581" i="1"/>
  <c r="G581" i="1"/>
  <c r="H581" i="1"/>
  <c r="I581" i="1"/>
  <c r="J581" i="1"/>
  <c r="B582" i="1"/>
  <c r="C582" i="1"/>
  <c r="D582" i="1"/>
  <c r="E582" i="1"/>
  <c r="F582" i="1"/>
  <c r="G582" i="1"/>
  <c r="H582" i="1"/>
  <c r="I582" i="1"/>
  <c r="J582" i="1"/>
  <c r="B583" i="1"/>
  <c r="C583" i="1"/>
  <c r="D583" i="1"/>
  <c r="E583" i="1"/>
  <c r="F583" i="1"/>
  <c r="G583" i="1"/>
  <c r="H583" i="1"/>
  <c r="I583" i="1"/>
  <c r="J583" i="1"/>
  <c r="B584" i="1"/>
  <c r="C584" i="1"/>
  <c r="D584" i="1"/>
  <c r="E584" i="1"/>
  <c r="F584" i="1"/>
  <c r="G584" i="1"/>
  <c r="H584" i="1"/>
  <c r="I584" i="1"/>
  <c r="J584" i="1"/>
  <c r="B585" i="1"/>
  <c r="C585" i="1"/>
  <c r="D585" i="1"/>
  <c r="E585" i="1"/>
  <c r="F585" i="1"/>
  <c r="G585" i="1"/>
  <c r="H585" i="1"/>
  <c r="I585" i="1"/>
  <c r="J585" i="1"/>
  <c r="B586" i="1"/>
  <c r="C586" i="1"/>
  <c r="D586" i="1"/>
  <c r="E586" i="1"/>
  <c r="F586" i="1"/>
  <c r="G586" i="1"/>
  <c r="H586" i="1"/>
  <c r="I586" i="1"/>
  <c r="J586" i="1"/>
  <c r="B587" i="1"/>
  <c r="C587" i="1"/>
  <c r="D587" i="1"/>
  <c r="E587" i="1"/>
  <c r="F587" i="1"/>
  <c r="G587" i="1"/>
  <c r="H587" i="1"/>
  <c r="I587" i="1"/>
  <c r="J587" i="1"/>
  <c r="B588" i="1"/>
  <c r="C588" i="1"/>
  <c r="D588" i="1"/>
  <c r="E588" i="1"/>
  <c r="F588" i="1"/>
  <c r="G588" i="1"/>
  <c r="H588" i="1"/>
  <c r="I588" i="1"/>
  <c r="J588" i="1"/>
  <c r="B589" i="1"/>
  <c r="C589" i="1"/>
  <c r="D589" i="1"/>
  <c r="E589" i="1"/>
  <c r="F589" i="1"/>
  <c r="G589" i="1"/>
  <c r="H589" i="1"/>
  <c r="I589" i="1"/>
  <c r="J589" i="1"/>
  <c r="B590" i="1"/>
  <c r="C590" i="1"/>
  <c r="D590" i="1"/>
  <c r="E590" i="1"/>
  <c r="F590" i="1"/>
  <c r="G590" i="1"/>
  <c r="H590" i="1"/>
  <c r="I590" i="1"/>
  <c r="J590" i="1"/>
  <c r="B591" i="1"/>
  <c r="C591" i="1"/>
  <c r="D591" i="1"/>
  <c r="E591" i="1"/>
  <c r="F591" i="1"/>
  <c r="G591" i="1"/>
  <c r="H591" i="1"/>
  <c r="I591" i="1"/>
  <c r="J591" i="1"/>
  <c r="B592" i="1"/>
  <c r="C592" i="1"/>
  <c r="D592" i="1"/>
  <c r="E592" i="1"/>
  <c r="F592" i="1"/>
  <c r="G592" i="1"/>
  <c r="H592" i="1"/>
  <c r="I592" i="1"/>
  <c r="J592" i="1"/>
  <c r="B593" i="1"/>
  <c r="C593" i="1"/>
  <c r="D593" i="1"/>
  <c r="E593" i="1"/>
  <c r="F593" i="1"/>
  <c r="G593" i="1"/>
  <c r="H593" i="1"/>
  <c r="I593" i="1"/>
  <c r="J593" i="1"/>
  <c r="B594" i="1"/>
  <c r="C594" i="1"/>
  <c r="D594" i="1"/>
  <c r="E594" i="1"/>
  <c r="F594" i="1"/>
  <c r="G594" i="1"/>
  <c r="H594" i="1"/>
  <c r="I594" i="1"/>
  <c r="J594" i="1"/>
  <c r="B595" i="1"/>
  <c r="C595" i="1"/>
  <c r="D595" i="1"/>
  <c r="E595" i="1"/>
  <c r="F595" i="1"/>
  <c r="G595" i="1"/>
  <c r="H595" i="1"/>
  <c r="I595" i="1"/>
  <c r="J595" i="1"/>
  <c r="B596" i="1"/>
  <c r="C596" i="1"/>
  <c r="D596" i="1"/>
  <c r="E596" i="1"/>
  <c r="F596" i="1"/>
  <c r="G596" i="1"/>
  <c r="H596" i="1"/>
  <c r="I596" i="1"/>
  <c r="J596" i="1"/>
  <c r="B597" i="1"/>
  <c r="C597" i="1"/>
  <c r="D597" i="1"/>
  <c r="E597" i="1"/>
  <c r="F597" i="1"/>
  <c r="G597" i="1"/>
  <c r="H597" i="1"/>
  <c r="I597" i="1"/>
  <c r="J597" i="1"/>
  <c r="B598" i="1"/>
  <c r="C598" i="1"/>
  <c r="D598" i="1"/>
  <c r="E598" i="1"/>
  <c r="F598" i="1"/>
  <c r="G598" i="1"/>
  <c r="H598" i="1"/>
  <c r="I598" i="1"/>
  <c r="J598" i="1"/>
  <c r="B599" i="1"/>
  <c r="C599" i="1"/>
  <c r="D599" i="1"/>
  <c r="E599" i="1"/>
  <c r="F599" i="1"/>
  <c r="G599" i="1"/>
  <c r="H599" i="1"/>
  <c r="I599" i="1"/>
  <c r="J599" i="1"/>
  <c r="B600" i="1"/>
  <c r="C600" i="1"/>
  <c r="D600" i="1"/>
  <c r="E600" i="1"/>
  <c r="F600" i="1"/>
  <c r="G600" i="1"/>
  <c r="H600" i="1"/>
  <c r="I600" i="1"/>
  <c r="J600" i="1"/>
  <c r="B601" i="1"/>
  <c r="C601" i="1"/>
  <c r="D601" i="1"/>
  <c r="E601" i="1"/>
  <c r="F601" i="1"/>
  <c r="G601" i="1"/>
  <c r="H601" i="1"/>
  <c r="I601" i="1"/>
  <c r="J601" i="1"/>
  <c r="B602" i="1"/>
  <c r="C602" i="1"/>
  <c r="D602" i="1"/>
  <c r="E602" i="1"/>
  <c r="F602" i="1"/>
  <c r="G602" i="1"/>
  <c r="H602" i="1"/>
  <c r="I602" i="1"/>
  <c r="J602" i="1"/>
  <c r="B603" i="1"/>
  <c r="C603" i="1"/>
  <c r="D603" i="1"/>
  <c r="E603" i="1"/>
  <c r="F603" i="1"/>
  <c r="G603" i="1"/>
  <c r="H603" i="1"/>
  <c r="I603" i="1"/>
  <c r="J603" i="1"/>
  <c r="B604" i="1"/>
  <c r="C604" i="1"/>
  <c r="D604" i="1"/>
  <c r="E604" i="1"/>
  <c r="F604" i="1"/>
  <c r="G604" i="1"/>
  <c r="H604" i="1"/>
  <c r="I604" i="1"/>
  <c r="J604" i="1"/>
  <c r="B605" i="1"/>
  <c r="C605" i="1"/>
  <c r="D605" i="1"/>
  <c r="E605" i="1"/>
  <c r="F605" i="1"/>
  <c r="G605" i="1"/>
  <c r="H605" i="1"/>
  <c r="I605" i="1"/>
  <c r="J605" i="1"/>
  <c r="B606" i="1"/>
  <c r="C606" i="1"/>
  <c r="D606" i="1"/>
  <c r="E606" i="1"/>
  <c r="F606" i="1"/>
  <c r="G606" i="1"/>
  <c r="H606" i="1"/>
  <c r="I606" i="1"/>
  <c r="J606" i="1"/>
  <c r="B607" i="1"/>
  <c r="C607" i="1"/>
  <c r="D607" i="1"/>
  <c r="E607" i="1"/>
  <c r="F607" i="1"/>
  <c r="G607" i="1"/>
  <c r="H607" i="1"/>
  <c r="I607" i="1"/>
  <c r="J607" i="1"/>
  <c r="B608" i="1"/>
  <c r="C608" i="1"/>
  <c r="D608" i="1"/>
  <c r="E608" i="1"/>
  <c r="F608" i="1"/>
  <c r="G608" i="1"/>
  <c r="H608" i="1"/>
  <c r="I608" i="1"/>
  <c r="J608" i="1"/>
  <c r="B609" i="1"/>
  <c r="C609" i="1"/>
  <c r="D609" i="1"/>
  <c r="E609" i="1"/>
  <c r="F609" i="1"/>
  <c r="G609" i="1"/>
  <c r="H609" i="1"/>
  <c r="I609" i="1"/>
  <c r="J609" i="1"/>
  <c r="B610" i="1"/>
  <c r="C610" i="1"/>
  <c r="D610" i="1"/>
  <c r="E610" i="1"/>
  <c r="F610" i="1"/>
  <c r="G610" i="1"/>
  <c r="H610" i="1"/>
  <c r="I610" i="1"/>
  <c r="J610" i="1"/>
  <c r="B611" i="1"/>
  <c r="C611" i="1"/>
  <c r="D611" i="1"/>
  <c r="E611" i="1"/>
  <c r="F611" i="1"/>
  <c r="G611" i="1"/>
  <c r="H611" i="1"/>
  <c r="I611" i="1"/>
  <c r="J611" i="1"/>
  <c r="B612" i="1"/>
  <c r="C612" i="1"/>
  <c r="D612" i="1"/>
  <c r="E612" i="1"/>
  <c r="F612" i="1"/>
  <c r="G612" i="1"/>
  <c r="H612" i="1"/>
  <c r="I612" i="1"/>
  <c r="J612" i="1"/>
  <c r="B613" i="1"/>
  <c r="C613" i="1"/>
  <c r="D613" i="1"/>
  <c r="E613" i="1"/>
  <c r="F613" i="1"/>
  <c r="G613" i="1"/>
  <c r="H613" i="1"/>
  <c r="I613" i="1"/>
  <c r="J613" i="1"/>
  <c r="B614" i="1"/>
  <c r="C614" i="1"/>
  <c r="D614" i="1"/>
  <c r="E614" i="1"/>
  <c r="F614" i="1"/>
  <c r="G614" i="1"/>
  <c r="H614" i="1"/>
  <c r="I614" i="1"/>
  <c r="J614" i="1"/>
  <c r="B615" i="1"/>
  <c r="C615" i="1"/>
  <c r="D615" i="1"/>
  <c r="E615" i="1"/>
  <c r="F615" i="1"/>
  <c r="G615" i="1"/>
  <c r="H615" i="1"/>
  <c r="I615" i="1"/>
  <c r="J615" i="1"/>
  <c r="B616" i="1"/>
  <c r="C616" i="1"/>
  <c r="D616" i="1"/>
  <c r="E616" i="1"/>
  <c r="F616" i="1"/>
  <c r="G616" i="1"/>
  <c r="H616" i="1"/>
  <c r="I616" i="1"/>
  <c r="J616" i="1"/>
  <c r="B617" i="1"/>
  <c r="C617" i="1"/>
  <c r="D617" i="1"/>
  <c r="E617" i="1"/>
  <c r="F617" i="1"/>
  <c r="G617" i="1"/>
  <c r="H617" i="1"/>
  <c r="I617" i="1"/>
  <c r="J617" i="1"/>
  <c r="B618" i="1"/>
  <c r="C618" i="1"/>
  <c r="D618" i="1"/>
  <c r="E618" i="1"/>
  <c r="F618" i="1"/>
  <c r="G618" i="1"/>
  <c r="H618" i="1"/>
  <c r="I618" i="1"/>
  <c r="J618" i="1"/>
  <c r="B619" i="1"/>
  <c r="C619" i="1"/>
  <c r="D619" i="1"/>
  <c r="E619" i="1"/>
  <c r="F619" i="1"/>
  <c r="G619" i="1"/>
  <c r="H619" i="1"/>
  <c r="I619" i="1"/>
  <c r="J619" i="1"/>
  <c r="B620" i="1"/>
  <c r="C620" i="1"/>
  <c r="D620" i="1"/>
  <c r="E620" i="1"/>
  <c r="F620" i="1"/>
  <c r="G620" i="1"/>
  <c r="H620" i="1"/>
  <c r="I620" i="1"/>
  <c r="J620" i="1"/>
  <c r="B621" i="1"/>
  <c r="C621" i="1"/>
  <c r="D621" i="1"/>
  <c r="E621" i="1"/>
  <c r="F621" i="1"/>
  <c r="G621" i="1"/>
  <c r="H621" i="1"/>
  <c r="I621" i="1"/>
  <c r="J621" i="1"/>
  <c r="B622" i="1"/>
  <c r="C622" i="1"/>
  <c r="D622" i="1"/>
  <c r="E622" i="1"/>
  <c r="F622" i="1"/>
  <c r="G622" i="1"/>
  <c r="H622" i="1"/>
  <c r="I622" i="1"/>
  <c r="J622" i="1"/>
  <c r="B623" i="1"/>
  <c r="C623" i="1"/>
  <c r="D623" i="1"/>
  <c r="E623" i="1"/>
  <c r="F623" i="1"/>
  <c r="G623" i="1"/>
  <c r="H623" i="1"/>
  <c r="I623" i="1"/>
  <c r="J623" i="1"/>
  <c r="B624" i="1"/>
  <c r="C624" i="1"/>
  <c r="D624" i="1"/>
  <c r="E624" i="1"/>
  <c r="F624" i="1"/>
  <c r="G624" i="1"/>
  <c r="H624" i="1"/>
  <c r="I624" i="1"/>
  <c r="J624" i="1"/>
  <c r="B625" i="1"/>
  <c r="C625" i="1"/>
  <c r="D625" i="1"/>
  <c r="E625" i="1"/>
  <c r="F625" i="1"/>
  <c r="G625" i="1"/>
  <c r="H625" i="1"/>
  <c r="I625" i="1"/>
  <c r="J625" i="1"/>
  <c r="B626" i="1"/>
  <c r="C626" i="1"/>
  <c r="D626" i="1"/>
  <c r="E626" i="1"/>
  <c r="F626" i="1"/>
  <c r="G626" i="1"/>
  <c r="H626" i="1"/>
  <c r="I626" i="1"/>
  <c r="J626" i="1"/>
  <c r="B627" i="1"/>
  <c r="C627" i="1"/>
  <c r="D627" i="1"/>
  <c r="E627" i="1"/>
  <c r="F627" i="1"/>
  <c r="G627" i="1"/>
  <c r="H627" i="1"/>
  <c r="I627" i="1"/>
  <c r="J627" i="1"/>
  <c r="B628" i="1"/>
  <c r="C628" i="1"/>
  <c r="D628" i="1"/>
  <c r="E628" i="1"/>
  <c r="F628" i="1"/>
  <c r="G628" i="1"/>
  <c r="H628" i="1"/>
  <c r="I628" i="1"/>
  <c r="J628" i="1"/>
  <c r="B629" i="1"/>
  <c r="C629" i="1"/>
  <c r="D629" i="1"/>
  <c r="E629" i="1"/>
  <c r="F629" i="1"/>
  <c r="G629" i="1"/>
  <c r="H629" i="1"/>
  <c r="I629" i="1"/>
  <c r="J629" i="1"/>
  <c r="B630" i="1"/>
  <c r="C630" i="1"/>
  <c r="D630" i="1"/>
  <c r="E630" i="1"/>
  <c r="F630" i="1"/>
  <c r="G630" i="1"/>
  <c r="H630" i="1"/>
  <c r="I630" i="1"/>
  <c r="J630" i="1"/>
  <c r="B631" i="1"/>
  <c r="C631" i="1"/>
  <c r="D631" i="1"/>
  <c r="E631" i="1"/>
  <c r="F631" i="1"/>
  <c r="G631" i="1"/>
  <c r="H631" i="1"/>
  <c r="I631" i="1"/>
  <c r="J631" i="1"/>
  <c r="B632" i="1"/>
  <c r="C632" i="1"/>
  <c r="D632" i="1"/>
  <c r="E632" i="1"/>
  <c r="F632" i="1"/>
  <c r="G632" i="1"/>
  <c r="H632" i="1"/>
  <c r="I632" i="1"/>
  <c r="J632" i="1"/>
  <c r="B633" i="1"/>
  <c r="C633" i="1"/>
  <c r="D633" i="1"/>
  <c r="E633" i="1"/>
  <c r="F633" i="1"/>
  <c r="G633" i="1"/>
  <c r="H633" i="1"/>
  <c r="I633" i="1"/>
  <c r="J633" i="1"/>
  <c r="B634" i="1"/>
  <c r="C634" i="1"/>
  <c r="D634" i="1"/>
  <c r="E634" i="1"/>
  <c r="F634" i="1"/>
  <c r="G634" i="1"/>
  <c r="H634" i="1"/>
  <c r="I634" i="1"/>
  <c r="J634" i="1"/>
  <c r="B635" i="1"/>
  <c r="C635" i="1"/>
  <c r="D635" i="1"/>
  <c r="E635" i="1"/>
  <c r="F635" i="1"/>
  <c r="G635" i="1"/>
  <c r="H635" i="1"/>
  <c r="I635" i="1"/>
  <c r="J635" i="1"/>
  <c r="B636" i="1"/>
  <c r="C636" i="1"/>
  <c r="D636" i="1"/>
  <c r="E636" i="1"/>
  <c r="F636" i="1"/>
  <c r="G636" i="1"/>
  <c r="H636" i="1"/>
  <c r="I636" i="1"/>
  <c r="J636" i="1"/>
  <c r="B637" i="1"/>
  <c r="C637" i="1"/>
  <c r="D637" i="1"/>
  <c r="E637" i="1"/>
  <c r="F637" i="1"/>
  <c r="G637" i="1"/>
  <c r="H637" i="1"/>
  <c r="I637" i="1"/>
  <c r="J637" i="1"/>
  <c r="B638" i="1"/>
  <c r="C638" i="1"/>
  <c r="D638" i="1"/>
  <c r="E638" i="1"/>
  <c r="F638" i="1"/>
  <c r="G638" i="1"/>
  <c r="H638" i="1"/>
  <c r="I638" i="1"/>
  <c r="J638" i="1"/>
  <c r="B639" i="1"/>
  <c r="C639" i="1"/>
  <c r="D639" i="1"/>
  <c r="E639" i="1"/>
  <c r="F639" i="1"/>
  <c r="G639" i="1"/>
  <c r="H639" i="1"/>
  <c r="I639" i="1"/>
  <c r="J639" i="1"/>
  <c r="B640" i="1"/>
  <c r="C640" i="1"/>
  <c r="D640" i="1"/>
  <c r="E640" i="1"/>
  <c r="F640" i="1"/>
  <c r="G640" i="1"/>
  <c r="H640" i="1"/>
  <c r="I640" i="1"/>
  <c r="J640" i="1"/>
  <c r="B641" i="1"/>
  <c r="C641" i="1"/>
  <c r="D641" i="1"/>
  <c r="E641" i="1"/>
  <c r="F641" i="1"/>
  <c r="G641" i="1"/>
  <c r="H641" i="1"/>
  <c r="I641" i="1"/>
  <c r="J641" i="1"/>
  <c r="B642" i="1"/>
  <c r="C642" i="1"/>
  <c r="D642" i="1"/>
  <c r="E642" i="1"/>
  <c r="F642" i="1"/>
  <c r="G642" i="1"/>
  <c r="H642" i="1"/>
  <c r="I642" i="1"/>
  <c r="J642" i="1"/>
  <c r="B643" i="1"/>
  <c r="C643" i="1"/>
  <c r="D643" i="1"/>
  <c r="E643" i="1"/>
  <c r="F643" i="1"/>
  <c r="G643" i="1"/>
  <c r="H643" i="1"/>
  <c r="I643" i="1"/>
  <c r="J643" i="1"/>
  <c r="B644" i="1"/>
  <c r="C644" i="1"/>
  <c r="D644" i="1"/>
  <c r="E644" i="1"/>
  <c r="F644" i="1"/>
  <c r="G644" i="1"/>
  <c r="H644" i="1"/>
  <c r="I644" i="1"/>
  <c r="J644" i="1"/>
  <c r="B645" i="1"/>
  <c r="C645" i="1"/>
  <c r="D645" i="1"/>
  <c r="E645" i="1"/>
  <c r="F645" i="1"/>
  <c r="G645" i="1"/>
  <c r="H645" i="1"/>
  <c r="I645" i="1"/>
  <c r="J645" i="1"/>
  <c r="B646" i="1"/>
  <c r="C646" i="1"/>
  <c r="D646" i="1"/>
  <c r="E646" i="1"/>
  <c r="F646" i="1"/>
  <c r="G646" i="1"/>
  <c r="H646" i="1"/>
  <c r="I646" i="1"/>
  <c r="J646" i="1"/>
  <c r="B647" i="1"/>
  <c r="C647" i="1"/>
  <c r="D647" i="1"/>
  <c r="E647" i="1"/>
  <c r="F647" i="1"/>
  <c r="G647" i="1"/>
  <c r="H647" i="1"/>
  <c r="I647" i="1"/>
  <c r="J647" i="1"/>
  <c r="B648" i="1"/>
  <c r="C648" i="1"/>
  <c r="D648" i="1"/>
  <c r="E648" i="1"/>
  <c r="F648" i="1"/>
  <c r="G648" i="1"/>
  <c r="H648" i="1"/>
  <c r="I648" i="1"/>
  <c r="J648" i="1"/>
  <c r="B649" i="1"/>
  <c r="C649" i="1"/>
  <c r="D649" i="1"/>
  <c r="E649" i="1"/>
  <c r="F649" i="1"/>
  <c r="G649" i="1"/>
  <c r="H649" i="1"/>
  <c r="I649" i="1"/>
  <c r="J649" i="1"/>
  <c r="B650" i="1"/>
  <c r="C650" i="1"/>
  <c r="D650" i="1"/>
  <c r="E650" i="1"/>
  <c r="F650" i="1"/>
  <c r="G650" i="1"/>
  <c r="H650" i="1"/>
  <c r="I650" i="1"/>
  <c r="J650" i="1"/>
  <c r="B651" i="1"/>
  <c r="C651" i="1"/>
  <c r="D651" i="1"/>
  <c r="E651" i="1"/>
  <c r="F651" i="1"/>
  <c r="G651" i="1"/>
  <c r="H651" i="1"/>
  <c r="I651" i="1"/>
  <c r="J651" i="1"/>
  <c r="B652" i="1"/>
  <c r="C652" i="1"/>
  <c r="D652" i="1"/>
  <c r="E652" i="1"/>
  <c r="F652" i="1"/>
  <c r="G652" i="1"/>
  <c r="H652" i="1"/>
  <c r="I652" i="1"/>
  <c r="J652" i="1"/>
  <c r="B653" i="1"/>
  <c r="C653" i="1"/>
  <c r="D653" i="1"/>
  <c r="E653" i="1"/>
  <c r="F653" i="1"/>
  <c r="G653" i="1"/>
  <c r="H653" i="1"/>
  <c r="I653" i="1"/>
  <c r="J653" i="1"/>
  <c r="B654" i="1"/>
  <c r="C654" i="1"/>
  <c r="D654" i="1"/>
  <c r="E654" i="1"/>
  <c r="F654" i="1"/>
  <c r="G654" i="1"/>
  <c r="H654" i="1"/>
  <c r="I654" i="1"/>
  <c r="J654" i="1"/>
  <c r="B655" i="1"/>
  <c r="C655" i="1"/>
  <c r="D655" i="1"/>
  <c r="E655" i="1"/>
  <c r="F655" i="1"/>
  <c r="G655" i="1"/>
  <c r="H655" i="1"/>
  <c r="I655" i="1"/>
  <c r="J655" i="1"/>
  <c r="B656" i="1"/>
  <c r="C656" i="1"/>
  <c r="D656" i="1"/>
  <c r="E656" i="1"/>
  <c r="F656" i="1"/>
  <c r="G656" i="1"/>
  <c r="H656" i="1"/>
  <c r="I656" i="1"/>
  <c r="J656" i="1"/>
  <c r="B657" i="1"/>
  <c r="C657" i="1"/>
  <c r="D657" i="1"/>
  <c r="E657" i="1"/>
  <c r="F657" i="1"/>
  <c r="G657" i="1"/>
  <c r="H657" i="1"/>
  <c r="I657" i="1"/>
  <c r="J657" i="1"/>
  <c r="B658" i="1"/>
  <c r="C658" i="1"/>
  <c r="D658" i="1"/>
  <c r="E658" i="1"/>
  <c r="F658" i="1"/>
  <c r="G658" i="1"/>
  <c r="H658" i="1"/>
  <c r="I658" i="1"/>
  <c r="J658" i="1"/>
  <c r="B659" i="1"/>
  <c r="C659" i="1"/>
  <c r="D659" i="1"/>
  <c r="E659" i="1"/>
  <c r="F659" i="1"/>
  <c r="G659" i="1"/>
  <c r="H659" i="1"/>
  <c r="I659" i="1"/>
  <c r="J659" i="1"/>
  <c r="B660" i="1"/>
  <c r="C660" i="1"/>
  <c r="D660" i="1"/>
  <c r="E660" i="1"/>
  <c r="F660" i="1"/>
  <c r="G660" i="1"/>
  <c r="H660" i="1"/>
  <c r="I660" i="1"/>
  <c r="J660" i="1"/>
  <c r="B661" i="1"/>
  <c r="C661" i="1"/>
  <c r="D661" i="1"/>
  <c r="E661" i="1"/>
  <c r="F661" i="1"/>
  <c r="G661" i="1"/>
  <c r="H661" i="1"/>
  <c r="I661" i="1"/>
  <c r="J661" i="1"/>
  <c r="B662" i="1"/>
  <c r="C662" i="1"/>
  <c r="D662" i="1"/>
  <c r="E662" i="1"/>
  <c r="F662" i="1"/>
  <c r="G662" i="1"/>
  <c r="H662" i="1"/>
  <c r="I662" i="1"/>
  <c r="J662" i="1"/>
  <c r="B663" i="1"/>
  <c r="C663" i="1"/>
  <c r="D663" i="1"/>
  <c r="E663" i="1"/>
  <c r="F663" i="1"/>
  <c r="G663" i="1"/>
  <c r="H663" i="1"/>
  <c r="I663" i="1"/>
  <c r="J663" i="1"/>
  <c r="B664" i="1"/>
  <c r="C664" i="1"/>
  <c r="D664" i="1"/>
  <c r="E664" i="1"/>
  <c r="F664" i="1"/>
  <c r="G664" i="1"/>
  <c r="H664" i="1"/>
  <c r="I664" i="1"/>
  <c r="J664" i="1"/>
  <c r="B665" i="1"/>
  <c r="C665" i="1"/>
  <c r="D665" i="1"/>
  <c r="E665" i="1"/>
  <c r="F665" i="1"/>
  <c r="G665" i="1"/>
  <c r="H665" i="1"/>
  <c r="I665" i="1"/>
  <c r="J665" i="1"/>
  <c r="B666" i="1"/>
  <c r="C666" i="1"/>
  <c r="D666" i="1"/>
  <c r="E666" i="1"/>
  <c r="F666" i="1"/>
  <c r="G666" i="1"/>
  <c r="H666" i="1"/>
  <c r="I666" i="1"/>
  <c r="J666" i="1"/>
  <c r="B667" i="1"/>
  <c r="C667" i="1"/>
  <c r="D667" i="1"/>
  <c r="E667" i="1"/>
  <c r="F667" i="1"/>
  <c r="G667" i="1"/>
  <c r="H667" i="1"/>
  <c r="I667" i="1"/>
  <c r="J667" i="1"/>
  <c r="B668" i="1"/>
  <c r="C668" i="1"/>
  <c r="D668" i="1"/>
  <c r="E668" i="1"/>
  <c r="F668" i="1"/>
  <c r="G668" i="1"/>
  <c r="H668" i="1"/>
  <c r="I668" i="1"/>
  <c r="J668" i="1"/>
  <c r="B669" i="1"/>
  <c r="C669" i="1"/>
  <c r="D669" i="1"/>
  <c r="E669" i="1"/>
  <c r="F669" i="1"/>
  <c r="G669" i="1"/>
  <c r="H669" i="1"/>
  <c r="I669" i="1"/>
  <c r="J669" i="1"/>
  <c r="B670" i="1"/>
  <c r="C670" i="1"/>
  <c r="D670" i="1"/>
  <c r="E670" i="1"/>
  <c r="F670" i="1"/>
  <c r="G670" i="1"/>
  <c r="H670" i="1"/>
  <c r="I670" i="1"/>
  <c r="J670" i="1"/>
  <c r="B671" i="1"/>
  <c r="C671" i="1"/>
  <c r="D671" i="1"/>
  <c r="E671" i="1"/>
  <c r="F671" i="1"/>
  <c r="G671" i="1"/>
  <c r="H671" i="1"/>
  <c r="I671" i="1"/>
  <c r="J671" i="1"/>
  <c r="B672" i="1"/>
  <c r="C672" i="1"/>
  <c r="D672" i="1"/>
  <c r="E672" i="1"/>
  <c r="F672" i="1"/>
  <c r="G672" i="1"/>
  <c r="H672" i="1"/>
  <c r="I672" i="1"/>
  <c r="J672" i="1"/>
  <c r="B673" i="1"/>
  <c r="C673" i="1"/>
  <c r="D673" i="1"/>
  <c r="E673" i="1"/>
  <c r="F673" i="1"/>
  <c r="G673" i="1"/>
  <c r="H673" i="1"/>
  <c r="I673" i="1"/>
  <c r="J673" i="1"/>
  <c r="B674" i="1"/>
  <c r="C674" i="1"/>
  <c r="D674" i="1"/>
  <c r="E674" i="1"/>
  <c r="F674" i="1"/>
  <c r="G674" i="1"/>
  <c r="H674" i="1"/>
  <c r="I674" i="1"/>
  <c r="J674" i="1"/>
  <c r="B675" i="1"/>
  <c r="C675" i="1"/>
  <c r="D675" i="1"/>
  <c r="E675" i="1"/>
  <c r="F675" i="1"/>
  <c r="G675" i="1"/>
  <c r="H675" i="1"/>
  <c r="I675" i="1"/>
  <c r="J675" i="1"/>
  <c r="B676" i="1"/>
  <c r="C676" i="1"/>
  <c r="D676" i="1"/>
  <c r="E676" i="1"/>
  <c r="F676" i="1"/>
  <c r="G676" i="1"/>
  <c r="H676" i="1"/>
  <c r="I676" i="1"/>
  <c r="J676" i="1"/>
  <c r="B677" i="1"/>
  <c r="C677" i="1"/>
  <c r="D677" i="1"/>
  <c r="E677" i="1"/>
  <c r="F677" i="1"/>
  <c r="G677" i="1"/>
  <c r="H677" i="1"/>
  <c r="I677" i="1"/>
  <c r="J677" i="1"/>
  <c r="B678" i="1"/>
  <c r="C678" i="1"/>
  <c r="D678" i="1"/>
  <c r="E678" i="1"/>
  <c r="F678" i="1"/>
  <c r="G678" i="1"/>
  <c r="H678" i="1"/>
  <c r="I678" i="1"/>
  <c r="J678" i="1"/>
  <c r="B679" i="1"/>
  <c r="C679" i="1"/>
  <c r="D679" i="1"/>
  <c r="E679" i="1"/>
  <c r="F679" i="1"/>
  <c r="G679" i="1"/>
  <c r="H679" i="1"/>
  <c r="I679" i="1"/>
  <c r="J679" i="1"/>
  <c r="B680" i="1"/>
  <c r="C680" i="1"/>
  <c r="D680" i="1"/>
  <c r="E680" i="1"/>
  <c r="F680" i="1"/>
  <c r="G680" i="1"/>
  <c r="H680" i="1"/>
  <c r="I680" i="1"/>
  <c r="J680" i="1"/>
  <c r="B681" i="1"/>
  <c r="C681" i="1"/>
  <c r="D681" i="1"/>
  <c r="E681" i="1"/>
  <c r="F681" i="1"/>
  <c r="G681" i="1"/>
  <c r="H681" i="1"/>
  <c r="I681" i="1"/>
  <c r="J681" i="1"/>
  <c r="B682" i="1"/>
  <c r="C682" i="1"/>
  <c r="D682" i="1"/>
  <c r="E682" i="1"/>
  <c r="F682" i="1"/>
  <c r="G682" i="1"/>
  <c r="H682" i="1"/>
  <c r="I682" i="1"/>
  <c r="J682" i="1"/>
  <c r="B683" i="1"/>
  <c r="C683" i="1"/>
  <c r="D683" i="1"/>
  <c r="E683" i="1"/>
  <c r="F683" i="1"/>
  <c r="G683" i="1"/>
  <c r="H683" i="1"/>
  <c r="I683" i="1"/>
  <c r="J683" i="1"/>
  <c r="B684" i="1"/>
  <c r="C684" i="1"/>
  <c r="D684" i="1"/>
  <c r="E684" i="1"/>
  <c r="F684" i="1"/>
  <c r="G684" i="1"/>
  <c r="H684" i="1"/>
  <c r="I684" i="1"/>
  <c r="J684" i="1"/>
  <c r="B685" i="1"/>
  <c r="C685" i="1"/>
  <c r="D685" i="1"/>
  <c r="E685" i="1"/>
  <c r="F685" i="1"/>
  <c r="G685" i="1"/>
  <c r="H685" i="1"/>
  <c r="I685" i="1"/>
  <c r="J685" i="1"/>
  <c r="B686" i="1"/>
  <c r="C686" i="1"/>
  <c r="D686" i="1"/>
  <c r="E686" i="1"/>
  <c r="F686" i="1"/>
  <c r="G686" i="1"/>
  <c r="H686" i="1"/>
  <c r="I686" i="1"/>
  <c r="J686" i="1"/>
  <c r="B687" i="1"/>
  <c r="C687" i="1"/>
  <c r="D687" i="1"/>
  <c r="E687" i="1"/>
  <c r="F687" i="1"/>
  <c r="G687" i="1"/>
  <c r="H687" i="1"/>
  <c r="I687" i="1"/>
  <c r="J687" i="1"/>
  <c r="B688" i="1"/>
  <c r="C688" i="1"/>
  <c r="D688" i="1"/>
  <c r="E688" i="1"/>
  <c r="F688" i="1"/>
  <c r="G688" i="1"/>
  <c r="H688" i="1"/>
  <c r="I688" i="1"/>
  <c r="J688" i="1"/>
  <c r="B689" i="1"/>
  <c r="C689" i="1"/>
  <c r="D689" i="1"/>
  <c r="E689" i="1"/>
  <c r="F689" i="1"/>
  <c r="G689" i="1"/>
  <c r="H689" i="1"/>
  <c r="I689" i="1"/>
  <c r="J689" i="1"/>
  <c r="B690" i="1"/>
  <c r="C690" i="1"/>
  <c r="D690" i="1"/>
  <c r="E690" i="1"/>
  <c r="F690" i="1"/>
  <c r="G690" i="1"/>
  <c r="H690" i="1"/>
  <c r="I690" i="1"/>
  <c r="J690" i="1"/>
  <c r="B691" i="1"/>
  <c r="C691" i="1"/>
  <c r="D691" i="1"/>
  <c r="E691" i="1"/>
  <c r="F691" i="1"/>
  <c r="G691" i="1"/>
  <c r="H691" i="1"/>
  <c r="I691" i="1"/>
  <c r="J691" i="1"/>
  <c r="B692" i="1"/>
  <c r="C692" i="1"/>
  <c r="D692" i="1"/>
  <c r="E692" i="1"/>
  <c r="F692" i="1"/>
  <c r="G692" i="1"/>
  <c r="H692" i="1"/>
  <c r="I692" i="1"/>
  <c r="J692" i="1"/>
  <c r="B693" i="1"/>
  <c r="C693" i="1"/>
  <c r="D693" i="1"/>
  <c r="E693" i="1"/>
  <c r="F693" i="1"/>
  <c r="G693" i="1"/>
  <c r="H693" i="1"/>
  <c r="I693" i="1"/>
  <c r="J693" i="1"/>
  <c r="B694" i="1"/>
  <c r="C694" i="1"/>
  <c r="D694" i="1"/>
  <c r="E694" i="1"/>
  <c r="F694" i="1"/>
  <c r="G694" i="1"/>
  <c r="H694" i="1"/>
  <c r="I694" i="1"/>
  <c r="J694" i="1"/>
  <c r="B695" i="1"/>
  <c r="C695" i="1"/>
  <c r="D695" i="1"/>
  <c r="E695" i="1"/>
  <c r="F695" i="1"/>
  <c r="G695" i="1"/>
  <c r="H695" i="1"/>
  <c r="I695" i="1"/>
  <c r="J695" i="1"/>
  <c r="B696" i="1"/>
  <c r="C696" i="1"/>
  <c r="D696" i="1"/>
  <c r="E696" i="1"/>
  <c r="F696" i="1"/>
  <c r="G696" i="1"/>
  <c r="H696" i="1"/>
  <c r="I696" i="1"/>
  <c r="J696" i="1"/>
  <c r="B697" i="1"/>
  <c r="C697" i="1"/>
  <c r="D697" i="1"/>
  <c r="E697" i="1"/>
  <c r="F697" i="1"/>
  <c r="G697" i="1"/>
  <c r="H697" i="1"/>
  <c r="I697" i="1"/>
  <c r="J697" i="1"/>
  <c r="B698" i="1"/>
  <c r="C698" i="1"/>
  <c r="D698" i="1"/>
  <c r="E698" i="1"/>
  <c r="F698" i="1"/>
  <c r="G698" i="1"/>
  <c r="H698" i="1"/>
  <c r="I698" i="1"/>
  <c r="J698" i="1"/>
  <c r="B699" i="1"/>
  <c r="C699" i="1"/>
  <c r="D699" i="1"/>
  <c r="E699" i="1"/>
  <c r="F699" i="1"/>
  <c r="G699" i="1"/>
  <c r="H699" i="1"/>
  <c r="I699" i="1"/>
  <c r="J699" i="1"/>
  <c r="B700" i="1"/>
  <c r="C700" i="1"/>
  <c r="D700" i="1"/>
  <c r="E700" i="1"/>
  <c r="F700" i="1"/>
  <c r="G700" i="1"/>
  <c r="H700" i="1"/>
  <c r="I700" i="1"/>
  <c r="J700" i="1"/>
  <c r="B701" i="1"/>
  <c r="C701" i="1"/>
  <c r="D701" i="1"/>
  <c r="E701" i="1"/>
  <c r="F701" i="1"/>
  <c r="G701" i="1"/>
  <c r="H701" i="1"/>
  <c r="I701" i="1"/>
  <c r="J701" i="1"/>
  <c r="B702" i="1"/>
  <c r="C702" i="1"/>
  <c r="D702" i="1"/>
  <c r="E702" i="1"/>
  <c r="F702" i="1"/>
  <c r="G702" i="1"/>
  <c r="H702" i="1"/>
  <c r="I702" i="1"/>
  <c r="J702" i="1"/>
  <c r="B703" i="1"/>
  <c r="C703" i="1"/>
  <c r="D703" i="1"/>
  <c r="E703" i="1"/>
  <c r="F703" i="1"/>
  <c r="G703" i="1"/>
  <c r="H703" i="1"/>
  <c r="I703" i="1"/>
  <c r="J703" i="1"/>
  <c r="B704" i="1"/>
  <c r="C704" i="1"/>
  <c r="D704" i="1"/>
  <c r="E704" i="1"/>
  <c r="F704" i="1"/>
  <c r="G704" i="1"/>
  <c r="H704" i="1"/>
  <c r="I704" i="1"/>
  <c r="J704" i="1"/>
  <c r="B705" i="1"/>
  <c r="C705" i="1"/>
  <c r="D705" i="1"/>
  <c r="E705" i="1"/>
  <c r="F705" i="1"/>
  <c r="G705" i="1"/>
  <c r="H705" i="1"/>
  <c r="I705" i="1"/>
  <c r="J705" i="1"/>
  <c r="B706" i="1"/>
  <c r="C706" i="1"/>
  <c r="D706" i="1"/>
  <c r="E706" i="1"/>
  <c r="F706" i="1"/>
  <c r="G706" i="1"/>
  <c r="H706" i="1"/>
  <c r="I706" i="1"/>
  <c r="J706" i="1"/>
  <c r="B707" i="1"/>
  <c r="C707" i="1"/>
  <c r="D707" i="1"/>
  <c r="E707" i="1"/>
  <c r="F707" i="1"/>
  <c r="G707" i="1"/>
  <c r="H707" i="1"/>
  <c r="I707" i="1"/>
  <c r="J707" i="1"/>
  <c r="B708" i="1"/>
  <c r="C708" i="1"/>
  <c r="D708" i="1"/>
  <c r="E708" i="1"/>
  <c r="F708" i="1"/>
  <c r="G708" i="1"/>
  <c r="H708" i="1"/>
  <c r="I708" i="1"/>
  <c r="J708" i="1"/>
  <c r="B709" i="1"/>
  <c r="C709" i="1"/>
  <c r="D709" i="1"/>
  <c r="E709" i="1"/>
  <c r="F709" i="1"/>
  <c r="G709" i="1"/>
  <c r="H709" i="1"/>
  <c r="I709" i="1"/>
  <c r="J709" i="1"/>
  <c r="B710" i="1"/>
  <c r="C710" i="1"/>
  <c r="D710" i="1"/>
  <c r="E710" i="1"/>
  <c r="F710" i="1"/>
  <c r="G710" i="1"/>
  <c r="H710" i="1"/>
  <c r="I710" i="1"/>
  <c r="J710" i="1"/>
  <c r="B711" i="1"/>
  <c r="C711" i="1"/>
  <c r="D711" i="1"/>
  <c r="E711" i="1"/>
  <c r="F711" i="1"/>
  <c r="G711" i="1"/>
  <c r="H711" i="1"/>
  <c r="I711" i="1"/>
  <c r="J711" i="1"/>
  <c r="B712" i="1"/>
  <c r="C712" i="1"/>
  <c r="D712" i="1"/>
  <c r="E712" i="1"/>
  <c r="F712" i="1"/>
  <c r="G712" i="1"/>
  <c r="H712" i="1"/>
  <c r="I712" i="1"/>
  <c r="J712" i="1"/>
  <c r="B713" i="1"/>
  <c r="C713" i="1"/>
  <c r="D713" i="1"/>
  <c r="E713" i="1"/>
  <c r="F713" i="1"/>
  <c r="G713" i="1"/>
  <c r="H713" i="1"/>
  <c r="I713" i="1"/>
  <c r="J713" i="1"/>
  <c r="B714" i="1"/>
  <c r="C714" i="1"/>
  <c r="D714" i="1"/>
  <c r="E714" i="1"/>
  <c r="F714" i="1"/>
  <c r="G714" i="1"/>
  <c r="H714" i="1"/>
  <c r="I714" i="1"/>
  <c r="J714" i="1"/>
  <c r="B715" i="1"/>
  <c r="C715" i="1"/>
  <c r="D715" i="1"/>
  <c r="E715" i="1"/>
  <c r="F715" i="1"/>
  <c r="G715" i="1"/>
  <c r="H715" i="1"/>
  <c r="I715" i="1"/>
  <c r="J715" i="1"/>
  <c r="B716" i="1"/>
  <c r="C716" i="1"/>
  <c r="D716" i="1"/>
  <c r="E716" i="1"/>
  <c r="F716" i="1"/>
  <c r="G716" i="1"/>
  <c r="H716" i="1"/>
  <c r="I716" i="1"/>
  <c r="J716" i="1"/>
  <c r="B717" i="1"/>
  <c r="C717" i="1"/>
  <c r="D717" i="1"/>
  <c r="E717" i="1"/>
  <c r="F717" i="1"/>
  <c r="G717" i="1"/>
  <c r="H717" i="1"/>
  <c r="I717" i="1"/>
  <c r="J717" i="1"/>
  <c r="B718" i="1"/>
  <c r="C718" i="1"/>
  <c r="D718" i="1"/>
  <c r="E718" i="1"/>
  <c r="F718" i="1"/>
  <c r="G718" i="1"/>
  <c r="H718" i="1"/>
  <c r="I718" i="1"/>
  <c r="J718" i="1"/>
  <c r="B719" i="1"/>
  <c r="C719" i="1"/>
  <c r="D719" i="1"/>
  <c r="E719" i="1"/>
  <c r="F719" i="1"/>
  <c r="G719" i="1"/>
  <c r="H719" i="1"/>
  <c r="I719" i="1"/>
  <c r="J719" i="1"/>
  <c r="B720" i="1"/>
  <c r="C720" i="1"/>
  <c r="D720" i="1"/>
  <c r="E720" i="1"/>
  <c r="F720" i="1"/>
  <c r="G720" i="1"/>
  <c r="H720" i="1"/>
  <c r="I720" i="1"/>
  <c r="J720" i="1"/>
  <c r="B721" i="1"/>
  <c r="C721" i="1"/>
  <c r="D721" i="1"/>
  <c r="E721" i="1"/>
  <c r="F721" i="1"/>
  <c r="G721" i="1"/>
  <c r="H721" i="1"/>
  <c r="I721" i="1"/>
  <c r="J721" i="1"/>
  <c r="B722" i="1"/>
  <c r="C722" i="1"/>
  <c r="D722" i="1"/>
  <c r="E722" i="1"/>
  <c r="F722" i="1"/>
  <c r="G722" i="1"/>
  <c r="H722" i="1"/>
  <c r="I722" i="1"/>
  <c r="J722" i="1"/>
  <c r="B723" i="1"/>
  <c r="C723" i="1"/>
  <c r="D723" i="1"/>
  <c r="E723" i="1"/>
  <c r="F723" i="1"/>
  <c r="G723" i="1"/>
  <c r="H723" i="1"/>
  <c r="I723" i="1"/>
  <c r="J723" i="1"/>
  <c r="B724" i="1"/>
  <c r="C724" i="1"/>
  <c r="D724" i="1"/>
  <c r="E724" i="1"/>
  <c r="F724" i="1"/>
  <c r="G724" i="1"/>
  <c r="H724" i="1"/>
  <c r="I724" i="1"/>
  <c r="J724" i="1"/>
  <c r="B725" i="1"/>
  <c r="C725" i="1"/>
  <c r="D725" i="1"/>
  <c r="E725" i="1"/>
  <c r="F725" i="1"/>
  <c r="G725" i="1"/>
  <c r="H725" i="1"/>
  <c r="I725" i="1"/>
  <c r="J725" i="1"/>
  <c r="B726" i="1"/>
  <c r="C726" i="1"/>
  <c r="D726" i="1"/>
  <c r="E726" i="1"/>
  <c r="F726" i="1"/>
  <c r="G726" i="1"/>
  <c r="H726" i="1"/>
  <c r="I726" i="1"/>
  <c r="J726" i="1"/>
  <c r="B727" i="1"/>
  <c r="C727" i="1"/>
  <c r="D727" i="1"/>
  <c r="E727" i="1"/>
  <c r="F727" i="1"/>
  <c r="G727" i="1"/>
  <c r="H727" i="1"/>
  <c r="I727" i="1"/>
  <c r="J727" i="1"/>
  <c r="B728" i="1"/>
  <c r="C728" i="1"/>
  <c r="D728" i="1"/>
  <c r="E728" i="1"/>
  <c r="F728" i="1"/>
  <c r="G728" i="1"/>
  <c r="H728" i="1"/>
  <c r="I728" i="1"/>
  <c r="J728" i="1"/>
  <c r="B729" i="1"/>
  <c r="C729" i="1"/>
  <c r="D729" i="1"/>
  <c r="E729" i="1"/>
  <c r="F729" i="1"/>
  <c r="G729" i="1"/>
  <c r="H729" i="1"/>
  <c r="I729" i="1"/>
  <c r="J729" i="1"/>
  <c r="B730" i="1"/>
  <c r="C730" i="1"/>
  <c r="D730" i="1"/>
  <c r="E730" i="1"/>
  <c r="F730" i="1"/>
  <c r="G730" i="1"/>
  <c r="H730" i="1"/>
  <c r="I730" i="1"/>
  <c r="J730" i="1"/>
  <c r="B731" i="1"/>
  <c r="C731" i="1"/>
  <c r="D731" i="1"/>
  <c r="E731" i="1"/>
  <c r="F731" i="1"/>
  <c r="G731" i="1"/>
  <c r="H731" i="1"/>
  <c r="I731" i="1"/>
  <c r="J731" i="1"/>
  <c r="B732" i="1"/>
  <c r="C732" i="1"/>
  <c r="D732" i="1"/>
  <c r="E732" i="1"/>
  <c r="F732" i="1"/>
  <c r="G732" i="1"/>
  <c r="H732" i="1"/>
  <c r="I732" i="1"/>
  <c r="J732" i="1"/>
  <c r="B733" i="1"/>
  <c r="C733" i="1"/>
  <c r="D733" i="1"/>
  <c r="E733" i="1"/>
  <c r="F733" i="1"/>
  <c r="G733" i="1"/>
  <c r="H733" i="1"/>
  <c r="I733" i="1"/>
  <c r="J733" i="1"/>
  <c r="B734" i="1"/>
  <c r="C734" i="1"/>
  <c r="D734" i="1"/>
  <c r="E734" i="1"/>
  <c r="F734" i="1"/>
  <c r="G734" i="1"/>
  <c r="H734" i="1"/>
  <c r="I734" i="1"/>
  <c r="J734" i="1"/>
  <c r="B735" i="1"/>
  <c r="C735" i="1"/>
  <c r="D735" i="1"/>
  <c r="E735" i="1"/>
  <c r="F735" i="1"/>
  <c r="G735" i="1"/>
  <c r="H735" i="1"/>
  <c r="I735" i="1"/>
  <c r="J735" i="1"/>
  <c r="B736" i="1"/>
  <c r="C736" i="1"/>
  <c r="D736" i="1"/>
  <c r="E736" i="1"/>
  <c r="F736" i="1"/>
  <c r="G736" i="1"/>
  <c r="H736" i="1"/>
  <c r="I736" i="1"/>
  <c r="J736" i="1"/>
  <c r="B737" i="1"/>
  <c r="C737" i="1"/>
  <c r="D737" i="1"/>
  <c r="E737" i="1"/>
  <c r="F737" i="1"/>
  <c r="G737" i="1"/>
  <c r="H737" i="1"/>
  <c r="I737" i="1"/>
  <c r="J737" i="1"/>
  <c r="B738" i="1"/>
  <c r="C738" i="1"/>
  <c r="D738" i="1"/>
  <c r="E738" i="1"/>
  <c r="F738" i="1"/>
  <c r="G738" i="1"/>
  <c r="H738" i="1"/>
  <c r="I738" i="1"/>
  <c r="J738" i="1"/>
  <c r="B739" i="1"/>
  <c r="C739" i="1"/>
  <c r="D739" i="1"/>
  <c r="E739" i="1"/>
  <c r="F739" i="1"/>
  <c r="G739" i="1"/>
  <c r="H739" i="1"/>
  <c r="I739" i="1"/>
  <c r="J739" i="1"/>
  <c r="B740" i="1"/>
  <c r="C740" i="1"/>
  <c r="D740" i="1"/>
  <c r="E740" i="1"/>
  <c r="F740" i="1"/>
  <c r="G740" i="1"/>
  <c r="H740" i="1"/>
  <c r="I740" i="1"/>
  <c r="J740" i="1"/>
  <c r="B741" i="1"/>
  <c r="C741" i="1"/>
  <c r="D741" i="1"/>
  <c r="E741" i="1"/>
  <c r="F741" i="1"/>
  <c r="G741" i="1"/>
  <c r="H741" i="1"/>
  <c r="I741" i="1"/>
  <c r="J741" i="1"/>
  <c r="B742" i="1"/>
  <c r="C742" i="1"/>
  <c r="D742" i="1"/>
  <c r="E742" i="1"/>
  <c r="F742" i="1"/>
  <c r="G742" i="1"/>
  <c r="H742" i="1"/>
  <c r="I742" i="1"/>
  <c r="J742" i="1"/>
  <c r="B743" i="1"/>
  <c r="C743" i="1"/>
  <c r="D743" i="1"/>
  <c r="E743" i="1"/>
  <c r="F743" i="1"/>
  <c r="G743" i="1"/>
  <c r="H743" i="1"/>
  <c r="I743" i="1"/>
  <c r="J743" i="1"/>
  <c r="B744" i="1"/>
  <c r="C744" i="1"/>
  <c r="D744" i="1"/>
  <c r="E744" i="1"/>
  <c r="F744" i="1"/>
  <c r="G744" i="1"/>
  <c r="H744" i="1"/>
  <c r="I744" i="1"/>
  <c r="J744" i="1"/>
  <c r="B745" i="1"/>
  <c r="C745" i="1"/>
  <c r="D745" i="1"/>
  <c r="E745" i="1"/>
  <c r="F745" i="1"/>
  <c r="G745" i="1"/>
  <c r="H745" i="1"/>
  <c r="I745" i="1"/>
  <c r="J745" i="1"/>
  <c r="B746" i="1"/>
  <c r="C746" i="1"/>
  <c r="D746" i="1"/>
  <c r="E746" i="1"/>
  <c r="F746" i="1"/>
  <c r="G746" i="1"/>
  <c r="H746" i="1"/>
  <c r="I746" i="1"/>
  <c r="J746" i="1"/>
  <c r="B747" i="1"/>
  <c r="C747" i="1"/>
  <c r="D747" i="1"/>
  <c r="E747" i="1"/>
  <c r="F747" i="1"/>
  <c r="G747" i="1"/>
  <c r="H747" i="1"/>
  <c r="I747" i="1"/>
  <c r="J747" i="1"/>
  <c r="B748" i="1"/>
  <c r="C748" i="1"/>
  <c r="D748" i="1"/>
  <c r="E748" i="1"/>
  <c r="F748" i="1"/>
  <c r="G748" i="1"/>
  <c r="H748" i="1"/>
  <c r="I748" i="1"/>
  <c r="J748" i="1"/>
  <c r="B749" i="1"/>
  <c r="C749" i="1"/>
  <c r="D749" i="1"/>
  <c r="E749" i="1"/>
  <c r="F749" i="1"/>
  <c r="G749" i="1"/>
  <c r="H749" i="1"/>
  <c r="I749" i="1"/>
  <c r="J749" i="1"/>
  <c r="B750" i="1"/>
  <c r="C750" i="1"/>
  <c r="D750" i="1"/>
  <c r="E750" i="1"/>
  <c r="F750" i="1"/>
  <c r="G750" i="1"/>
  <c r="H750" i="1"/>
  <c r="I750" i="1"/>
  <c r="J750" i="1"/>
  <c r="B751" i="1"/>
  <c r="C751" i="1"/>
  <c r="D751" i="1"/>
  <c r="E751" i="1"/>
  <c r="F751" i="1"/>
  <c r="G751" i="1"/>
  <c r="H751" i="1"/>
  <c r="I751" i="1"/>
  <c r="J751" i="1"/>
  <c r="B752" i="1"/>
  <c r="C752" i="1"/>
  <c r="D752" i="1"/>
  <c r="E752" i="1"/>
  <c r="F752" i="1"/>
  <c r="G752" i="1"/>
  <c r="H752" i="1"/>
  <c r="I752" i="1"/>
  <c r="J752" i="1"/>
  <c r="B753" i="1"/>
  <c r="C753" i="1"/>
  <c r="D753" i="1"/>
  <c r="E753" i="1"/>
  <c r="F753" i="1"/>
  <c r="G753" i="1"/>
  <c r="H753" i="1"/>
  <c r="I753" i="1"/>
  <c r="J753" i="1"/>
  <c r="B754" i="1"/>
  <c r="C754" i="1"/>
  <c r="D754" i="1"/>
  <c r="E754" i="1"/>
  <c r="F754" i="1"/>
  <c r="G754" i="1"/>
  <c r="H754" i="1"/>
  <c r="I754" i="1"/>
  <c r="J754" i="1"/>
  <c r="B755" i="1"/>
  <c r="C755" i="1"/>
  <c r="D755" i="1"/>
  <c r="E755" i="1"/>
  <c r="F755" i="1"/>
  <c r="G755" i="1"/>
  <c r="H755" i="1"/>
  <c r="I755" i="1"/>
  <c r="J755" i="1"/>
  <c r="B756" i="1"/>
  <c r="C756" i="1"/>
  <c r="D756" i="1"/>
  <c r="E756" i="1"/>
  <c r="F756" i="1"/>
  <c r="G756" i="1"/>
  <c r="H756" i="1"/>
  <c r="I756" i="1"/>
  <c r="J756" i="1"/>
  <c r="B757" i="1"/>
  <c r="C757" i="1"/>
  <c r="D757" i="1"/>
  <c r="E757" i="1"/>
  <c r="F757" i="1"/>
  <c r="G757" i="1"/>
  <c r="H757" i="1"/>
  <c r="I757" i="1"/>
  <c r="J757" i="1"/>
  <c r="B758" i="1"/>
  <c r="C758" i="1"/>
  <c r="D758" i="1"/>
  <c r="E758" i="1"/>
  <c r="F758" i="1"/>
  <c r="G758" i="1"/>
  <c r="H758" i="1"/>
  <c r="I758" i="1"/>
  <c r="J758" i="1"/>
  <c r="B759" i="1"/>
  <c r="C759" i="1"/>
  <c r="D759" i="1"/>
  <c r="E759" i="1"/>
  <c r="F759" i="1"/>
  <c r="G759" i="1"/>
  <c r="H759" i="1"/>
  <c r="I759" i="1"/>
  <c r="J759" i="1"/>
  <c r="B760" i="1"/>
  <c r="C760" i="1"/>
  <c r="D760" i="1"/>
  <c r="E760" i="1"/>
  <c r="F760" i="1"/>
  <c r="G760" i="1"/>
  <c r="H760" i="1"/>
  <c r="I760" i="1"/>
  <c r="J760" i="1"/>
  <c r="B761" i="1"/>
  <c r="C761" i="1"/>
  <c r="D761" i="1"/>
  <c r="E761" i="1"/>
  <c r="F761" i="1"/>
  <c r="G761" i="1"/>
  <c r="H761" i="1"/>
  <c r="I761" i="1"/>
  <c r="J761" i="1"/>
  <c r="B762" i="1"/>
  <c r="C762" i="1"/>
  <c r="D762" i="1"/>
  <c r="E762" i="1"/>
  <c r="F762" i="1"/>
  <c r="G762" i="1"/>
  <c r="H762" i="1"/>
  <c r="I762" i="1"/>
  <c r="J762" i="1"/>
  <c r="B763" i="1"/>
  <c r="C763" i="1"/>
  <c r="D763" i="1"/>
  <c r="E763" i="1"/>
  <c r="F763" i="1"/>
  <c r="G763" i="1"/>
  <c r="H763" i="1"/>
  <c r="I763" i="1"/>
  <c r="J763" i="1"/>
  <c r="B764" i="1"/>
  <c r="C764" i="1"/>
  <c r="D764" i="1"/>
  <c r="E764" i="1"/>
  <c r="F764" i="1"/>
  <c r="G764" i="1"/>
  <c r="H764" i="1"/>
  <c r="I764" i="1"/>
  <c r="J764" i="1"/>
  <c r="B765" i="1"/>
  <c r="C765" i="1"/>
  <c r="D765" i="1"/>
  <c r="E765" i="1"/>
  <c r="F765" i="1"/>
  <c r="G765" i="1"/>
  <c r="H765" i="1"/>
  <c r="I765" i="1"/>
  <c r="J765" i="1"/>
  <c r="B766" i="1"/>
  <c r="C766" i="1"/>
  <c r="D766" i="1"/>
  <c r="E766" i="1"/>
  <c r="F766" i="1"/>
  <c r="G766" i="1"/>
  <c r="H766" i="1"/>
  <c r="I766" i="1"/>
  <c r="J766" i="1"/>
  <c r="B767" i="1"/>
  <c r="C767" i="1"/>
  <c r="D767" i="1"/>
  <c r="E767" i="1"/>
  <c r="F767" i="1"/>
  <c r="G767" i="1"/>
  <c r="H767" i="1"/>
  <c r="I767" i="1"/>
  <c r="J767" i="1"/>
  <c r="B768" i="1"/>
  <c r="C768" i="1"/>
  <c r="D768" i="1"/>
  <c r="E768" i="1"/>
  <c r="F768" i="1"/>
  <c r="G768" i="1"/>
  <c r="H768" i="1"/>
  <c r="I768" i="1"/>
  <c r="J768" i="1"/>
  <c r="B769" i="1"/>
  <c r="C769" i="1"/>
  <c r="D769" i="1"/>
  <c r="E769" i="1"/>
  <c r="F769" i="1"/>
  <c r="G769" i="1"/>
  <c r="H769" i="1"/>
  <c r="I769" i="1"/>
  <c r="J769" i="1"/>
  <c r="B770" i="1"/>
  <c r="C770" i="1"/>
  <c r="D770" i="1"/>
  <c r="E770" i="1"/>
  <c r="F770" i="1"/>
  <c r="G770" i="1"/>
  <c r="H770" i="1"/>
  <c r="I770" i="1"/>
  <c r="J770" i="1"/>
  <c r="B771" i="1"/>
  <c r="C771" i="1"/>
  <c r="D771" i="1"/>
  <c r="E771" i="1"/>
  <c r="F771" i="1"/>
  <c r="G771" i="1"/>
  <c r="H771" i="1"/>
  <c r="I771" i="1"/>
  <c r="J771" i="1"/>
  <c r="B772" i="1"/>
  <c r="C772" i="1"/>
  <c r="D772" i="1"/>
  <c r="E772" i="1"/>
  <c r="F772" i="1"/>
  <c r="G772" i="1"/>
  <c r="H772" i="1"/>
  <c r="I772" i="1"/>
  <c r="J772" i="1"/>
  <c r="B773" i="1"/>
  <c r="C773" i="1"/>
  <c r="D773" i="1"/>
  <c r="E773" i="1"/>
  <c r="F773" i="1"/>
  <c r="G773" i="1"/>
  <c r="H773" i="1"/>
  <c r="I773" i="1"/>
  <c r="J773" i="1"/>
  <c r="B774" i="1"/>
  <c r="C774" i="1"/>
  <c r="D774" i="1"/>
  <c r="E774" i="1"/>
  <c r="F774" i="1"/>
  <c r="G774" i="1"/>
  <c r="H774" i="1"/>
  <c r="I774" i="1"/>
  <c r="J774" i="1"/>
  <c r="B775" i="1"/>
  <c r="C775" i="1"/>
  <c r="D775" i="1"/>
  <c r="E775" i="1"/>
  <c r="F775" i="1"/>
  <c r="G775" i="1"/>
  <c r="H775" i="1"/>
  <c r="I775" i="1"/>
  <c r="J775" i="1"/>
  <c r="B776" i="1"/>
  <c r="C776" i="1"/>
  <c r="D776" i="1"/>
  <c r="E776" i="1"/>
  <c r="F776" i="1"/>
  <c r="G776" i="1"/>
  <c r="H776" i="1"/>
  <c r="I776" i="1"/>
  <c r="J776" i="1"/>
  <c r="B777" i="1"/>
  <c r="C777" i="1"/>
  <c r="D777" i="1"/>
  <c r="E777" i="1"/>
  <c r="F777" i="1"/>
  <c r="G777" i="1"/>
  <c r="H777" i="1"/>
  <c r="I777" i="1"/>
  <c r="J777" i="1"/>
  <c r="B778" i="1"/>
  <c r="C778" i="1"/>
  <c r="D778" i="1"/>
  <c r="E778" i="1"/>
  <c r="F778" i="1"/>
  <c r="G778" i="1"/>
  <c r="H778" i="1"/>
  <c r="I778" i="1"/>
  <c r="J778" i="1"/>
  <c r="B779" i="1"/>
  <c r="C779" i="1"/>
  <c r="D779" i="1"/>
  <c r="E779" i="1"/>
  <c r="F779" i="1"/>
  <c r="G779" i="1"/>
  <c r="H779" i="1"/>
  <c r="I779" i="1"/>
  <c r="J779" i="1"/>
  <c r="B780" i="1"/>
  <c r="C780" i="1"/>
  <c r="D780" i="1"/>
  <c r="E780" i="1"/>
  <c r="F780" i="1"/>
  <c r="G780" i="1"/>
  <c r="H780" i="1"/>
  <c r="I780" i="1"/>
  <c r="J780" i="1"/>
  <c r="B781" i="1"/>
  <c r="C781" i="1"/>
  <c r="D781" i="1"/>
  <c r="E781" i="1"/>
  <c r="F781" i="1"/>
  <c r="G781" i="1"/>
  <c r="H781" i="1"/>
  <c r="I781" i="1"/>
  <c r="J781" i="1"/>
  <c r="B782" i="1"/>
  <c r="C782" i="1"/>
  <c r="D782" i="1"/>
  <c r="E782" i="1"/>
  <c r="F782" i="1"/>
  <c r="G782" i="1"/>
  <c r="H782" i="1"/>
  <c r="I782" i="1"/>
  <c r="J782" i="1"/>
  <c r="B783" i="1"/>
  <c r="C783" i="1"/>
  <c r="D783" i="1"/>
  <c r="E783" i="1"/>
  <c r="F783" i="1"/>
  <c r="G783" i="1"/>
  <c r="H783" i="1"/>
  <c r="I783" i="1"/>
  <c r="J783" i="1"/>
  <c r="B784" i="1"/>
  <c r="C784" i="1"/>
  <c r="D784" i="1"/>
  <c r="E784" i="1"/>
  <c r="F784" i="1"/>
  <c r="G784" i="1"/>
  <c r="H784" i="1"/>
  <c r="I784" i="1"/>
  <c r="J784" i="1"/>
  <c r="B785" i="1"/>
  <c r="C785" i="1"/>
  <c r="D785" i="1"/>
  <c r="E785" i="1"/>
  <c r="F785" i="1"/>
  <c r="G785" i="1"/>
  <c r="H785" i="1"/>
  <c r="I785" i="1"/>
  <c r="J785" i="1"/>
  <c r="B786" i="1"/>
  <c r="C786" i="1"/>
  <c r="D786" i="1"/>
  <c r="E786" i="1"/>
  <c r="F786" i="1"/>
  <c r="G786" i="1"/>
  <c r="H786" i="1"/>
  <c r="I786" i="1"/>
  <c r="J786" i="1"/>
  <c r="B787" i="1"/>
  <c r="C787" i="1"/>
  <c r="D787" i="1"/>
  <c r="E787" i="1"/>
  <c r="F787" i="1"/>
  <c r="G787" i="1"/>
  <c r="H787" i="1"/>
  <c r="I787" i="1"/>
  <c r="J787" i="1"/>
  <c r="B788" i="1"/>
  <c r="C788" i="1"/>
  <c r="D788" i="1"/>
  <c r="E788" i="1"/>
  <c r="F788" i="1"/>
  <c r="G788" i="1"/>
  <c r="H788" i="1"/>
  <c r="I788" i="1"/>
  <c r="J788" i="1"/>
  <c r="B789" i="1"/>
  <c r="C789" i="1"/>
  <c r="D789" i="1"/>
  <c r="E789" i="1"/>
  <c r="F789" i="1"/>
  <c r="G789" i="1"/>
  <c r="H789" i="1"/>
  <c r="I789" i="1"/>
  <c r="J789" i="1"/>
  <c r="B790" i="1"/>
  <c r="C790" i="1"/>
  <c r="D790" i="1"/>
  <c r="E790" i="1"/>
  <c r="F790" i="1"/>
  <c r="G790" i="1"/>
  <c r="H790" i="1"/>
  <c r="I790" i="1"/>
  <c r="J790" i="1"/>
  <c r="B791" i="1"/>
  <c r="C791" i="1"/>
  <c r="D791" i="1"/>
  <c r="E791" i="1"/>
  <c r="F791" i="1"/>
  <c r="G791" i="1"/>
  <c r="H791" i="1"/>
  <c r="I791" i="1"/>
  <c r="J791" i="1"/>
  <c r="B792" i="1"/>
  <c r="C792" i="1"/>
  <c r="D792" i="1"/>
  <c r="E792" i="1"/>
  <c r="F792" i="1"/>
  <c r="G792" i="1"/>
  <c r="H792" i="1"/>
  <c r="I792" i="1"/>
  <c r="J792" i="1"/>
  <c r="B793" i="1"/>
  <c r="C793" i="1"/>
  <c r="D793" i="1"/>
  <c r="E793" i="1"/>
  <c r="F793" i="1"/>
  <c r="G793" i="1"/>
  <c r="H793" i="1"/>
  <c r="I793" i="1"/>
  <c r="J793" i="1"/>
  <c r="B794" i="1"/>
  <c r="C794" i="1"/>
  <c r="D794" i="1"/>
  <c r="E794" i="1"/>
  <c r="F794" i="1"/>
  <c r="G794" i="1"/>
  <c r="H794" i="1"/>
  <c r="I794" i="1"/>
  <c r="J794" i="1"/>
  <c r="B795" i="1"/>
  <c r="C795" i="1"/>
  <c r="D795" i="1"/>
  <c r="E795" i="1"/>
  <c r="F795" i="1"/>
  <c r="G795" i="1"/>
  <c r="H795" i="1"/>
  <c r="I795" i="1"/>
  <c r="J795" i="1"/>
  <c r="B796" i="1"/>
  <c r="C796" i="1"/>
  <c r="D796" i="1"/>
  <c r="E796" i="1"/>
  <c r="F796" i="1"/>
  <c r="G796" i="1"/>
  <c r="H796" i="1"/>
  <c r="I796" i="1"/>
  <c r="J796" i="1"/>
  <c r="B797" i="1"/>
  <c r="C797" i="1"/>
  <c r="D797" i="1"/>
  <c r="E797" i="1"/>
  <c r="F797" i="1"/>
  <c r="G797" i="1"/>
  <c r="H797" i="1"/>
  <c r="I797" i="1"/>
  <c r="J797" i="1"/>
  <c r="B798" i="1"/>
  <c r="C798" i="1"/>
  <c r="D798" i="1"/>
  <c r="E798" i="1"/>
  <c r="F798" i="1"/>
  <c r="G798" i="1"/>
  <c r="H798" i="1"/>
  <c r="I798" i="1"/>
  <c r="J798" i="1"/>
  <c r="B799" i="1"/>
  <c r="C799" i="1"/>
  <c r="D799" i="1"/>
  <c r="E799" i="1"/>
  <c r="F799" i="1"/>
  <c r="G799" i="1"/>
  <c r="H799" i="1"/>
  <c r="I799" i="1"/>
  <c r="J799" i="1"/>
  <c r="B800" i="1"/>
  <c r="C800" i="1"/>
  <c r="D800" i="1"/>
  <c r="E800" i="1"/>
  <c r="F800" i="1"/>
  <c r="G800" i="1"/>
  <c r="H800" i="1"/>
  <c r="I800" i="1"/>
  <c r="J800" i="1"/>
  <c r="B801" i="1"/>
  <c r="C801" i="1"/>
  <c r="D801" i="1"/>
  <c r="E801" i="1"/>
  <c r="F801" i="1"/>
  <c r="G801" i="1"/>
  <c r="H801" i="1"/>
  <c r="I801" i="1"/>
  <c r="J801" i="1"/>
  <c r="B802" i="1"/>
  <c r="C802" i="1"/>
  <c r="D802" i="1"/>
  <c r="E802" i="1"/>
  <c r="F802" i="1"/>
  <c r="G802" i="1"/>
  <c r="H802" i="1"/>
  <c r="I802" i="1"/>
  <c r="J802" i="1"/>
  <c r="B803" i="1"/>
  <c r="C803" i="1"/>
  <c r="D803" i="1"/>
  <c r="E803" i="1"/>
  <c r="F803" i="1"/>
  <c r="G803" i="1"/>
  <c r="H803" i="1"/>
  <c r="I803" i="1"/>
  <c r="J803" i="1"/>
  <c r="B804" i="1"/>
  <c r="C804" i="1"/>
  <c r="D804" i="1"/>
  <c r="E804" i="1"/>
  <c r="F804" i="1"/>
  <c r="G804" i="1"/>
  <c r="H804" i="1"/>
  <c r="I804" i="1"/>
  <c r="J804" i="1"/>
  <c r="B805" i="1"/>
  <c r="C805" i="1"/>
  <c r="D805" i="1"/>
  <c r="E805" i="1"/>
  <c r="F805" i="1"/>
  <c r="G805" i="1"/>
  <c r="H805" i="1"/>
  <c r="I805" i="1"/>
  <c r="J805" i="1"/>
  <c r="B806" i="1"/>
  <c r="C806" i="1"/>
  <c r="D806" i="1"/>
  <c r="E806" i="1"/>
  <c r="F806" i="1"/>
  <c r="G806" i="1"/>
  <c r="H806" i="1"/>
  <c r="I806" i="1"/>
  <c r="J806" i="1"/>
  <c r="B807" i="1"/>
  <c r="C807" i="1"/>
  <c r="D807" i="1"/>
  <c r="E807" i="1"/>
  <c r="F807" i="1"/>
  <c r="G807" i="1"/>
  <c r="H807" i="1"/>
  <c r="I807" i="1"/>
  <c r="J807" i="1"/>
  <c r="B808" i="1"/>
  <c r="C808" i="1"/>
  <c r="D808" i="1"/>
  <c r="E808" i="1"/>
  <c r="F808" i="1"/>
  <c r="G808" i="1"/>
  <c r="H808" i="1"/>
  <c r="I808" i="1"/>
  <c r="J808" i="1"/>
  <c r="B809" i="1"/>
  <c r="C809" i="1"/>
  <c r="D809" i="1"/>
  <c r="E809" i="1"/>
  <c r="F809" i="1"/>
  <c r="G809" i="1"/>
  <c r="H809" i="1"/>
  <c r="I809" i="1"/>
  <c r="J809" i="1"/>
  <c r="B810" i="1"/>
  <c r="C810" i="1"/>
  <c r="D810" i="1"/>
  <c r="E810" i="1"/>
  <c r="F810" i="1"/>
  <c r="G810" i="1"/>
  <c r="H810" i="1"/>
  <c r="I810" i="1"/>
  <c r="J810" i="1"/>
  <c r="B811" i="1"/>
  <c r="C811" i="1"/>
  <c r="D811" i="1"/>
  <c r="E811" i="1"/>
  <c r="F811" i="1"/>
  <c r="G811" i="1"/>
  <c r="H811" i="1"/>
  <c r="I811" i="1"/>
  <c r="J811" i="1"/>
  <c r="B812" i="1"/>
  <c r="C812" i="1"/>
  <c r="D812" i="1"/>
  <c r="E812" i="1"/>
  <c r="F812" i="1"/>
  <c r="G812" i="1"/>
  <c r="H812" i="1"/>
  <c r="I812" i="1"/>
  <c r="J812" i="1"/>
  <c r="B813" i="1"/>
  <c r="C813" i="1"/>
  <c r="D813" i="1"/>
  <c r="E813" i="1"/>
  <c r="F813" i="1"/>
  <c r="G813" i="1"/>
  <c r="H813" i="1"/>
  <c r="I813" i="1"/>
  <c r="J813" i="1"/>
  <c r="B814" i="1"/>
  <c r="C814" i="1"/>
  <c r="D814" i="1"/>
  <c r="E814" i="1"/>
  <c r="F814" i="1"/>
  <c r="G814" i="1"/>
  <c r="H814" i="1"/>
  <c r="I814" i="1"/>
  <c r="J814" i="1"/>
  <c r="B815" i="1"/>
  <c r="C815" i="1"/>
  <c r="D815" i="1"/>
  <c r="E815" i="1"/>
  <c r="F815" i="1"/>
  <c r="G815" i="1"/>
  <c r="H815" i="1"/>
  <c r="I815" i="1"/>
  <c r="J815" i="1"/>
  <c r="B816" i="1"/>
  <c r="C816" i="1"/>
  <c r="D816" i="1"/>
  <c r="E816" i="1"/>
  <c r="F816" i="1"/>
  <c r="G816" i="1"/>
  <c r="H816" i="1"/>
  <c r="I816" i="1"/>
  <c r="J816" i="1"/>
  <c r="B817" i="1"/>
  <c r="C817" i="1"/>
  <c r="D817" i="1"/>
  <c r="E817" i="1"/>
  <c r="F817" i="1"/>
  <c r="G817" i="1"/>
  <c r="H817" i="1"/>
  <c r="I817" i="1"/>
  <c r="J817" i="1"/>
  <c r="B818" i="1"/>
  <c r="C818" i="1"/>
  <c r="D818" i="1"/>
  <c r="E818" i="1"/>
  <c r="F818" i="1"/>
  <c r="G818" i="1"/>
  <c r="H818" i="1"/>
  <c r="I818" i="1"/>
  <c r="J818" i="1"/>
  <c r="B819" i="1"/>
  <c r="C819" i="1"/>
  <c r="D819" i="1"/>
  <c r="E819" i="1"/>
  <c r="F819" i="1"/>
  <c r="G819" i="1"/>
  <c r="H819" i="1"/>
  <c r="I819" i="1"/>
  <c r="J819" i="1"/>
  <c r="B820" i="1"/>
  <c r="C820" i="1"/>
  <c r="D820" i="1"/>
  <c r="E820" i="1"/>
  <c r="F820" i="1"/>
  <c r="G820" i="1"/>
  <c r="H820" i="1"/>
  <c r="I820" i="1"/>
  <c r="J820" i="1"/>
  <c r="B821" i="1"/>
  <c r="C821" i="1"/>
  <c r="D821" i="1"/>
  <c r="E821" i="1"/>
  <c r="F821" i="1"/>
  <c r="G821" i="1"/>
  <c r="H821" i="1"/>
  <c r="I821" i="1"/>
  <c r="J821" i="1"/>
  <c r="B822" i="1"/>
  <c r="C822" i="1"/>
  <c r="D822" i="1"/>
  <c r="E822" i="1"/>
  <c r="F822" i="1"/>
  <c r="G822" i="1"/>
  <c r="H822" i="1"/>
  <c r="I822" i="1"/>
  <c r="J822" i="1"/>
  <c r="B823" i="1"/>
  <c r="C823" i="1"/>
  <c r="D823" i="1"/>
  <c r="E823" i="1"/>
  <c r="F823" i="1"/>
  <c r="G823" i="1"/>
  <c r="H823" i="1"/>
  <c r="I823" i="1"/>
  <c r="J823" i="1"/>
  <c r="B824" i="1"/>
  <c r="C824" i="1"/>
  <c r="D824" i="1"/>
  <c r="E824" i="1"/>
  <c r="F824" i="1"/>
  <c r="G824" i="1"/>
  <c r="H824" i="1"/>
  <c r="I824" i="1"/>
  <c r="J824" i="1"/>
  <c r="B825" i="1"/>
  <c r="C825" i="1"/>
  <c r="D825" i="1"/>
  <c r="E825" i="1"/>
  <c r="F825" i="1"/>
  <c r="G825" i="1"/>
  <c r="H825" i="1"/>
  <c r="I825" i="1"/>
  <c r="J825" i="1"/>
  <c r="B826" i="1"/>
  <c r="C826" i="1"/>
  <c r="D826" i="1"/>
  <c r="E826" i="1"/>
  <c r="F826" i="1"/>
  <c r="G826" i="1"/>
  <c r="H826" i="1"/>
  <c r="I826" i="1"/>
  <c r="J826" i="1"/>
  <c r="B827" i="1"/>
  <c r="C827" i="1"/>
  <c r="D827" i="1"/>
  <c r="E827" i="1"/>
  <c r="F827" i="1"/>
  <c r="G827" i="1"/>
  <c r="H827" i="1"/>
  <c r="I827" i="1"/>
  <c r="J827" i="1"/>
  <c r="B828" i="1"/>
  <c r="C828" i="1"/>
  <c r="D828" i="1"/>
  <c r="E828" i="1"/>
  <c r="F828" i="1"/>
  <c r="G828" i="1"/>
  <c r="H828" i="1"/>
  <c r="I828" i="1"/>
  <c r="J828" i="1"/>
  <c r="B829" i="1"/>
  <c r="C829" i="1"/>
  <c r="D829" i="1"/>
  <c r="E829" i="1"/>
  <c r="F829" i="1"/>
  <c r="G829" i="1"/>
  <c r="H829" i="1"/>
  <c r="I829" i="1"/>
  <c r="J829" i="1"/>
  <c r="B830" i="1"/>
  <c r="C830" i="1"/>
  <c r="D830" i="1"/>
  <c r="E830" i="1"/>
  <c r="F830" i="1"/>
  <c r="G830" i="1"/>
  <c r="H830" i="1"/>
  <c r="I830" i="1"/>
  <c r="J830" i="1"/>
  <c r="B831" i="1"/>
  <c r="C831" i="1"/>
  <c r="D831" i="1"/>
  <c r="E831" i="1"/>
  <c r="F831" i="1"/>
  <c r="G831" i="1"/>
  <c r="H831" i="1"/>
  <c r="I831" i="1"/>
  <c r="J831" i="1"/>
  <c r="B832" i="1"/>
  <c r="C832" i="1"/>
  <c r="D832" i="1"/>
  <c r="E832" i="1"/>
  <c r="F832" i="1"/>
  <c r="G832" i="1"/>
  <c r="H832" i="1"/>
  <c r="I832" i="1"/>
  <c r="J832" i="1"/>
  <c r="B833" i="1"/>
  <c r="C833" i="1"/>
  <c r="D833" i="1"/>
  <c r="E833" i="1"/>
  <c r="F833" i="1"/>
  <c r="G833" i="1"/>
  <c r="H833" i="1"/>
  <c r="I833" i="1"/>
  <c r="J833" i="1"/>
  <c r="B834" i="1"/>
  <c r="C834" i="1"/>
  <c r="D834" i="1"/>
  <c r="E834" i="1"/>
  <c r="F834" i="1"/>
  <c r="G834" i="1"/>
  <c r="H834" i="1"/>
  <c r="I834" i="1"/>
  <c r="J834" i="1"/>
  <c r="B835" i="1"/>
  <c r="C835" i="1"/>
  <c r="D835" i="1"/>
  <c r="E835" i="1"/>
  <c r="F835" i="1"/>
  <c r="G835" i="1"/>
  <c r="H835" i="1"/>
  <c r="I835" i="1"/>
  <c r="J835" i="1"/>
  <c r="B836" i="1"/>
  <c r="C836" i="1"/>
  <c r="D836" i="1"/>
  <c r="E836" i="1"/>
  <c r="F836" i="1"/>
  <c r="G836" i="1"/>
  <c r="H836" i="1"/>
  <c r="I836" i="1"/>
  <c r="J836" i="1"/>
  <c r="B837" i="1"/>
  <c r="C837" i="1"/>
  <c r="D837" i="1"/>
  <c r="E837" i="1"/>
  <c r="F837" i="1"/>
  <c r="G837" i="1"/>
  <c r="H837" i="1"/>
  <c r="I837" i="1"/>
  <c r="J837" i="1"/>
  <c r="B838" i="1"/>
  <c r="C838" i="1"/>
  <c r="D838" i="1"/>
  <c r="E838" i="1"/>
  <c r="F838" i="1"/>
  <c r="G838" i="1"/>
  <c r="H838" i="1"/>
  <c r="I838" i="1"/>
  <c r="J838" i="1"/>
  <c r="B839" i="1"/>
  <c r="C839" i="1"/>
  <c r="D839" i="1"/>
  <c r="E839" i="1"/>
  <c r="F839" i="1"/>
  <c r="G839" i="1"/>
  <c r="H839" i="1"/>
  <c r="I839" i="1"/>
  <c r="J839" i="1"/>
  <c r="B840" i="1"/>
  <c r="C840" i="1"/>
  <c r="D840" i="1"/>
  <c r="E840" i="1"/>
  <c r="F840" i="1"/>
  <c r="G840" i="1"/>
  <c r="H840" i="1"/>
  <c r="I840" i="1"/>
  <c r="J840" i="1"/>
  <c r="B841" i="1"/>
  <c r="C841" i="1"/>
  <c r="D841" i="1"/>
  <c r="E841" i="1"/>
  <c r="F841" i="1"/>
  <c r="G841" i="1"/>
  <c r="H841" i="1"/>
  <c r="I841" i="1"/>
  <c r="J841" i="1"/>
  <c r="B842" i="1"/>
  <c r="C842" i="1"/>
  <c r="D842" i="1"/>
  <c r="E842" i="1"/>
  <c r="F842" i="1"/>
  <c r="G842" i="1"/>
  <c r="H842" i="1"/>
  <c r="I842" i="1"/>
  <c r="J842" i="1"/>
  <c r="B843" i="1"/>
  <c r="C843" i="1"/>
  <c r="D843" i="1"/>
  <c r="E843" i="1"/>
  <c r="F843" i="1"/>
  <c r="G843" i="1"/>
  <c r="H843" i="1"/>
  <c r="I843" i="1"/>
  <c r="J843" i="1"/>
  <c r="B844" i="1"/>
  <c r="C844" i="1"/>
  <c r="D844" i="1"/>
  <c r="E844" i="1"/>
  <c r="F844" i="1"/>
  <c r="G844" i="1"/>
  <c r="H844" i="1"/>
  <c r="I844" i="1"/>
  <c r="J844" i="1"/>
  <c r="B845" i="1"/>
  <c r="C845" i="1"/>
  <c r="D845" i="1"/>
  <c r="E845" i="1"/>
  <c r="F845" i="1"/>
  <c r="G845" i="1"/>
  <c r="H845" i="1"/>
  <c r="I845" i="1"/>
  <c r="J845" i="1"/>
  <c r="B846" i="1"/>
  <c r="C846" i="1"/>
  <c r="D846" i="1"/>
  <c r="E846" i="1"/>
  <c r="F846" i="1"/>
  <c r="G846" i="1"/>
  <c r="H846" i="1"/>
  <c r="I846" i="1"/>
  <c r="J846" i="1"/>
  <c r="B847" i="1"/>
  <c r="C847" i="1"/>
  <c r="D847" i="1"/>
  <c r="E847" i="1"/>
  <c r="F847" i="1"/>
  <c r="G847" i="1"/>
  <c r="H847" i="1"/>
  <c r="I847" i="1"/>
  <c r="J847" i="1"/>
  <c r="B848" i="1"/>
  <c r="C848" i="1"/>
  <c r="D848" i="1"/>
  <c r="E848" i="1"/>
  <c r="F848" i="1"/>
  <c r="G848" i="1"/>
  <c r="H848" i="1"/>
  <c r="I848" i="1"/>
  <c r="J848" i="1"/>
  <c r="B849" i="1"/>
  <c r="C849" i="1"/>
  <c r="D849" i="1"/>
  <c r="E849" i="1"/>
  <c r="F849" i="1"/>
  <c r="G849" i="1"/>
  <c r="H849" i="1"/>
  <c r="I849" i="1"/>
  <c r="J849" i="1"/>
  <c r="B850" i="1"/>
  <c r="C850" i="1"/>
  <c r="D850" i="1"/>
  <c r="E850" i="1"/>
  <c r="F850" i="1"/>
  <c r="G850" i="1"/>
  <c r="H850" i="1"/>
  <c r="I850" i="1"/>
  <c r="J850" i="1"/>
  <c r="B851" i="1"/>
  <c r="C851" i="1"/>
  <c r="D851" i="1"/>
  <c r="E851" i="1"/>
  <c r="F851" i="1"/>
  <c r="G851" i="1"/>
  <c r="H851" i="1"/>
  <c r="I851" i="1"/>
  <c r="J851" i="1"/>
  <c r="B852" i="1"/>
  <c r="C852" i="1"/>
  <c r="D852" i="1"/>
  <c r="E852" i="1"/>
  <c r="F852" i="1"/>
  <c r="G852" i="1"/>
  <c r="H852" i="1"/>
  <c r="I852" i="1"/>
  <c r="J852" i="1"/>
  <c r="B853" i="1"/>
  <c r="C853" i="1"/>
  <c r="D853" i="1"/>
  <c r="E853" i="1"/>
  <c r="F853" i="1"/>
  <c r="G853" i="1"/>
  <c r="H853" i="1"/>
  <c r="I853" i="1"/>
  <c r="J853" i="1"/>
  <c r="B854" i="1"/>
  <c r="C854" i="1"/>
  <c r="D854" i="1"/>
  <c r="E854" i="1"/>
  <c r="F854" i="1"/>
  <c r="G854" i="1"/>
  <c r="H854" i="1"/>
  <c r="I854" i="1"/>
  <c r="J854" i="1"/>
  <c r="B855" i="1"/>
  <c r="C855" i="1"/>
  <c r="D855" i="1"/>
  <c r="E855" i="1"/>
  <c r="F855" i="1"/>
  <c r="G855" i="1"/>
  <c r="H855" i="1"/>
  <c r="I855" i="1"/>
  <c r="J855" i="1"/>
  <c r="B856" i="1"/>
  <c r="C856" i="1"/>
  <c r="D856" i="1"/>
  <c r="E856" i="1"/>
  <c r="F856" i="1"/>
  <c r="G856" i="1"/>
  <c r="H856" i="1"/>
  <c r="I856" i="1"/>
  <c r="J856" i="1"/>
  <c r="B857" i="1"/>
  <c r="C857" i="1"/>
  <c r="D857" i="1"/>
  <c r="E857" i="1"/>
  <c r="F857" i="1"/>
  <c r="G857" i="1"/>
  <c r="H857" i="1"/>
  <c r="I857" i="1"/>
  <c r="J857" i="1"/>
  <c r="B858" i="1"/>
  <c r="C858" i="1"/>
  <c r="D858" i="1"/>
  <c r="E858" i="1"/>
  <c r="F858" i="1"/>
  <c r="G858" i="1"/>
  <c r="H858" i="1"/>
  <c r="I858" i="1"/>
  <c r="J858" i="1"/>
  <c r="B859" i="1"/>
  <c r="C859" i="1"/>
  <c r="D859" i="1"/>
  <c r="E859" i="1"/>
  <c r="F859" i="1"/>
  <c r="G859" i="1"/>
  <c r="H859" i="1"/>
  <c r="I859" i="1"/>
  <c r="J859" i="1"/>
  <c r="B860" i="1"/>
  <c r="C860" i="1"/>
  <c r="D860" i="1"/>
  <c r="E860" i="1"/>
  <c r="F860" i="1"/>
  <c r="G860" i="1"/>
  <c r="H860" i="1"/>
  <c r="I860" i="1"/>
  <c r="J860" i="1"/>
  <c r="B861" i="1"/>
  <c r="C861" i="1"/>
  <c r="D861" i="1"/>
  <c r="E861" i="1"/>
  <c r="F861" i="1"/>
  <c r="G861" i="1"/>
  <c r="H861" i="1"/>
  <c r="I861" i="1"/>
  <c r="J861" i="1"/>
  <c r="B862" i="1"/>
  <c r="C862" i="1"/>
  <c r="D862" i="1"/>
  <c r="E862" i="1"/>
  <c r="F862" i="1"/>
  <c r="G862" i="1"/>
  <c r="H862" i="1"/>
  <c r="I862" i="1"/>
  <c r="J862" i="1"/>
  <c r="B863" i="1"/>
  <c r="C863" i="1"/>
  <c r="D863" i="1"/>
  <c r="E863" i="1"/>
  <c r="F863" i="1"/>
  <c r="G863" i="1"/>
  <c r="H863" i="1"/>
  <c r="I863" i="1"/>
  <c r="J863" i="1"/>
  <c r="B864" i="1"/>
  <c r="C864" i="1"/>
  <c r="D864" i="1"/>
  <c r="E864" i="1"/>
  <c r="F864" i="1"/>
  <c r="G864" i="1"/>
  <c r="H864" i="1"/>
  <c r="I864" i="1"/>
  <c r="J864" i="1"/>
  <c r="B865" i="1"/>
  <c r="C865" i="1"/>
  <c r="D865" i="1"/>
  <c r="E865" i="1"/>
  <c r="F865" i="1"/>
  <c r="G865" i="1"/>
  <c r="H865" i="1"/>
  <c r="I865" i="1"/>
  <c r="J865" i="1"/>
  <c r="B866" i="1"/>
  <c r="C866" i="1"/>
  <c r="D866" i="1"/>
  <c r="E866" i="1"/>
  <c r="F866" i="1"/>
  <c r="G866" i="1"/>
  <c r="H866" i="1"/>
  <c r="I866" i="1"/>
  <c r="J866" i="1"/>
  <c r="B867" i="1"/>
  <c r="C867" i="1"/>
  <c r="D867" i="1"/>
  <c r="E867" i="1"/>
  <c r="F867" i="1"/>
  <c r="G867" i="1"/>
  <c r="H867" i="1"/>
  <c r="I867" i="1"/>
  <c r="J867" i="1"/>
  <c r="B868" i="1"/>
  <c r="C868" i="1"/>
  <c r="D868" i="1"/>
  <c r="E868" i="1"/>
  <c r="F868" i="1"/>
  <c r="G868" i="1"/>
  <c r="H868" i="1"/>
  <c r="I868" i="1"/>
  <c r="J868" i="1"/>
  <c r="B869" i="1"/>
  <c r="C869" i="1"/>
  <c r="D869" i="1"/>
  <c r="E869" i="1"/>
  <c r="F869" i="1"/>
  <c r="G869" i="1"/>
  <c r="H869" i="1"/>
  <c r="I869" i="1"/>
  <c r="J869" i="1"/>
  <c r="B870" i="1"/>
  <c r="C870" i="1"/>
  <c r="D870" i="1"/>
  <c r="E870" i="1"/>
  <c r="F870" i="1"/>
  <c r="G870" i="1"/>
  <c r="H870" i="1"/>
  <c r="I870" i="1"/>
  <c r="J870" i="1"/>
  <c r="B871" i="1"/>
  <c r="C871" i="1"/>
  <c r="D871" i="1"/>
  <c r="E871" i="1"/>
  <c r="F871" i="1"/>
  <c r="G871" i="1"/>
  <c r="H871" i="1"/>
  <c r="I871" i="1"/>
  <c r="J871" i="1"/>
  <c r="B872" i="1"/>
  <c r="C872" i="1"/>
  <c r="D872" i="1"/>
  <c r="E872" i="1"/>
  <c r="F872" i="1"/>
  <c r="G872" i="1"/>
  <c r="H872" i="1"/>
  <c r="I872" i="1"/>
  <c r="J872" i="1"/>
  <c r="B873" i="1"/>
  <c r="C873" i="1"/>
  <c r="D873" i="1"/>
  <c r="E873" i="1"/>
  <c r="F873" i="1"/>
  <c r="G873" i="1"/>
  <c r="H873" i="1"/>
  <c r="I873" i="1"/>
  <c r="J873" i="1"/>
  <c r="B874" i="1"/>
  <c r="C874" i="1"/>
  <c r="D874" i="1"/>
  <c r="E874" i="1"/>
  <c r="F874" i="1"/>
  <c r="G874" i="1"/>
  <c r="H874" i="1"/>
  <c r="I874" i="1"/>
  <c r="J874" i="1"/>
  <c r="B875" i="1"/>
  <c r="C875" i="1"/>
  <c r="D875" i="1"/>
  <c r="E875" i="1"/>
  <c r="F875" i="1"/>
  <c r="G875" i="1"/>
  <c r="H875" i="1"/>
  <c r="I875" i="1"/>
  <c r="J875" i="1"/>
  <c r="B876" i="1"/>
  <c r="C876" i="1"/>
  <c r="D876" i="1"/>
  <c r="E876" i="1"/>
  <c r="F876" i="1"/>
  <c r="G876" i="1"/>
  <c r="H876" i="1"/>
  <c r="I876" i="1"/>
  <c r="J876" i="1"/>
  <c r="B877" i="1"/>
  <c r="C877" i="1"/>
  <c r="D877" i="1"/>
  <c r="E877" i="1"/>
  <c r="F877" i="1"/>
  <c r="G877" i="1"/>
  <c r="H877" i="1"/>
  <c r="I877" i="1"/>
  <c r="J877" i="1"/>
  <c r="B878" i="1"/>
  <c r="C878" i="1"/>
  <c r="D878" i="1"/>
  <c r="E878" i="1"/>
  <c r="F878" i="1"/>
  <c r="G878" i="1"/>
  <c r="H878" i="1"/>
  <c r="I878" i="1"/>
  <c r="J878" i="1"/>
  <c r="B879" i="1"/>
  <c r="C879" i="1"/>
  <c r="D879" i="1"/>
  <c r="E879" i="1"/>
  <c r="F879" i="1"/>
  <c r="G879" i="1"/>
  <c r="H879" i="1"/>
  <c r="I879" i="1"/>
  <c r="J879" i="1"/>
  <c r="B880" i="1"/>
  <c r="C880" i="1"/>
  <c r="D880" i="1"/>
  <c r="E880" i="1"/>
  <c r="F880" i="1"/>
  <c r="G880" i="1"/>
  <c r="H880" i="1"/>
  <c r="I880" i="1"/>
  <c r="J880" i="1"/>
  <c r="B881" i="1"/>
  <c r="C881" i="1"/>
  <c r="D881" i="1"/>
  <c r="E881" i="1"/>
  <c r="F881" i="1"/>
  <c r="G881" i="1"/>
  <c r="H881" i="1"/>
  <c r="I881" i="1"/>
  <c r="J881" i="1"/>
  <c r="B882" i="1"/>
  <c r="C882" i="1"/>
  <c r="D882" i="1"/>
  <c r="E882" i="1"/>
  <c r="F882" i="1"/>
  <c r="G882" i="1"/>
  <c r="H882" i="1"/>
  <c r="I882" i="1"/>
  <c r="J882" i="1"/>
  <c r="B883" i="1"/>
  <c r="C883" i="1"/>
  <c r="D883" i="1"/>
  <c r="E883" i="1"/>
  <c r="F883" i="1"/>
  <c r="G883" i="1"/>
  <c r="H883" i="1"/>
  <c r="I883" i="1"/>
  <c r="J883" i="1"/>
  <c r="B884" i="1"/>
  <c r="C884" i="1"/>
  <c r="D884" i="1"/>
  <c r="E884" i="1"/>
  <c r="F884" i="1"/>
  <c r="G884" i="1"/>
  <c r="H884" i="1"/>
  <c r="I884" i="1"/>
  <c r="J884" i="1"/>
  <c r="B885" i="1"/>
  <c r="C885" i="1"/>
  <c r="D885" i="1"/>
  <c r="E885" i="1"/>
  <c r="F885" i="1"/>
  <c r="G885" i="1"/>
  <c r="H885" i="1"/>
  <c r="I885" i="1"/>
  <c r="J885" i="1"/>
  <c r="B886" i="1"/>
  <c r="C886" i="1"/>
  <c r="D886" i="1"/>
  <c r="E886" i="1"/>
  <c r="F886" i="1"/>
  <c r="G886" i="1"/>
  <c r="H886" i="1"/>
  <c r="I886" i="1"/>
  <c r="J886" i="1"/>
  <c r="B887" i="1"/>
  <c r="C887" i="1"/>
  <c r="D887" i="1"/>
  <c r="E887" i="1"/>
  <c r="F887" i="1"/>
  <c r="G887" i="1"/>
  <c r="H887" i="1"/>
  <c r="I887" i="1"/>
  <c r="J887" i="1"/>
  <c r="B888" i="1"/>
  <c r="C888" i="1"/>
  <c r="D888" i="1"/>
  <c r="E888" i="1"/>
  <c r="F888" i="1"/>
  <c r="G888" i="1"/>
  <c r="H888" i="1"/>
  <c r="I888" i="1"/>
  <c r="J888" i="1"/>
  <c r="B889" i="1"/>
  <c r="C889" i="1"/>
  <c r="D889" i="1"/>
  <c r="E889" i="1"/>
  <c r="F889" i="1"/>
  <c r="G889" i="1"/>
  <c r="H889" i="1"/>
  <c r="I889" i="1"/>
  <c r="J889" i="1"/>
  <c r="B890" i="1"/>
  <c r="C890" i="1"/>
  <c r="D890" i="1"/>
  <c r="E890" i="1"/>
  <c r="F890" i="1"/>
  <c r="G890" i="1"/>
  <c r="H890" i="1"/>
  <c r="I890" i="1"/>
  <c r="J890" i="1"/>
  <c r="B891" i="1"/>
  <c r="C891" i="1"/>
  <c r="D891" i="1"/>
  <c r="E891" i="1"/>
  <c r="F891" i="1"/>
  <c r="G891" i="1"/>
  <c r="H891" i="1"/>
  <c r="I891" i="1"/>
  <c r="J891" i="1"/>
  <c r="B892" i="1"/>
  <c r="C892" i="1"/>
  <c r="D892" i="1"/>
  <c r="E892" i="1"/>
  <c r="F892" i="1"/>
  <c r="G892" i="1"/>
  <c r="H892" i="1"/>
  <c r="I892" i="1"/>
  <c r="J892" i="1"/>
  <c r="B893" i="1"/>
  <c r="C893" i="1"/>
  <c r="D893" i="1"/>
  <c r="E893" i="1"/>
  <c r="F893" i="1"/>
  <c r="G893" i="1"/>
  <c r="H893" i="1"/>
  <c r="I893" i="1"/>
  <c r="J893" i="1"/>
  <c r="B894" i="1"/>
  <c r="C894" i="1"/>
  <c r="D894" i="1"/>
  <c r="E894" i="1"/>
  <c r="F894" i="1"/>
  <c r="G894" i="1"/>
  <c r="H894" i="1"/>
  <c r="I894" i="1"/>
  <c r="J894" i="1"/>
  <c r="B895" i="1"/>
  <c r="C895" i="1"/>
  <c r="D895" i="1"/>
  <c r="E895" i="1"/>
  <c r="F895" i="1"/>
  <c r="G895" i="1"/>
  <c r="H895" i="1"/>
  <c r="I895" i="1"/>
  <c r="J895" i="1"/>
  <c r="B896" i="1"/>
  <c r="C896" i="1"/>
  <c r="D896" i="1"/>
  <c r="E896" i="1"/>
  <c r="F896" i="1"/>
  <c r="G896" i="1"/>
  <c r="H896" i="1"/>
  <c r="I896" i="1"/>
  <c r="J896" i="1"/>
  <c r="B897" i="1"/>
  <c r="C897" i="1"/>
  <c r="D897" i="1"/>
  <c r="E897" i="1"/>
  <c r="F897" i="1"/>
  <c r="G897" i="1"/>
  <c r="H897" i="1"/>
  <c r="I897" i="1"/>
  <c r="J897" i="1"/>
  <c r="B898" i="1"/>
  <c r="C898" i="1"/>
  <c r="D898" i="1"/>
  <c r="E898" i="1"/>
  <c r="F898" i="1"/>
  <c r="G898" i="1"/>
  <c r="H898" i="1"/>
  <c r="I898" i="1"/>
  <c r="J898" i="1"/>
  <c r="B899" i="1"/>
  <c r="C899" i="1"/>
  <c r="D899" i="1"/>
  <c r="E899" i="1"/>
  <c r="F899" i="1"/>
  <c r="G899" i="1"/>
  <c r="H899" i="1"/>
  <c r="I899" i="1"/>
  <c r="J899" i="1"/>
  <c r="B900" i="1"/>
  <c r="C900" i="1"/>
  <c r="D900" i="1"/>
  <c r="E900" i="1"/>
  <c r="F900" i="1"/>
  <c r="G900" i="1"/>
  <c r="H900" i="1"/>
  <c r="I900" i="1"/>
  <c r="J900" i="1"/>
  <c r="B901" i="1"/>
  <c r="C901" i="1"/>
  <c r="D901" i="1"/>
  <c r="E901" i="1"/>
  <c r="F901" i="1"/>
  <c r="G901" i="1"/>
  <c r="H901" i="1"/>
  <c r="I901" i="1"/>
  <c r="J901" i="1"/>
  <c r="B902" i="1"/>
  <c r="C902" i="1"/>
  <c r="D902" i="1"/>
  <c r="E902" i="1"/>
  <c r="F902" i="1"/>
  <c r="G902" i="1"/>
  <c r="H902" i="1"/>
  <c r="I902" i="1"/>
  <c r="J902" i="1"/>
  <c r="B903" i="1"/>
  <c r="C903" i="1"/>
  <c r="D903" i="1"/>
  <c r="E903" i="1"/>
  <c r="F903" i="1"/>
  <c r="G903" i="1"/>
  <c r="H903" i="1"/>
  <c r="I903" i="1"/>
  <c r="J903" i="1"/>
  <c r="B904" i="1"/>
  <c r="C904" i="1"/>
  <c r="D904" i="1"/>
  <c r="E904" i="1"/>
  <c r="F904" i="1"/>
  <c r="G904" i="1"/>
  <c r="H904" i="1"/>
  <c r="I904" i="1"/>
  <c r="J904" i="1"/>
  <c r="B905" i="1"/>
  <c r="C905" i="1"/>
  <c r="D905" i="1"/>
  <c r="E905" i="1"/>
  <c r="F905" i="1"/>
  <c r="G905" i="1"/>
  <c r="H905" i="1"/>
  <c r="I905" i="1"/>
  <c r="J905" i="1"/>
  <c r="B906" i="1"/>
  <c r="C906" i="1"/>
  <c r="D906" i="1"/>
  <c r="E906" i="1"/>
  <c r="F906" i="1"/>
  <c r="G906" i="1"/>
  <c r="H906" i="1"/>
  <c r="I906" i="1"/>
  <c r="J906" i="1"/>
  <c r="B907" i="1"/>
  <c r="C907" i="1"/>
  <c r="D907" i="1"/>
  <c r="E907" i="1"/>
  <c r="F907" i="1"/>
  <c r="G907" i="1"/>
  <c r="H907" i="1"/>
  <c r="I907" i="1"/>
  <c r="J907" i="1"/>
  <c r="B908" i="1"/>
  <c r="C908" i="1"/>
  <c r="D908" i="1"/>
  <c r="E908" i="1"/>
  <c r="F908" i="1"/>
  <c r="G908" i="1"/>
  <c r="H908" i="1"/>
  <c r="I908" i="1"/>
  <c r="J908" i="1"/>
  <c r="B909" i="1"/>
  <c r="C909" i="1"/>
  <c r="D909" i="1"/>
  <c r="E909" i="1"/>
  <c r="F909" i="1"/>
  <c r="G909" i="1"/>
  <c r="H909" i="1"/>
  <c r="I909" i="1"/>
  <c r="J909" i="1"/>
  <c r="B910" i="1"/>
  <c r="C910" i="1"/>
  <c r="D910" i="1"/>
  <c r="E910" i="1"/>
  <c r="F910" i="1"/>
  <c r="G910" i="1"/>
  <c r="H910" i="1"/>
  <c r="I910" i="1"/>
  <c r="J910" i="1"/>
  <c r="B911" i="1"/>
  <c r="C911" i="1"/>
  <c r="D911" i="1"/>
  <c r="E911" i="1"/>
  <c r="F911" i="1"/>
  <c r="G911" i="1"/>
  <c r="H911" i="1"/>
  <c r="I911" i="1"/>
  <c r="J911" i="1"/>
  <c r="B912" i="1"/>
  <c r="C912" i="1"/>
  <c r="D912" i="1"/>
  <c r="E912" i="1"/>
  <c r="F912" i="1"/>
  <c r="G912" i="1"/>
  <c r="H912" i="1"/>
  <c r="I912" i="1"/>
  <c r="J912" i="1"/>
  <c r="B913" i="1"/>
  <c r="C913" i="1"/>
  <c r="D913" i="1"/>
  <c r="E913" i="1"/>
  <c r="F913" i="1"/>
  <c r="G913" i="1"/>
  <c r="H913" i="1"/>
  <c r="I913" i="1"/>
  <c r="J913" i="1"/>
  <c r="B914" i="1"/>
  <c r="C914" i="1"/>
  <c r="D914" i="1"/>
  <c r="E914" i="1"/>
  <c r="F914" i="1"/>
  <c r="G914" i="1"/>
  <c r="H914" i="1"/>
  <c r="I914" i="1"/>
  <c r="J914" i="1"/>
  <c r="B915" i="1"/>
  <c r="C915" i="1"/>
  <c r="D915" i="1"/>
  <c r="E915" i="1"/>
  <c r="F915" i="1"/>
  <c r="G915" i="1"/>
  <c r="H915" i="1"/>
  <c r="I915" i="1"/>
  <c r="J915" i="1"/>
  <c r="B916" i="1"/>
  <c r="C916" i="1"/>
  <c r="D916" i="1"/>
  <c r="E916" i="1"/>
  <c r="F916" i="1"/>
  <c r="G916" i="1"/>
  <c r="H916" i="1"/>
  <c r="I916" i="1"/>
  <c r="J916" i="1"/>
  <c r="B917" i="1"/>
  <c r="C917" i="1"/>
  <c r="D917" i="1"/>
  <c r="E917" i="1"/>
  <c r="F917" i="1"/>
  <c r="G917" i="1"/>
  <c r="H917" i="1"/>
  <c r="I917" i="1"/>
  <c r="J917" i="1"/>
  <c r="B918" i="1"/>
  <c r="C918" i="1"/>
  <c r="D918" i="1"/>
  <c r="E918" i="1"/>
  <c r="F918" i="1"/>
  <c r="G918" i="1"/>
  <c r="H918" i="1"/>
  <c r="I918" i="1"/>
  <c r="J918" i="1"/>
  <c r="B919" i="1"/>
  <c r="C919" i="1"/>
  <c r="D919" i="1"/>
  <c r="E919" i="1"/>
  <c r="F919" i="1"/>
  <c r="G919" i="1"/>
  <c r="H919" i="1"/>
  <c r="I919" i="1"/>
  <c r="J919" i="1"/>
  <c r="B920" i="1"/>
  <c r="C920" i="1"/>
  <c r="D920" i="1"/>
  <c r="E920" i="1"/>
  <c r="F920" i="1"/>
  <c r="G920" i="1"/>
  <c r="H920" i="1"/>
  <c r="I920" i="1"/>
  <c r="J920" i="1"/>
  <c r="B921" i="1"/>
  <c r="C921" i="1"/>
  <c r="D921" i="1"/>
  <c r="E921" i="1"/>
  <c r="F921" i="1"/>
  <c r="G921" i="1"/>
  <c r="H921" i="1"/>
  <c r="I921" i="1"/>
  <c r="J921" i="1"/>
  <c r="B922" i="1"/>
  <c r="C922" i="1"/>
  <c r="D922" i="1"/>
  <c r="E922" i="1"/>
  <c r="F922" i="1"/>
  <c r="G922" i="1"/>
  <c r="H922" i="1"/>
  <c r="I922" i="1"/>
  <c r="J922" i="1"/>
  <c r="B923" i="1"/>
  <c r="C923" i="1"/>
  <c r="D923" i="1"/>
  <c r="E923" i="1"/>
  <c r="F923" i="1"/>
  <c r="G923" i="1"/>
  <c r="H923" i="1"/>
  <c r="I923" i="1"/>
  <c r="J923" i="1"/>
  <c r="B924" i="1"/>
  <c r="C924" i="1"/>
  <c r="D924" i="1"/>
  <c r="E924" i="1"/>
  <c r="F924" i="1"/>
  <c r="G924" i="1"/>
  <c r="H924" i="1"/>
  <c r="I924" i="1"/>
  <c r="J924" i="1"/>
  <c r="B925" i="1"/>
  <c r="C925" i="1"/>
  <c r="D925" i="1"/>
  <c r="E925" i="1"/>
  <c r="F925" i="1"/>
  <c r="G925" i="1"/>
  <c r="H925" i="1"/>
  <c r="I925" i="1"/>
  <c r="J925" i="1"/>
  <c r="B926" i="1"/>
  <c r="C926" i="1"/>
  <c r="D926" i="1"/>
  <c r="E926" i="1"/>
  <c r="F926" i="1"/>
  <c r="G926" i="1"/>
  <c r="H926" i="1"/>
  <c r="I926" i="1"/>
  <c r="J926" i="1"/>
  <c r="B927" i="1"/>
  <c r="C927" i="1"/>
  <c r="D927" i="1"/>
  <c r="E927" i="1"/>
  <c r="F927" i="1"/>
  <c r="G927" i="1"/>
  <c r="H927" i="1"/>
  <c r="I927" i="1"/>
  <c r="J927" i="1"/>
  <c r="B928" i="1"/>
  <c r="C928" i="1"/>
  <c r="D928" i="1"/>
  <c r="E928" i="1"/>
  <c r="F928" i="1"/>
  <c r="G928" i="1"/>
  <c r="H928" i="1"/>
  <c r="I928" i="1"/>
  <c r="J928" i="1"/>
  <c r="B929" i="1"/>
  <c r="C929" i="1"/>
  <c r="D929" i="1"/>
  <c r="E929" i="1"/>
  <c r="F929" i="1"/>
  <c r="G929" i="1"/>
  <c r="H929" i="1"/>
  <c r="I929" i="1"/>
  <c r="J929" i="1"/>
  <c r="B930" i="1"/>
  <c r="C930" i="1"/>
  <c r="D930" i="1"/>
  <c r="E930" i="1"/>
  <c r="F930" i="1"/>
  <c r="G930" i="1"/>
  <c r="H930" i="1"/>
  <c r="I930" i="1"/>
  <c r="J930" i="1"/>
  <c r="B931" i="1"/>
  <c r="C931" i="1"/>
  <c r="D931" i="1"/>
  <c r="E931" i="1"/>
  <c r="F931" i="1"/>
  <c r="G931" i="1"/>
  <c r="H931" i="1"/>
  <c r="I931" i="1"/>
  <c r="J931" i="1"/>
  <c r="B932" i="1"/>
  <c r="C932" i="1"/>
  <c r="D932" i="1"/>
  <c r="E932" i="1"/>
  <c r="F932" i="1"/>
  <c r="G932" i="1"/>
  <c r="H932" i="1"/>
  <c r="I932" i="1"/>
  <c r="J932" i="1"/>
  <c r="B933" i="1"/>
  <c r="C933" i="1"/>
  <c r="D933" i="1"/>
  <c r="E933" i="1"/>
  <c r="F933" i="1"/>
  <c r="G933" i="1"/>
  <c r="H933" i="1"/>
  <c r="I933" i="1"/>
  <c r="J933" i="1"/>
  <c r="B934" i="1"/>
  <c r="C934" i="1"/>
  <c r="D934" i="1"/>
  <c r="E934" i="1"/>
  <c r="F934" i="1"/>
  <c r="G934" i="1"/>
  <c r="H934" i="1"/>
  <c r="I934" i="1"/>
  <c r="J934" i="1"/>
  <c r="B935" i="1"/>
  <c r="C935" i="1"/>
  <c r="D935" i="1"/>
  <c r="E935" i="1"/>
  <c r="F935" i="1"/>
  <c r="G935" i="1"/>
  <c r="H935" i="1"/>
  <c r="I935" i="1"/>
  <c r="J935" i="1"/>
  <c r="B936" i="1"/>
  <c r="C936" i="1"/>
  <c r="D936" i="1"/>
  <c r="E936" i="1"/>
  <c r="F936" i="1"/>
  <c r="G936" i="1"/>
  <c r="H936" i="1"/>
  <c r="I936" i="1"/>
  <c r="J936" i="1"/>
  <c r="B937" i="1"/>
  <c r="C937" i="1"/>
  <c r="D937" i="1"/>
  <c r="E937" i="1"/>
  <c r="F937" i="1"/>
  <c r="G937" i="1"/>
  <c r="H937" i="1"/>
  <c r="I937" i="1"/>
  <c r="J937" i="1"/>
  <c r="B938" i="1"/>
  <c r="C938" i="1"/>
  <c r="D938" i="1"/>
  <c r="E938" i="1"/>
  <c r="F938" i="1"/>
  <c r="G938" i="1"/>
  <c r="H938" i="1"/>
  <c r="I938" i="1"/>
  <c r="J938" i="1"/>
  <c r="B939" i="1"/>
  <c r="C939" i="1"/>
  <c r="D939" i="1"/>
  <c r="E939" i="1"/>
  <c r="F939" i="1"/>
  <c r="G939" i="1"/>
  <c r="H939" i="1"/>
  <c r="I939" i="1"/>
  <c r="J939" i="1"/>
  <c r="B940" i="1"/>
  <c r="C940" i="1"/>
  <c r="D940" i="1"/>
  <c r="E940" i="1"/>
  <c r="F940" i="1"/>
  <c r="G940" i="1"/>
  <c r="H940" i="1"/>
  <c r="I940" i="1"/>
  <c r="J940" i="1"/>
  <c r="B941" i="1"/>
  <c r="C941" i="1"/>
  <c r="D941" i="1"/>
  <c r="E941" i="1"/>
  <c r="F941" i="1"/>
  <c r="G941" i="1"/>
  <c r="H941" i="1"/>
  <c r="I941" i="1"/>
  <c r="J941" i="1"/>
  <c r="B942" i="1"/>
  <c r="C942" i="1"/>
  <c r="D942" i="1"/>
  <c r="E942" i="1"/>
  <c r="F942" i="1"/>
  <c r="G942" i="1"/>
  <c r="H942" i="1"/>
  <c r="I942" i="1"/>
  <c r="J942" i="1"/>
  <c r="B943" i="1"/>
  <c r="C943" i="1"/>
  <c r="D943" i="1"/>
  <c r="E943" i="1"/>
  <c r="F943" i="1"/>
  <c r="G943" i="1"/>
  <c r="H943" i="1"/>
  <c r="I943" i="1"/>
  <c r="J943" i="1"/>
  <c r="B944" i="1"/>
  <c r="C944" i="1"/>
  <c r="D944" i="1"/>
  <c r="E944" i="1"/>
  <c r="F944" i="1"/>
  <c r="G944" i="1"/>
  <c r="H944" i="1"/>
  <c r="I944" i="1"/>
  <c r="J944" i="1"/>
  <c r="B945" i="1"/>
  <c r="C945" i="1"/>
  <c r="D945" i="1"/>
  <c r="E945" i="1"/>
  <c r="F945" i="1"/>
  <c r="G945" i="1"/>
  <c r="H945" i="1"/>
  <c r="I945" i="1"/>
  <c r="J945" i="1"/>
  <c r="B946" i="1"/>
  <c r="C946" i="1"/>
  <c r="D946" i="1"/>
  <c r="E946" i="1"/>
  <c r="F946" i="1"/>
  <c r="G946" i="1"/>
  <c r="H946" i="1"/>
  <c r="I946" i="1"/>
  <c r="J946" i="1"/>
  <c r="B947" i="1"/>
  <c r="C947" i="1"/>
  <c r="D947" i="1"/>
  <c r="E947" i="1"/>
  <c r="F947" i="1"/>
  <c r="G947" i="1"/>
  <c r="H947" i="1"/>
  <c r="I947" i="1"/>
  <c r="J947" i="1"/>
  <c r="B948" i="1"/>
  <c r="C948" i="1"/>
  <c r="D948" i="1"/>
  <c r="E948" i="1"/>
  <c r="F948" i="1"/>
  <c r="G948" i="1"/>
  <c r="H948" i="1"/>
  <c r="I948" i="1"/>
  <c r="J948" i="1"/>
  <c r="B949" i="1"/>
  <c r="C949" i="1"/>
  <c r="D949" i="1"/>
  <c r="E949" i="1"/>
  <c r="F949" i="1"/>
  <c r="G949" i="1"/>
  <c r="H949" i="1"/>
  <c r="I949" i="1"/>
  <c r="J949" i="1"/>
  <c r="B950" i="1"/>
  <c r="C950" i="1"/>
  <c r="D950" i="1"/>
  <c r="E950" i="1"/>
  <c r="F950" i="1"/>
  <c r="G950" i="1"/>
  <c r="H950" i="1"/>
  <c r="I950" i="1"/>
  <c r="J950" i="1"/>
  <c r="B951" i="1"/>
  <c r="C951" i="1"/>
  <c r="D951" i="1"/>
  <c r="E951" i="1"/>
  <c r="F951" i="1"/>
  <c r="G951" i="1"/>
  <c r="H951" i="1"/>
  <c r="I951" i="1"/>
  <c r="J951" i="1"/>
  <c r="B952" i="1"/>
  <c r="C952" i="1"/>
  <c r="D952" i="1"/>
  <c r="E952" i="1"/>
  <c r="F952" i="1"/>
  <c r="G952" i="1"/>
  <c r="H952" i="1"/>
  <c r="I952" i="1"/>
  <c r="J952" i="1"/>
  <c r="B953" i="1"/>
  <c r="C953" i="1"/>
  <c r="D953" i="1"/>
  <c r="E953" i="1"/>
  <c r="F953" i="1"/>
  <c r="G953" i="1"/>
  <c r="H953" i="1"/>
  <c r="I953" i="1"/>
  <c r="J953" i="1"/>
  <c r="B954" i="1"/>
  <c r="C954" i="1"/>
  <c r="D954" i="1"/>
  <c r="E954" i="1"/>
  <c r="F954" i="1"/>
  <c r="G954" i="1"/>
  <c r="H954" i="1"/>
  <c r="I954" i="1"/>
  <c r="J954" i="1"/>
  <c r="B955" i="1"/>
  <c r="C955" i="1"/>
  <c r="D955" i="1"/>
  <c r="E955" i="1"/>
  <c r="F955" i="1"/>
  <c r="G955" i="1"/>
  <c r="H955" i="1"/>
  <c r="I955" i="1"/>
  <c r="J955" i="1"/>
  <c r="B956" i="1"/>
  <c r="C956" i="1"/>
  <c r="D956" i="1"/>
  <c r="E956" i="1"/>
  <c r="F956" i="1"/>
  <c r="G956" i="1"/>
  <c r="H956" i="1"/>
  <c r="I956" i="1"/>
  <c r="J956" i="1"/>
  <c r="B957" i="1"/>
  <c r="C957" i="1"/>
  <c r="D957" i="1"/>
  <c r="E957" i="1"/>
  <c r="F957" i="1"/>
  <c r="G957" i="1"/>
  <c r="H957" i="1"/>
  <c r="I957" i="1"/>
  <c r="J957" i="1"/>
  <c r="B958" i="1"/>
  <c r="C958" i="1"/>
  <c r="D958" i="1"/>
  <c r="E958" i="1"/>
  <c r="F958" i="1"/>
  <c r="G958" i="1"/>
  <c r="H958" i="1"/>
  <c r="I958" i="1"/>
  <c r="J958" i="1"/>
  <c r="B959" i="1"/>
  <c r="C959" i="1"/>
  <c r="D959" i="1"/>
  <c r="E959" i="1"/>
  <c r="F959" i="1"/>
  <c r="G959" i="1"/>
  <c r="H959" i="1"/>
  <c r="I959" i="1"/>
  <c r="J959" i="1"/>
  <c r="B960" i="1"/>
  <c r="C960" i="1"/>
  <c r="D960" i="1"/>
  <c r="E960" i="1"/>
  <c r="F960" i="1"/>
  <c r="G960" i="1"/>
  <c r="H960" i="1"/>
  <c r="I960" i="1"/>
  <c r="J960" i="1"/>
  <c r="B961" i="1"/>
  <c r="C961" i="1"/>
  <c r="D961" i="1"/>
  <c r="E961" i="1"/>
  <c r="F961" i="1"/>
  <c r="G961" i="1"/>
  <c r="H961" i="1"/>
  <c r="I961" i="1"/>
  <c r="J961" i="1"/>
  <c r="B962" i="1"/>
  <c r="C962" i="1"/>
  <c r="D962" i="1"/>
  <c r="E962" i="1"/>
  <c r="F962" i="1"/>
  <c r="G962" i="1"/>
  <c r="H962" i="1"/>
  <c r="I962" i="1"/>
  <c r="J962" i="1"/>
  <c r="B963" i="1"/>
  <c r="C963" i="1"/>
  <c r="D963" i="1"/>
  <c r="E963" i="1"/>
  <c r="F963" i="1"/>
  <c r="G963" i="1"/>
  <c r="H963" i="1"/>
  <c r="I963" i="1"/>
  <c r="J963" i="1"/>
  <c r="B964" i="1"/>
  <c r="C964" i="1"/>
  <c r="D964" i="1"/>
  <c r="E964" i="1"/>
  <c r="F964" i="1"/>
  <c r="G964" i="1"/>
  <c r="H964" i="1"/>
  <c r="I964" i="1"/>
  <c r="J964" i="1"/>
  <c r="B965" i="1"/>
  <c r="C965" i="1"/>
  <c r="D965" i="1"/>
  <c r="E965" i="1"/>
  <c r="F965" i="1"/>
  <c r="G965" i="1"/>
  <c r="H965" i="1"/>
  <c r="I965" i="1"/>
  <c r="J965" i="1"/>
  <c r="B966" i="1"/>
  <c r="C966" i="1"/>
  <c r="D966" i="1"/>
  <c r="E966" i="1"/>
  <c r="F966" i="1"/>
  <c r="G966" i="1"/>
  <c r="H966" i="1"/>
  <c r="I966" i="1"/>
  <c r="J966" i="1"/>
  <c r="B967" i="1"/>
  <c r="C967" i="1"/>
  <c r="D967" i="1"/>
  <c r="E967" i="1"/>
  <c r="F967" i="1"/>
  <c r="G967" i="1"/>
  <c r="H967" i="1"/>
  <c r="I967" i="1"/>
  <c r="J967" i="1"/>
  <c r="B968" i="1"/>
  <c r="C968" i="1"/>
  <c r="D968" i="1"/>
  <c r="E968" i="1"/>
  <c r="F968" i="1"/>
  <c r="G968" i="1"/>
  <c r="H968" i="1"/>
  <c r="I968" i="1"/>
  <c r="J968" i="1"/>
  <c r="B969" i="1"/>
  <c r="C969" i="1"/>
  <c r="D969" i="1"/>
  <c r="E969" i="1"/>
  <c r="F969" i="1"/>
  <c r="G969" i="1"/>
  <c r="H969" i="1"/>
  <c r="I969" i="1"/>
  <c r="J969" i="1"/>
  <c r="B970" i="1"/>
  <c r="C970" i="1"/>
  <c r="D970" i="1"/>
  <c r="E970" i="1"/>
  <c r="F970" i="1"/>
  <c r="G970" i="1"/>
  <c r="H970" i="1"/>
  <c r="I970" i="1"/>
  <c r="J970" i="1"/>
  <c r="B971" i="1"/>
  <c r="C971" i="1"/>
  <c r="D971" i="1"/>
  <c r="E971" i="1"/>
  <c r="F971" i="1"/>
  <c r="G971" i="1"/>
  <c r="H971" i="1"/>
  <c r="I971" i="1"/>
  <c r="J971" i="1"/>
  <c r="B972" i="1"/>
  <c r="C972" i="1"/>
  <c r="D972" i="1"/>
  <c r="E972" i="1"/>
  <c r="F972" i="1"/>
  <c r="G972" i="1"/>
  <c r="H972" i="1"/>
  <c r="I972" i="1"/>
  <c r="J972" i="1"/>
  <c r="B973" i="1"/>
  <c r="C973" i="1"/>
  <c r="D973" i="1"/>
  <c r="E973" i="1"/>
  <c r="F973" i="1"/>
  <c r="G973" i="1"/>
  <c r="H973" i="1"/>
  <c r="I973" i="1"/>
  <c r="J973" i="1"/>
  <c r="B974" i="1"/>
  <c r="C974" i="1"/>
  <c r="D974" i="1"/>
  <c r="E974" i="1"/>
  <c r="F974" i="1"/>
  <c r="G974" i="1"/>
  <c r="H974" i="1"/>
  <c r="I974" i="1"/>
  <c r="J974" i="1"/>
  <c r="B975" i="1"/>
  <c r="C975" i="1"/>
  <c r="D975" i="1"/>
  <c r="E975" i="1"/>
  <c r="F975" i="1"/>
  <c r="G975" i="1"/>
  <c r="H975" i="1"/>
  <c r="I975" i="1"/>
  <c r="J975" i="1"/>
  <c r="B976" i="1"/>
  <c r="C976" i="1"/>
  <c r="D976" i="1"/>
  <c r="E976" i="1"/>
  <c r="F976" i="1"/>
  <c r="G976" i="1"/>
  <c r="H976" i="1"/>
  <c r="I976" i="1"/>
  <c r="J976" i="1"/>
  <c r="B977" i="1"/>
  <c r="C977" i="1"/>
  <c r="D977" i="1"/>
  <c r="E977" i="1"/>
  <c r="F977" i="1"/>
  <c r="G977" i="1"/>
  <c r="H977" i="1"/>
  <c r="I977" i="1"/>
  <c r="J977" i="1"/>
  <c r="B978" i="1"/>
  <c r="C978" i="1"/>
  <c r="D978" i="1"/>
  <c r="E978" i="1"/>
  <c r="F978" i="1"/>
  <c r="G978" i="1"/>
  <c r="H978" i="1"/>
  <c r="I978" i="1"/>
  <c r="J978" i="1"/>
  <c r="B979" i="1"/>
  <c r="C979" i="1"/>
  <c r="D979" i="1"/>
  <c r="E979" i="1"/>
  <c r="F979" i="1"/>
  <c r="G979" i="1"/>
  <c r="H979" i="1"/>
  <c r="I979" i="1"/>
  <c r="J979" i="1"/>
  <c r="B980" i="1"/>
  <c r="C980" i="1"/>
  <c r="D980" i="1"/>
  <c r="E980" i="1"/>
  <c r="F980" i="1"/>
  <c r="G980" i="1"/>
  <c r="H980" i="1"/>
  <c r="I980" i="1"/>
  <c r="J980" i="1"/>
  <c r="B981" i="1"/>
  <c r="C981" i="1"/>
  <c r="D981" i="1"/>
  <c r="E981" i="1"/>
  <c r="F981" i="1"/>
  <c r="G981" i="1"/>
  <c r="H981" i="1"/>
  <c r="I981" i="1"/>
  <c r="J981" i="1"/>
  <c r="B982" i="1"/>
  <c r="C982" i="1"/>
  <c r="D982" i="1"/>
  <c r="E982" i="1"/>
  <c r="F982" i="1"/>
  <c r="G982" i="1"/>
  <c r="H982" i="1"/>
  <c r="I982" i="1"/>
  <c r="J982" i="1"/>
  <c r="B983" i="1"/>
  <c r="C983" i="1"/>
  <c r="D983" i="1"/>
  <c r="E983" i="1"/>
  <c r="F983" i="1"/>
  <c r="G983" i="1"/>
  <c r="H983" i="1"/>
  <c r="I983" i="1"/>
  <c r="J983" i="1"/>
  <c r="B984" i="1"/>
  <c r="C984" i="1"/>
  <c r="D984" i="1"/>
  <c r="E984" i="1"/>
  <c r="F984" i="1"/>
  <c r="G984" i="1"/>
  <c r="H984" i="1"/>
  <c r="I984" i="1"/>
  <c r="J984" i="1"/>
  <c r="B985" i="1"/>
  <c r="C985" i="1"/>
  <c r="D985" i="1"/>
  <c r="E985" i="1"/>
  <c r="F985" i="1"/>
  <c r="G985" i="1"/>
  <c r="H985" i="1"/>
  <c r="I985" i="1"/>
  <c r="J985" i="1"/>
  <c r="B986" i="1"/>
  <c r="C986" i="1"/>
  <c r="D986" i="1"/>
  <c r="E986" i="1"/>
  <c r="F986" i="1"/>
  <c r="G986" i="1"/>
  <c r="H986" i="1"/>
  <c r="I986" i="1"/>
  <c r="J986" i="1"/>
  <c r="B987" i="1"/>
  <c r="C987" i="1"/>
  <c r="D987" i="1"/>
  <c r="E987" i="1"/>
  <c r="F987" i="1"/>
  <c r="G987" i="1"/>
  <c r="H987" i="1"/>
  <c r="I987" i="1"/>
  <c r="J987" i="1"/>
  <c r="B988" i="1"/>
  <c r="C988" i="1"/>
  <c r="D988" i="1"/>
  <c r="E988" i="1"/>
  <c r="F988" i="1"/>
  <c r="G988" i="1"/>
  <c r="H988" i="1"/>
  <c r="I988" i="1"/>
  <c r="J988" i="1"/>
  <c r="B989" i="1"/>
  <c r="C989" i="1"/>
  <c r="D989" i="1"/>
  <c r="E989" i="1"/>
  <c r="F989" i="1"/>
  <c r="G989" i="1"/>
  <c r="H989" i="1"/>
  <c r="I989" i="1"/>
  <c r="J989" i="1"/>
  <c r="B990" i="1"/>
  <c r="C990" i="1"/>
  <c r="D990" i="1"/>
  <c r="E990" i="1"/>
  <c r="F990" i="1"/>
  <c r="G990" i="1"/>
  <c r="H990" i="1"/>
  <c r="I990" i="1"/>
  <c r="J990" i="1"/>
  <c r="B991" i="1"/>
  <c r="C991" i="1"/>
  <c r="D991" i="1"/>
  <c r="E991" i="1"/>
  <c r="F991" i="1"/>
  <c r="G991" i="1"/>
  <c r="H991" i="1"/>
  <c r="I991" i="1"/>
  <c r="J991" i="1"/>
  <c r="B992" i="1"/>
  <c r="C992" i="1"/>
  <c r="D992" i="1"/>
  <c r="E992" i="1"/>
  <c r="F992" i="1"/>
  <c r="G992" i="1"/>
  <c r="H992" i="1"/>
  <c r="I992" i="1"/>
  <c r="J992" i="1"/>
  <c r="B993" i="1"/>
  <c r="C993" i="1"/>
  <c r="D993" i="1"/>
  <c r="E993" i="1"/>
  <c r="F993" i="1"/>
  <c r="G993" i="1"/>
  <c r="H993" i="1"/>
  <c r="I993" i="1"/>
  <c r="J993" i="1"/>
  <c r="B994" i="1"/>
  <c r="C994" i="1"/>
  <c r="D994" i="1"/>
  <c r="E994" i="1"/>
  <c r="F994" i="1"/>
  <c r="G994" i="1"/>
  <c r="H994" i="1"/>
  <c r="I994" i="1"/>
  <c r="J994" i="1"/>
  <c r="B995" i="1"/>
  <c r="C995" i="1"/>
  <c r="D995" i="1"/>
  <c r="E995" i="1"/>
  <c r="F995" i="1"/>
  <c r="G995" i="1"/>
  <c r="H995" i="1"/>
  <c r="I995" i="1"/>
  <c r="J995" i="1"/>
  <c r="B996" i="1"/>
  <c r="C996" i="1"/>
  <c r="D996" i="1"/>
  <c r="E996" i="1"/>
  <c r="F996" i="1"/>
  <c r="G996" i="1"/>
  <c r="H996" i="1"/>
  <c r="I996" i="1"/>
  <c r="J996" i="1"/>
  <c r="B997" i="1"/>
  <c r="C997" i="1"/>
  <c r="D997" i="1"/>
  <c r="E997" i="1"/>
  <c r="F997" i="1"/>
  <c r="G997" i="1"/>
  <c r="H997" i="1"/>
  <c r="I997" i="1"/>
  <c r="J997" i="1"/>
  <c r="B998" i="1"/>
  <c r="C998" i="1"/>
  <c r="D998" i="1"/>
  <c r="E998" i="1"/>
  <c r="F998" i="1"/>
  <c r="G998" i="1"/>
  <c r="H998" i="1"/>
  <c r="I998" i="1"/>
  <c r="J998" i="1"/>
  <c r="B999" i="1"/>
  <c r="C999" i="1"/>
  <c r="D999" i="1"/>
  <c r="E999" i="1"/>
  <c r="F999" i="1"/>
  <c r="G999" i="1"/>
  <c r="H999" i="1"/>
  <c r="I999" i="1"/>
  <c r="J999" i="1"/>
  <c r="B1000" i="1"/>
  <c r="C1000" i="1"/>
  <c r="D1000" i="1"/>
  <c r="E1000" i="1"/>
  <c r="F1000" i="1"/>
  <c r="G1000" i="1"/>
  <c r="H1000" i="1"/>
  <c r="I1000" i="1"/>
  <c r="J1000" i="1"/>
  <c r="B1001" i="1"/>
  <c r="C1001" i="1"/>
  <c r="D1001" i="1"/>
  <c r="E1001" i="1"/>
  <c r="F1001" i="1"/>
  <c r="G1001" i="1"/>
  <c r="H1001" i="1"/>
  <c r="I1001" i="1"/>
  <c r="J1001" i="1"/>
  <c r="B1002" i="1"/>
  <c r="C1002" i="1"/>
  <c r="D1002" i="1"/>
  <c r="E1002" i="1"/>
  <c r="F1002" i="1"/>
  <c r="G1002" i="1"/>
  <c r="H1002" i="1"/>
  <c r="I1002" i="1"/>
  <c r="J1002" i="1"/>
  <c r="B1003" i="1"/>
  <c r="C1003" i="1"/>
  <c r="D1003" i="1"/>
  <c r="E1003" i="1"/>
  <c r="F1003" i="1"/>
  <c r="G1003" i="1"/>
  <c r="H1003" i="1"/>
  <c r="I1003" i="1"/>
  <c r="J1003" i="1"/>
  <c r="B1004" i="1"/>
  <c r="C1004" i="1"/>
  <c r="D1004" i="1"/>
  <c r="E1004" i="1"/>
  <c r="F1004" i="1"/>
  <c r="G1004" i="1"/>
  <c r="H1004" i="1"/>
  <c r="I1004" i="1"/>
  <c r="J1004" i="1"/>
  <c r="B1005" i="1"/>
  <c r="C1005" i="1"/>
  <c r="D1005" i="1"/>
  <c r="E1005" i="1"/>
  <c r="F1005" i="1"/>
  <c r="G1005" i="1"/>
  <c r="H1005" i="1"/>
  <c r="I1005" i="1"/>
  <c r="J1005" i="1"/>
  <c r="B1006" i="1"/>
  <c r="C1006" i="1"/>
  <c r="D1006" i="1"/>
  <c r="E1006" i="1"/>
  <c r="F1006" i="1"/>
  <c r="G1006" i="1"/>
  <c r="H1006" i="1"/>
  <c r="I1006" i="1"/>
  <c r="J1006" i="1"/>
  <c r="B1007" i="1"/>
  <c r="C1007" i="1"/>
  <c r="D1007" i="1"/>
  <c r="E1007" i="1"/>
  <c r="F1007" i="1"/>
  <c r="G1007" i="1"/>
  <c r="H1007" i="1"/>
  <c r="I1007" i="1"/>
  <c r="J1007" i="1"/>
  <c r="B1008" i="1"/>
  <c r="C1008" i="1"/>
  <c r="D1008" i="1"/>
  <c r="E1008" i="1"/>
  <c r="F1008" i="1"/>
  <c r="G1008" i="1"/>
  <c r="H1008" i="1"/>
  <c r="I1008" i="1"/>
  <c r="J1008" i="1"/>
  <c r="B1009" i="1"/>
  <c r="C1009" i="1"/>
  <c r="D1009" i="1"/>
  <c r="E1009" i="1"/>
  <c r="F1009" i="1"/>
  <c r="G1009" i="1"/>
  <c r="H1009" i="1"/>
  <c r="I1009" i="1"/>
  <c r="J1009" i="1"/>
  <c r="B1010" i="1"/>
  <c r="C1010" i="1"/>
  <c r="D1010" i="1"/>
  <c r="E1010" i="1"/>
  <c r="F1010" i="1"/>
  <c r="G1010" i="1"/>
  <c r="H1010" i="1"/>
  <c r="I1010" i="1"/>
  <c r="J1010" i="1"/>
  <c r="B1011" i="1"/>
  <c r="C1011" i="1"/>
  <c r="D1011" i="1"/>
  <c r="E1011" i="1"/>
  <c r="F1011" i="1"/>
  <c r="G1011" i="1"/>
  <c r="H1011" i="1"/>
  <c r="I1011" i="1"/>
  <c r="J1011" i="1"/>
  <c r="B1012" i="1"/>
  <c r="C1012" i="1"/>
  <c r="D1012" i="1"/>
  <c r="E1012" i="1"/>
  <c r="F1012" i="1"/>
  <c r="G1012" i="1"/>
  <c r="H1012" i="1"/>
  <c r="I1012" i="1"/>
  <c r="J1012" i="1"/>
  <c r="B1013" i="1"/>
  <c r="C1013" i="1"/>
  <c r="D1013" i="1"/>
  <c r="E1013" i="1"/>
  <c r="F1013" i="1"/>
  <c r="G1013" i="1"/>
  <c r="H1013" i="1"/>
  <c r="I1013" i="1"/>
  <c r="J1013" i="1"/>
  <c r="B1014" i="1"/>
  <c r="C1014" i="1"/>
  <c r="D1014" i="1"/>
  <c r="E1014" i="1"/>
  <c r="F1014" i="1"/>
  <c r="G1014" i="1"/>
  <c r="H1014" i="1"/>
  <c r="I1014" i="1"/>
  <c r="J1014" i="1"/>
  <c r="B1015" i="1"/>
  <c r="C1015" i="1"/>
  <c r="D1015" i="1"/>
  <c r="E1015" i="1"/>
  <c r="F1015" i="1"/>
  <c r="G1015" i="1"/>
  <c r="H1015" i="1"/>
  <c r="I1015" i="1"/>
  <c r="J1015" i="1"/>
  <c r="B1016" i="1"/>
  <c r="C1016" i="1"/>
  <c r="D1016" i="1"/>
  <c r="E1016" i="1"/>
  <c r="F1016" i="1"/>
  <c r="G1016" i="1"/>
  <c r="H1016" i="1"/>
  <c r="I1016" i="1"/>
  <c r="J1016" i="1"/>
  <c r="B1017" i="1"/>
  <c r="C1017" i="1"/>
  <c r="D1017" i="1"/>
  <c r="E1017" i="1"/>
  <c r="F1017" i="1"/>
  <c r="G1017" i="1"/>
  <c r="H1017" i="1"/>
  <c r="I1017" i="1"/>
  <c r="J1017" i="1"/>
  <c r="B1018" i="1"/>
  <c r="C1018" i="1"/>
  <c r="D1018" i="1"/>
  <c r="E1018" i="1"/>
  <c r="F1018" i="1"/>
  <c r="G1018" i="1"/>
  <c r="H1018" i="1"/>
  <c r="I1018" i="1"/>
  <c r="J1018" i="1"/>
  <c r="B1019" i="1"/>
  <c r="C1019" i="1"/>
  <c r="D1019" i="1"/>
  <c r="E1019" i="1"/>
  <c r="F1019" i="1"/>
  <c r="G1019" i="1"/>
  <c r="H1019" i="1"/>
  <c r="I1019" i="1"/>
  <c r="J1019" i="1"/>
  <c r="B1020" i="1"/>
  <c r="C1020" i="1"/>
  <c r="D1020" i="1"/>
  <c r="E1020" i="1"/>
  <c r="F1020" i="1"/>
  <c r="G1020" i="1"/>
  <c r="H1020" i="1"/>
  <c r="I1020" i="1"/>
  <c r="J1020" i="1"/>
  <c r="B1021" i="1"/>
  <c r="C1021" i="1"/>
  <c r="D1021" i="1"/>
  <c r="E1021" i="1"/>
  <c r="F1021" i="1"/>
  <c r="G1021" i="1"/>
  <c r="H1021" i="1"/>
  <c r="I1021" i="1"/>
  <c r="J1021" i="1"/>
  <c r="B1022" i="1"/>
  <c r="C1022" i="1"/>
  <c r="D1022" i="1"/>
  <c r="E1022" i="1"/>
  <c r="F1022" i="1"/>
  <c r="G1022" i="1"/>
  <c r="H1022" i="1"/>
  <c r="I1022" i="1"/>
  <c r="J1022" i="1"/>
  <c r="B1023" i="1"/>
  <c r="C1023" i="1"/>
  <c r="D1023" i="1"/>
  <c r="E1023" i="1"/>
  <c r="F1023" i="1"/>
  <c r="G1023" i="1"/>
  <c r="H1023" i="1"/>
  <c r="I1023" i="1"/>
  <c r="J1023" i="1"/>
  <c r="B1024" i="1"/>
  <c r="C1024" i="1"/>
  <c r="D1024" i="1"/>
  <c r="E1024" i="1"/>
  <c r="F1024" i="1"/>
  <c r="G1024" i="1"/>
  <c r="H1024" i="1"/>
  <c r="I1024" i="1"/>
  <c r="J1024" i="1"/>
  <c r="B1025" i="1"/>
  <c r="C1025" i="1"/>
  <c r="D1025" i="1"/>
  <c r="E1025" i="1"/>
  <c r="F1025" i="1"/>
  <c r="G1025" i="1"/>
  <c r="H1025" i="1"/>
  <c r="I1025" i="1"/>
  <c r="J1025" i="1"/>
  <c r="B1026" i="1"/>
  <c r="C1026" i="1"/>
  <c r="D1026" i="1"/>
  <c r="E1026" i="1"/>
  <c r="F1026" i="1"/>
  <c r="G1026" i="1"/>
  <c r="H1026" i="1"/>
  <c r="I1026" i="1"/>
  <c r="J1026" i="1"/>
  <c r="B1027" i="1"/>
  <c r="C1027" i="1"/>
  <c r="D1027" i="1"/>
  <c r="E1027" i="1"/>
  <c r="F1027" i="1"/>
  <c r="G1027" i="1"/>
  <c r="H1027" i="1"/>
  <c r="I1027" i="1"/>
  <c r="J1027" i="1"/>
  <c r="B1028" i="1"/>
  <c r="C1028" i="1"/>
  <c r="D1028" i="1"/>
  <c r="E1028" i="1"/>
  <c r="F1028" i="1"/>
  <c r="G1028" i="1"/>
  <c r="H1028" i="1"/>
  <c r="I1028" i="1"/>
  <c r="J1028" i="1"/>
  <c r="B1029" i="1"/>
  <c r="C1029" i="1"/>
  <c r="D1029" i="1"/>
  <c r="E1029" i="1"/>
  <c r="F1029" i="1"/>
  <c r="G1029" i="1"/>
  <c r="H1029" i="1"/>
  <c r="I1029" i="1"/>
  <c r="J1029" i="1"/>
  <c r="B1030" i="1"/>
  <c r="C1030" i="1"/>
  <c r="D1030" i="1"/>
  <c r="E1030" i="1"/>
  <c r="F1030" i="1"/>
  <c r="G1030" i="1"/>
  <c r="H1030" i="1"/>
  <c r="I1030" i="1"/>
  <c r="J1030" i="1"/>
  <c r="B1031" i="1"/>
  <c r="C1031" i="1"/>
  <c r="D1031" i="1"/>
  <c r="E1031" i="1"/>
  <c r="F1031" i="1"/>
  <c r="G1031" i="1"/>
  <c r="H1031" i="1"/>
  <c r="I1031" i="1"/>
  <c r="J1031" i="1"/>
  <c r="B1032" i="1"/>
  <c r="C1032" i="1"/>
  <c r="D1032" i="1"/>
  <c r="E1032" i="1"/>
  <c r="F1032" i="1"/>
  <c r="G1032" i="1"/>
  <c r="H1032" i="1"/>
  <c r="I1032" i="1"/>
  <c r="J1032" i="1"/>
  <c r="B1033" i="1"/>
  <c r="C1033" i="1"/>
  <c r="D1033" i="1"/>
  <c r="E1033" i="1"/>
  <c r="F1033" i="1"/>
  <c r="G1033" i="1"/>
  <c r="H1033" i="1"/>
  <c r="I1033" i="1"/>
  <c r="J1033" i="1"/>
  <c r="B1034" i="1"/>
  <c r="C1034" i="1"/>
  <c r="D1034" i="1"/>
  <c r="E1034" i="1"/>
  <c r="F1034" i="1"/>
  <c r="G1034" i="1"/>
  <c r="H1034" i="1"/>
  <c r="I1034" i="1"/>
  <c r="J1034" i="1"/>
  <c r="B1035" i="1"/>
  <c r="C1035" i="1"/>
  <c r="D1035" i="1"/>
  <c r="E1035" i="1"/>
  <c r="F1035" i="1"/>
  <c r="G1035" i="1"/>
  <c r="H1035" i="1"/>
  <c r="I1035" i="1"/>
  <c r="J1035" i="1"/>
  <c r="B1036" i="1"/>
  <c r="C1036" i="1"/>
  <c r="D1036" i="1"/>
  <c r="E1036" i="1"/>
  <c r="F1036" i="1"/>
  <c r="G1036" i="1"/>
  <c r="H1036" i="1"/>
  <c r="I1036" i="1"/>
  <c r="J1036" i="1"/>
  <c r="B1037" i="1"/>
  <c r="C1037" i="1"/>
  <c r="D1037" i="1"/>
  <c r="E1037" i="1"/>
  <c r="F1037" i="1"/>
  <c r="G1037" i="1"/>
  <c r="H1037" i="1"/>
  <c r="I1037" i="1"/>
  <c r="J1037" i="1"/>
  <c r="B1038" i="1"/>
  <c r="C1038" i="1"/>
  <c r="D1038" i="1"/>
  <c r="E1038" i="1"/>
  <c r="F1038" i="1"/>
  <c r="G1038" i="1"/>
  <c r="H1038" i="1"/>
  <c r="I1038" i="1"/>
  <c r="J1038" i="1"/>
  <c r="B1039" i="1"/>
  <c r="C1039" i="1"/>
  <c r="D1039" i="1"/>
  <c r="E1039" i="1"/>
  <c r="F1039" i="1"/>
  <c r="G1039" i="1"/>
  <c r="H1039" i="1"/>
  <c r="I1039" i="1"/>
  <c r="J1039" i="1"/>
  <c r="B1040" i="1"/>
  <c r="C1040" i="1"/>
  <c r="D1040" i="1"/>
  <c r="E1040" i="1"/>
  <c r="F1040" i="1"/>
  <c r="G1040" i="1"/>
  <c r="H1040" i="1"/>
  <c r="I1040" i="1"/>
  <c r="J1040" i="1"/>
  <c r="B1041" i="1"/>
  <c r="C1041" i="1"/>
  <c r="D1041" i="1"/>
  <c r="E1041" i="1"/>
  <c r="F1041" i="1"/>
  <c r="G1041" i="1"/>
  <c r="H1041" i="1"/>
  <c r="I1041" i="1"/>
  <c r="J1041" i="1"/>
  <c r="B1042" i="1"/>
  <c r="C1042" i="1"/>
  <c r="D1042" i="1"/>
  <c r="E1042" i="1"/>
  <c r="F1042" i="1"/>
  <c r="G1042" i="1"/>
  <c r="H1042" i="1"/>
  <c r="I1042" i="1"/>
  <c r="J1042" i="1"/>
  <c r="B1043" i="1"/>
  <c r="C1043" i="1"/>
  <c r="D1043" i="1"/>
  <c r="E1043" i="1"/>
  <c r="F1043" i="1"/>
  <c r="G1043" i="1"/>
  <c r="H1043" i="1"/>
  <c r="I1043" i="1"/>
  <c r="J1043" i="1"/>
  <c r="B1044" i="1"/>
  <c r="C1044" i="1"/>
  <c r="D1044" i="1"/>
  <c r="E1044" i="1"/>
  <c r="F1044" i="1"/>
  <c r="G1044" i="1"/>
  <c r="H1044" i="1"/>
  <c r="I1044" i="1"/>
  <c r="J1044" i="1"/>
  <c r="B1045" i="1"/>
  <c r="C1045" i="1"/>
  <c r="D1045" i="1"/>
  <c r="E1045" i="1"/>
  <c r="F1045" i="1"/>
  <c r="G1045" i="1"/>
  <c r="H1045" i="1"/>
  <c r="I1045" i="1"/>
  <c r="J1045" i="1"/>
  <c r="B1046" i="1"/>
  <c r="C1046" i="1"/>
  <c r="D1046" i="1"/>
  <c r="E1046" i="1"/>
  <c r="F1046" i="1"/>
  <c r="G1046" i="1"/>
  <c r="H1046" i="1"/>
  <c r="I1046" i="1"/>
  <c r="J1046" i="1"/>
  <c r="B1047" i="1"/>
  <c r="C1047" i="1"/>
  <c r="D1047" i="1"/>
  <c r="E1047" i="1"/>
  <c r="F1047" i="1"/>
  <c r="G1047" i="1"/>
  <c r="H1047" i="1"/>
  <c r="I1047" i="1"/>
  <c r="J1047" i="1"/>
  <c r="B1048" i="1"/>
  <c r="C1048" i="1"/>
  <c r="D1048" i="1"/>
  <c r="E1048" i="1"/>
  <c r="F1048" i="1"/>
  <c r="G1048" i="1"/>
  <c r="H1048" i="1"/>
  <c r="I1048" i="1"/>
  <c r="J1048" i="1"/>
  <c r="B1049" i="1"/>
  <c r="C1049" i="1"/>
  <c r="D1049" i="1"/>
  <c r="E1049" i="1"/>
  <c r="F1049" i="1"/>
  <c r="G1049" i="1"/>
  <c r="H1049" i="1"/>
  <c r="I1049" i="1"/>
  <c r="J1049" i="1"/>
  <c r="B1050" i="1"/>
  <c r="C1050" i="1"/>
  <c r="D1050" i="1"/>
  <c r="E1050" i="1"/>
  <c r="F1050" i="1"/>
  <c r="G1050" i="1"/>
  <c r="H1050" i="1"/>
  <c r="I1050" i="1"/>
  <c r="J1050" i="1"/>
  <c r="B1051" i="1"/>
  <c r="C1051" i="1"/>
  <c r="D1051" i="1"/>
  <c r="E1051" i="1"/>
  <c r="F1051" i="1"/>
  <c r="G1051" i="1"/>
  <c r="H1051" i="1"/>
  <c r="I1051" i="1"/>
  <c r="J1051" i="1"/>
  <c r="B1052" i="1"/>
  <c r="C1052" i="1"/>
  <c r="D1052" i="1"/>
  <c r="E1052" i="1"/>
  <c r="F1052" i="1"/>
  <c r="G1052" i="1"/>
  <c r="H1052" i="1"/>
  <c r="I1052" i="1"/>
  <c r="J1052" i="1"/>
  <c r="B1053" i="1"/>
  <c r="C1053" i="1"/>
  <c r="D1053" i="1"/>
  <c r="E1053" i="1"/>
  <c r="F1053" i="1"/>
  <c r="G1053" i="1"/>
  <c r="H1053" i="1"/>
  <c r="I1053" i="1"/>
  <c r="J1053" i="1"/>
  <c r="B1054" i="1"/>
  <c r="C1054" i="1"/>
  <c r="D1054" i="1"/>
  <c r="E1054" i="1"/>
  <c r="F1054" i="1"/>
  <c r="G1054" i="1"/>
  <c r="H1054" i="1"/>
  <c r="I1054" i="1"/>
  <c r="J1054" i="1"/>
  <c r="B1055" i="1"/>
  <c r="C1055" i="1"/>
  <c r="D1055" i="1"/>
  <c r="E1055" i="1"/>
  <c r="F1055" i="1"/>
  <c r="G1055" i="1"/>
  <c r="H1055" i="1"/>
  <c r="I1055" i="1"/>
  <c r="J1055" i="1"/>
  <c r="B1056" i="1"/>
  <c r="C1056" i="1"/>
  <c r="D1056" i="1"/>
  <c r="E1056" i="1"/>
  <c r="F1056" i="1"/>
  <c r="G1056" i="1"/>
  <c r="H1056" i="1"/>
  <c r="I1056" i="1"/>
  <c r="J1056" i="1"/>
  <c r="B1057" i="1"/>
  <c r="C1057" i="1"/>
  <c r="D1057" i="1"/>
  <c r="E1057" i="1"/>
  <c r="F1057" i="1"/>
  <c r="G1057" i="1"/>
  <c r="H1057" i="1"/>
  <c r="I1057" i="1"/>
  <c r="J1057" i="1"/>
  <c r="B1058" i="1"/>
  <c r="C1058" i="1"/>
  <c r="D1058" i="1"/>
  <c r="E1058" i="1"/>
  <c r="F1058" i="1"/>
  <c r="G1058" i="1"/>
  <c r="H1058" i="1"/>
  <c r="I1058" i="1"/>
  <c r="J1058" i="1"/>
  <c r="B1059" i="1"/>
  <c r="C1059" i="1"/>
  <c r="D1059" i="1"/>
  <c r="E1059" i="1"/>
  <c r="F1059" i="1"/>
  <c r="G1059" i="1"/>
  <c r="H1059" i="1"/>
  <c r="I1059" i="1"/>
  <c r="J1059" i="1"/>
  <c r="B1060" i="1"/>
  <c r="C1060" i="1"/>
  <c r="D1060" i="1"/>
  <c r="E1060" i="1"/>
  <c r="F1060" i="1"/>
  <c r="G1060" i="1"/>
  <c r="H1060" i="1"/>
  <c r="I1060" i="1"/>
  <c r="J1060" i="1"/>
  <c r="B1062" i="1"/>
  <c r="L1062" i="1"/>
  <c r="M1062" i="1"/>
  <c r="N1062" i="1"/>
  <c r="O1062" i="1"/>
  <c r="P1062" i="1"/>
  <c r="S1062" i="1"/>
  <c r="L1063" i="1"/>
  <c r="M1063" i="1"/>
  <c r="N1063" i="1"/>
  <c r="O1063" i="1"/>
  <c r="P1063" i="1"/>
  <c r="S1063" i="1"/>
  <c r="C1064" i="1"/>
  <c r="L1064" i="1"/>
  <c r="M1064" i="1"/>
  <c r="N1064" i="1"/>
  <c r="O1064" i="1"/>
  <c r="P1064" i="1"/>
  <c r="L1065" i="1"/>
  <c r="M1065" i="1"/>
  <c r="N1065" i="1"/>
  <c r="O1065" i="1"/>
  <c r="P1065" i="1"/>
  <c r="Q1065" i="1"/>
  <c r="L1066" i="1"/>
  <c r="M1066" i="1"/>
  <c r="N1066" i="1"/>
  <c r="O1066" i="1"/>
  <c r="P1066" i="1"/>
  <c r="Q1066" i="1"/>
  <c r="L1067" i="1"/>
  <c r="M1067" i="1"/>
  <c r="N1067" i="1"/>
  <c r="O1067" i="1"/>
  <c r="P1067" i="1"/>
  <c r="Q1067" i="1"/>
  <c r="L1068" i="1"/>
  <c r="M1068" i="1"/>
  <c r="N1068" i="1"/>
  <c r="O1068" i="1"/>
  <c r="P1068" i="1"/>
  <c r="Q1068" i="1"/>
  <c r="L1069" i="1"/>
  <c r="M1069" i="1"/>
  <c r="N1069" i="1"/>
  <c r="O1069" i="1"/>
  <c r="P1069" i="1"/>
  <c r="Q1069" i="1"/>
  <c r="L1070" i="1"/>
  <c r="M1070" i="1"/>
  <c r="N1070" i="1"/>
  <c r="O1070" i="1"/>
  <c r="P1070" i="1"/>
  <c r="Q1070" i="1"/>
  <c r="L1071" i="1"/>
  <c r="M1071" i="1"/>
  <c r="N1071" i="1"/>
  <c r="O1071" i="1"/>
  <c r="P1071" i="1"/>
  <c r="Q1071" i="1"/>
  <c r="L1072" i="1"/>
  <c r="M1072" i="1"/>
  <c r="N1072" i="1"/>
  <c r="O1072" i="1"/>
  <c r="P1072" i="1"/>
  <c r="Q1072" i="1"/>
  <c r="L1073" i="1"/>
  <c r="M1073" i="1"/>
  <c r="N1073" i="1"/>
  <c r="O1073" i="1"/>
  <c r="P1073" i="1"/>
  <c r="Q1073" i="1"/>
  <c r="L1074" i="1"/>
  <c r="M1074" i="1"/>
  <c r="N1074" i="1"/>
  <c r="O1074" i="1"/>
  <c r="P1074" i="1"/>
  <c r="Q1074" i="1"/>
  <c r="L1075" i="1"/>
  <c r="M1075" i="1"/>
  <c r="N1075" i="1"/>
  <c r="O1075" i="1"/>
  <c r="P1075" i="1"/>
  <c r="Q1075" i="1"/>
  <c r="L1076" i="1"/>
  <c r="M1076" i="1"/>
  <c r="N1076" i="1"/>
  <c r="O1076" i="1"/>
  <c r="P1076" i="1"/>
  <c r="Q1076" i="1"/>
  <c r="L1077" i="1"/>
  <c r="M1077" i="1"/>
  <c r="N1077" i="1"/>
  <c r="O1077" i="1"/>
  <c r="P1077" i="1"/>
  <c r="Q1077" i="1"/>
  <c r="L1078" i="1"/>
  <c r="M1078" i="1"/>
  <c r="N1078" i="1"/>
  <c r="O1078" i="1"/>
  <c r="P1078" i="1"/>
  <c r="Q1078" i="1"/>
  <c r="L1079" i="1"/>
  <c r="M1079" i="1"/>
  <c r="N1079" i="1"/>
  <c r="O1079" i="1"/>
  <c r="P1079" i="1"/>
  <c r="Q1079" i="1"/>
  <c r="L1080" i="1"/>
  <c r="M1080" i="1"/>
  <c r="N1080" i="1"/>
  <c r="O1080" i="1"/>
  <c r="P1080" i="1"/>
  <c r="Q1080" i="1"/>
  <c r="L1081" i="1"/>
  <c r="M1081" i="1"/>
  <c r="N1081" i="1"/>
  <c r="O1081" i="1"/>
  <c r="P1081" i="1"/>
  <c r="Q1081" i="1"/>
  <c r="L1082" i="1"/>
  <c r="M1082" i="1"/>
  <c r="N1082" i="1"/>
  <c r="O1082" i="1"/>
  <c r="P1082" i="1"/>
  <c r="Q1082" i="1"/>
  <c r="L1083" i="1"/>
  <c r="M1083" i="1"/>
  <c r="N1083" i="1"/>
  <c r="O1083" i="1"/>
  <c r="P1083" i="1"/>
  <c r="Q1083" i="1"/>
  <c r="L1084" i="1"/>
  <c r="M1084" i="1"/>
  <c r="N1084" i="1"/>
  <c r="O1084" i="1"/>
  <c r="P1084" i="1"/>
  <c r="Q1084" i="1"/>
  <c r="L1085" i="1"/>
  <c r="M1085" i="1"/>
  <c r="N1085" i="1"/>
  <c r="O1085" i="1"/>
  <c r="P1085" i="1"/>
  <c r="Q1085" i="1"/>
  <c r="A1086" i="1"/>
  <c r="A1087" i="1" s="1"/>
  <c r="L1086" i="1"/>
  <c r="M1086" i="1"/>
  <c r="N1086" i="1"/>
  <c r="O1086" i="1"/>
  <c r="P1086" i="1"/>
  <c r="Q1086" i="1"/>
  <c r="L1087" i="1"/>
  <c r="M1087" i="1"/>
  <c r="N1087" i="1"/>
  <c r="O1087" i="1"/>
  <c r="P1087" i="1"/>
  <c r="Q1087" i="1"/>
  <c r="A1088" i="1"/>
  <c r="A1089" i="1" s="1"/>
  <c r="A1090" i="1" s="1"/>
  <c r="A1091" i="1" s="1"/>
  <c r="A1092" i="1" s="1"/>
  <c r="A1093" i="1" s="1"/>
  <c r="A1094" i="1" s="1"/>
  <c r="L1088" i="1"/>
  <c r="M1088" i="1"/>
  <c r="N1088" i="1"/>
  <c r="O1088" i="1"/>
  <c r="P1088" i="1"/>
  <c r="Q1088" i="1"/>
  <c r="L1089" i="1"/>
  <c r="M1089" i="1"/>
  <c r="N1089" i="1"/>
  <c r="O1089" i="1"/>
  <c r="P1089" i="1"/>
  <c r="Q1089" i="1"/>
  <c r="L1090" i="1"/>
  <c r="M1090" i="1"/>
  <c r="N1090" i="1"/>
  <c r="O1090" i="1"/>
  <c r="P1090" i="1"/>
  <c r="Q1090" i="1"/>
  <c r="L1091" i="1"/>
  <c r="M1091" i="1"/>
  <c r="N1091" i="1"/>
  <c r="O1091" i="1"/>
  <c r="P1091" i="1"/>
  <c r="Q1091" i="1"/>
  <c r="L1092" i="1"/>
  <c r="M1092" i="1"/>
  <c r="N1092" i="1"/>
  <c r="O1092" i="1"/>
  <c r="P1092" i="1"/>
  <c r="Q1092" i="1"/>
  <c r="L1093" i="1"/>
  <c r="M1093" i="1"/>
  <c r="N1093" i="1"/>
  <c r="O1093" i="1"/>
  <c r="P1093" i="1"/>
  <c r="Q1093" i="1"/>
  <c r="L1094" i="1"/>
  <c r="M1094" i="1"/>
  <c r="N1094" i="1"/>
  <c r="O1094" i="1"/>
  <c r="P1094" i="1"/>
  <c r="Q1094" i="1"/>
  <c r="A1095" i="1"/>
  <c r="L1095" i="1"/>
  <c r="M1095" i="1"/>
  <c r="N1095" i="1"/>
  <c r="O1095" i="1"/>
  <c r="P1095" i="1"/>
  <c r="Q1095" i="1"/>
  <c r="A1096" i="1"/>
  <c r="A1097" i="1" s="1"/>
  <c r="A1098" i="1" s="1"/>
  <c r="A1099" i="1" s="1"/>
  <c r="L1096" i="1"/>
  <c r="M1096" i="1"/>
  <c r="N1096" i="1"/>
  <c r="O1096" i="1"/>
  <c r="P1096" i="1"/>
  <c r="Q1096" i="1"/>
  <c r="L1097" i="1"/>
  <c r="M1097" i="1"/>
  <c r="N1097" i="1"/>
  <c r="O1097" i="1"/>
  <c r="P1097" i="1"/>
  <c r="Q1097" i="1"/>
  <c r="L1098" i="1"/>
  <c r="M1098" i="1"/>
  <c r="N1098" i="1"/>
  <c r="O1098" i="1"/>
  <c r="P1098" i="1"/>
  <c r="Q1098" i="1"/>
  <c r="L1099" i="1"/>
  <c r="M1099" i="1"/>
  <c r="N1099" i="1"/>
  <c r="O1099" i="1"/>
  <c r="P1099" i="1"/>
  <c r="Q1099" i="1"/>
  <c r="A1100" i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L1100" i="1"/>
  <c r="M1100" i="1"/>
  <c r="N1100" i="1"/>
  <c r="O1100" i="1"/>
  <c r="P1100" i="1"/>
  <c r="Q1100" i="1"/>
  <c r="L1101" i="1"/>
  <c r="M1101" i="1"/>
  <c r="N1101" i="1"/>
  <c r="O1101" i="1"/>
  <c r="P1101" i="1"/>
  <c r="Q1101" i="1"/>
  <c r="L1102" i="1"/>
  <c r="M1102" i="1"/>
  <c r="N1102" i="1"/>
  <c r="O1102" i="1"/>
  <c r="P1102" i="1"/>
  <c r="Q1102" i="1"/>
  <c r="L1103" i="1"/>
  <c r="M1103" i="1"/>
  <c r="N1103" i="1"/>
  <c r="O1103" i="1"/>
  <c r="P1103" i="1"/>
  <c r="Q1103" i="1"/>
  <c r="L1104" i="1"/>
  <c r="M1104" i="1"/>
  <c r="N1104" i="1"/>
  <c r="O1104" i="1"/>
  <c r="P1104" i="1"/>
  <c r="Q1104" i="1"/>
  <c r="L1105" i="1"/>
  <c r="M1105" i="1"/>
  <c r="N1105" i="1"/>
  <c r="O1105" i="1"/>
  <c r="P1105" i="1"/>
  <c r="Q1105" i="1"/>
  <c r="L1106" i="1"/>
  <c r="M1106" i="1"/>
  <c r="N1106" i="1"/>
  <c r="O1106" i="1"/>
  <c r="P1106" i="1"/>
  <c r="Q1106" i="1"/>
  <c r="L1107" i="1"/>
  <c r="M1107" i="1"/>
  <c r="N1107" i="1"/>
  <c r="O1107" i="1"/>
  <c r="P1107" i="1"/>
  <c r="Q1107" i="1"/>
  <c r="L1108" i="1"/>
  <c r="M1108" i="1"/>
  <c r="N1108" i="1"/>
  <c r="O1108" i="1"/>
  <c r="P1108" i="1"/>
  <c r="Q1108" i="1"/>
  <c r="L1109" i="1"/>
  <c r="M1109" i="1"/>
  <c r="N1109" i="1"/>
  <c r="O1109" i="1"/>
  <c r="P1109" i="1"/>
  <c r="Q1109" i="1"/>
  <c r="B1106" i="1" l="1"/>
  <c r="D1106" i="1"/>
  <c r="I1104" i="1"/>
  <c r="H1099" i="1"/>
  <c r="I1095" i="1"/>
  <c r="G1094" i="1"/>
  <c r="H1094" i="1"/>
  <c r="I1094" i="1"/>
  <c r="F1093" i="1"/>
  <c r="B1088" i="1"/>
  <c r="J1087" i="1"/>
  <c r="B1086" i="1"/>
  <c r="J1085" i="1"/>
  <c r="H1084" i="1"/>
  <c r="C1082" i="1"/>
  <c r="C1081" i="1"/>
  <c r="D1081" i="1"/>
  <c r="F1075" i="1"/>
  <c r="G1074" i="1"/>
  <c r="E1065" i="1"/>
  <c r="K1063" i="1"/>
  <c r="B1105" i="3"/>
  <c r="B1093" i="3"/>
  <c r="B1074" i="3"/>
  <c r="B1070" i="3"/>
  <c r="B1067" i="3"/>
  <c r="E1102" i="3"/>
  <c r="E1100" i="3"/>
  <c r="E1091" i="3"/>
  <c r="E1081" i="3"/>
  <c r="J1062" i="1"/>
  <c r="C1085" i="3"/>
  <c r="C1081" i="3"/>
  <c r="H1147" i="4"/>
  <c r="J1146" i="4"/>
  <c r="F1143" i="4"/>
  <c r="H1135" i="4"/>
  <c r="D1131" i="4"/>
  <c r="D1120" i="4"/>
  <c r="D1102" i="4"/>
  <c r="B1097" i="4"/>
  <c r="F1085" i="4"/>
  <c r="D1080" i="4"/>
  <c r="F1065" i="4"/>
  <c r="B1107" i="1"/>
  <c r="F1106" i="1"/>
  <c r="J1105" i="1"/>
  <c r="J1103" i="1"/>
  <c r="F1100" i="1"/>
  <c r="B1099" i="1"/>
  <c r="B1095" i="1"/>
  <c r="B1093" i="1"/>
  <c r="J1091" i="1"/>
  <c r="F1090" i="1"/>
  <c r="B1087" i="1"/>
  <c r="B1085" i="1"/>
  <c r="B1083" i="1"/>
  <c r="B1081" i="1"/>
  <c r="F1078" i="1"/>
  <c r="F1076" i="1"/>
  <c r="J1075" i="1"/>
  <c r="F1074" i="1"/>
  <c r="B1073" i="1"/>
  <c r="B1069" i="1"/>
  <c r="F1068" i="1"/>
  <c r="F1064" i="1"/>
  <c r="G1063" i="1"/>
  <c r="G1146" i="4"/>
  <c r="G1145" i="4"/>
  <c r="G1139" i="4"/>
  <c r="G1138" i="4"/>
  <c r="G1135" i="4"/>
  <c r="G1133" i="4"/>
  <c r="G1132" i="4"/>
  <c r="G1129" i="4"/>
  <c r="G1128" i="4"/>
  <c r="G1125" i="4"/>
  <c r="G1123" i="4"/>
  <c r="G1122" i="4"/>
  <c r="G1115" i="4"/>
  <c r="G1114" i="4"/>
  <c r="G1113" i="4"/>
  <c r="G1112" i="4"/>
  <c r="G1111" i="4"/>
  <c r="G1110" i="4"/>
  <c r="G1109" i="4"/>
  <c r="G1106" i="4"/>
  <c r="G1102" i="4"/>
  <c r="G1101" i="4"/>
  <c r="G1099" i="4"/>
  <c r="G1096" i="4"/>
  <c r="G1092" i="4"/>
  <c r="G1088" i="4"/>
  <c r="G1086" i="4"/>
  <c r="G1084" i="4"/>
  <c r="G1082" i="4"/>
  <c r="G1076" i="4"/>
  <c r="G1072" i="4"/>
  <c r="G1071" i="4"/>
  <c r="G1103" i="4"/>
  <c r="G1062" i="4"/>
  <c r="E1076" i="1"/>
  <c r="I1078" i="1"/>
  <c r="K1148" i="4"/>
  <c r="I1147" i="4"/>
  <c r="C1146" i="4"/>
  <c r="E1145" i="4"/>
  <c r="E1144" i="4"/>
  <c r="K1142" i="4"/>
  <c r="I1141" i="4"/>
  <c r="I1134" i="4"/>
  <c r="K1134" i="4"/>
  <c r="K1133" i="4"/>
  <c r="K1132" i="4"/>
  <c r="C1131" i="4"/>
  <c r="K1130" i="4"/>
  <c r="C1129" i="4"/>
  <c r="C1128" i="4"/>
  <c r="E1126" i="4"/>
  <c r="E1125" i="4"/>
  <c r="C1124" i="4"/>
  <c r="C1123" i="4"/>
  <c r="K1122" i="4"/>
  <c r="C1121" i="4"/>
  <c r="I1120" i="4"/>
  <c r="E1120" i="4"/>
  <c r="C1119" i="4"/>
  <c r="I1118" i="4"/>
  <c r="E1118" i="4"/>
  <c r="I1117" i="4"/>
  <c r="K1116" i="4"/>
  <c r="K1115" i="4"/>
  <c r="C1114" i="4"/>
  <c r="C1113" i="4"/>
  <c r="K1112" i="4"/>
  <c r="I1111" i="4"/>
  <c r="I1110" i="4"/>
  <c r="E1109" i="4"/>
  <c r="K1107" i="4"/>
  <c r="C1106" i="4"/>
  <c r="I1104" i="4"/>
  <c r="E1104" i="4"/>
  <c r="I1102" i="4"/>
  <c r="E1102" i="4"/>
  <c r="I1101" i="4"/>
  <c r="E1101" i="4"/>
  <c r="I1100" i="4"/>
  <c r="E1100" i="4"/>
  <c r="K1099" i="4"/>
  <c r="K1098" i="4"/>
  <c r="I1097" i="4"/>
  <c r="E1097" i="4"/>
  <c r="I1096" i="4"/>
  <c r="C1095" i="4"/>
  <c r="I1094" i="4"/>
  <c r="I1093" i="4"/>
  <c r="E1093" i="4"/>
  <c r="E1110" i="1"/>
  <c r="N1110" i="1"/>
  <c r="D1110" i="1"/>
  <c r="O1110" i="1"/>
  <c r="F1110" i="1"/>
  <c r="P1110" i="1"/>
  <c r="C1110" i="1"/>
  <c r="A1111" i="1"/>
  <c r="G1110" i="1"/>
  <c r="H1110" i="1"/>
  <c r="I1110" i="1"/>
  <c r="Q1110" i="1"/>
  <c r="B1110" i="1"/>
  <c r="J1110" i="1"/>
  <c r="L1110" i="1"/>
  <c r="M1110" i="1"/>
  <c r="J1109" i="1"/>
  <c r="F1108" i="1"/>
  <c r="H1107" i="1"/>
  <c r="C1106" i="1"/>
  <c r="B1105" i="1"/>
  <c r="B1103" i="1"/>
  <c r="B1101" i="1"/>
  <c r="J1099" i="1"/>
  <c r="F1098" i="1"/>
  <c r="J1097" i="1"/>
  <c r="J1095" i="1"/>
  <c r="J1093" i="1"/>
  <c r="B1091" i="1"/>
  <c r="J1089" i="1"/>
  <c r="F1088" i="1"/>
  <c r="I1087" i="1"/>
  <c r="F1086" i="1"/>
  <c r="I1085" i="1"/>
  <c r="F1084" i="1"/>
  <c r="J1083" i="1"/>
  <c r="F1082" i="1"/>
  <c r="B1079" i="1"/>
  <c r="J1077" i="1"/>
  <c r="B1075" i="1"/>
  <c r="J1073" i="1"/>
  <c r="J1071" i="1"/>
  <c r="F1070" i="1"/>
  <c r="J1069" i="1"/>
  <c r="J1067" i="1"/>
  <c r="F1066" i="1"/>
  <c r="D1065" i="1"/>
  <c r="B1064" i="1"/>
  <c r="D1063" i="1"/>
  <c r="B1063" i="1"/>
  <c r="F1062" i="1"/>
  <c r="G1148" i="4"/>
  <c r="G1143" i="4"/>
  <c r="G1131" i="4"/>
  <c r="G1130" i="4"/>
  <c r="G1127" i="4"/>
  <c r="G1124" i="4"/>
  <c r="G1121" i="4"/>
  <c r="G1117" i="4"/>
  <c r="G1116" i="4"/>
  <c r="G1108" i="4"/>
  <c r="G1107" i="4"/>
  <c r="G1105" i="4"/>
  <c r="G1097" i="4"/>
  <c r="G1085" i="4"/>
  <c r="G1079" i="4"/>
  <c r="G1078" i="4"/>
  <c r="G1075" i="4"/>
  <c r="G1070" i="4"/>
  <c r="G1068" i="4"/>
  <c r="G1066" i="4"/>
  <c r="G1064" i="4"/>
  <c r="G1063" i="4"/>
  <c r="I1099" i="1"/>
  <c r="F1101" i="1"/>
  <c r="J1100" i="1"/>
  <c r="E1081" i="1"/>
  <c r="J1078" i="1"/>
  <c r="E1148" i="4"/>
  <c r="E1147" i="4"/>
  <c r="K1146" i="4"/>
  <c r="I1145" i="4"/>
  <c r="C1145" i="4"/>
  <c r="K1144" i="4"/>
  <c r="I1143" i="4"/>
  <c r="C1142" i="4"/>
  <c r="C1141" i="4"/>
  <c r="K1140" i="4"/>
  <c r="C1140" i="4"/>
  <c r="K1139" i="4"/>
  <c r="E1139" i="4"/>
  <c r="I1138" i="4"/>
  <c r="C1138" i="4"/>
  <c r="C1134" i="4"/>
  <c r="C1133" i="4"/>
  <c r="C1132" i="4"/>
  <c r="K1131" i="4"/>
  <c r="E1130" i="4"/>
  <c r="E1127" i="4"/>
  <c r="K1126" i="4"/>
  <c r="K1125" i="4"/>
  <c r="K1124" i="4"/>
  <c r="K1123" i="4"/>
  <c r="I1122" i="4"/>
  <c r="C1122" i="4"/>
  <c r="K1121" i="4"/>
  <c r="C1120" i="4"/>
  <c r="K1119" i="4"/>
  <c r="C1118" i="4"/>
  <c r="C1117" i="4"/>
  <c r="I1116" i="4"/>
  <c r="E1115" i="4"/>
  <c r="K1114" i="4"/>
  <c r="K1113" i="4"/>
  <c r="I1112" i="4"/>
  <c r="E1112" i="4"/>
  <c r="C1111" i="4"/>
  <c r="E1110" i="4"/>
  <c r="C1109" i="4"/>
  <c r="E1108" i="4"/>
  <c r="C1107" i="4"/>
  <c r="K1105" i="4"/>
  <c r="K1104" i="4"/>
  <c r="C1102" i="4"/>
  <c r="C1101" i="4"/>
  <c r="K1100" i="4"/>
  <c r="C1099" i="4"/>
  <c r="C1098" i="4"/>
  <c r="K1097" i="4"/>
  <c r="E1096" i="4"/>
  <c r="I1095" i="4"/>
  <c r="K1094" i="4"/>
  <c r="C1093" i="4"/>
  <c r="I1088" i="4"/>
  <c r="D1110" i="3"/>
  <c r="B1110" i="3"/>
  <c r="C1110" i="3"/>
  <c r="A1111" i="3"/>
  <c r="E1110" i="3"/>
  <c r="B1109" i="1"/>
  <c r="J1107" i="1"/>
  <c r="G1105" i="1"/>
  <c r="F1104" i="1"/>
  <c r="F1102" i="1"/>
  <c r="J1101" i="1"/>
  <c r="B1097" i="1"/>
  <c r="F1096" i="1"/>
  <c r="F1094" i="1"/>
  <c r="F1092" i="1"/>
  <c r="B1089" i="1"/>
  <c r="H1085" i="1"/>
  <c r="J1081" i="1"/>
  <c r="F1080" i="1"/>
  <c r="J1079" i="1"/>
  <c r="B1077" i="1"/>
  <c r="F1072" i="1"/>
  <c r="B1071" i="1"/>
  <c r="B1067" i="1"/>
  <c r="F1065" i="1"/>
  <c r="R1063" i="1"/>
  <c r="J1063" i="1"/>
  <c r="G1147" i="4"/>
  <c r="G1144" i="4"/>
  <c r="G1142" i="4"/>
  <c r="G1141" i="4"/>
  <c r="G1140" i="4"/>
  <c r="G1137" i="4"/>
  <c r="G1136" i="4"/>
  <c r="G1134" i="4"/>
  <c r="G1126" i="4"/>
  <c r="G1120" i="4"/>
  <c r="G1119" i="4"/>
  <c r="G1118" i="4"/>
  <c r="G1104" i="4"/>
  <c r="G1100" i="4"/>
  <c r="G1098" i="4"/>
  <c r="G1095" i="4"/>
  <c r="G1094" i="4"/>
  <c r="G1093" i="4"/>
  <c r="G1091" i="4"/>
  <c r="G1090" i="4"/>
  <c r="G1089" i="4"/>
  <c r="G1087" i="4"/>
  <c r="G1083" i="4"/>
  <c r="G1081" i="4"/>
  <c r="G1080" i="4"/>
  <c r="G1077" i="4"/>
  <c r="G1074" i="4"/>
  <c r="G1073" i="4"/>
  <c r="G1069" i="4"/>
  <c r="G1067" i="4"/>
  <c r="G1065" i="4"/>
  <c r="D1100" i="1"/>
  <c r="C1079" i="1"/>
  <c r="E1075" i="1"/>
  <c r="C1148" i="4"/>
  <c r="I1146" i="4"/>
  <c r="E1146" i="4"/>
  <c r="K1145" i="4"/>
  <c r="C1144" i="4"/>
  <c r="E1143" i="4"/>
  <c r="I1142" i="4"/>
  <c r="E1142" i="4"/>
  <c r="K1141" i="4"/>
  <c r="E1141" i="4"/>
  <c r="E1140" i="4"/>
  <c r="I1139" i="4"/>
  <c r="C1139" i="4"/>
  <c r="E1138" i="4"/>
  <c r="I1137" i="4"/>
  <c r="K1137" i="4"/>
  <c r="E1137" i="4"/>
  <c r="I1136" i="4"/>
  <c r="K1136" i="4"/>
  <c r="E1136" i="4"/>
  <c r="I1135" i="4"/>
  <c r="K1135" i="4"/>
  <c r="C1135" i="4"/>
  <c r="E1135" i="4"/>
  <c r="E1134" i="4"/>
  <c r="I1133" i="4"/>
  <c r="E1133" i="4"/>
  <c r="I1132" i="4"/>
  <c r="E1132" i="4"/>
  <c r="E1131" i="4"/>
  <c r="C1130" i="4"/>
  <c r="E1129" i="4"/>
  <c r="E1128" i="4"/>
  <c r="C1127" i="4"/>
  <c r="C1125" i="4"/>
  <c r="I1124" i="4"/>
  <c r="E1124" i="4"/>
  <c r="I1123" i="4"/>
  <c r="E1123" i="4"/>
  <c r="E1122" i="4"/>
  <c r="I1121" i="4"/>
  <c r="E1121" i="4"/>
  <c r="K1120" i="4"/>
  <c r="E1119" i="4"/>
  <c r="K1118" i="4"/>
  <c r="E1117" i="4"/>
  <c r="E1116" i="4"/>
  <c r="I1115" i="4"/>
  <c r="I1114" i="4"/>
  <c r="E1114" i="4"/>
  <c r="I1113" i="4"/>
  <c r="E1113" i="4"/>
  <c r="C1112" i="4"/>
  <c r="E1111" i="4"/>
  <c r="C1110" i="4"/>
  <c r="C1108" i="4"/>
  <c r="E1107" i="4"/>
  <c r="E1106" i="4"/>
  <c r="E1105" i="4"/>
  <c r="C1104" i="4"/>
  <c r="K1102" i="4"/>
  <c r="K1101" i="4"/>
  <c r="C1100" i="4"/>
  <c r="I1099" i="4"/>
  <c r="E1099" i="4"/>
  <c r="E1098" i="4"/>
  <c r="C1097" i="4"/>
  <c r="C1096" i="4"/>
  <c r="E1095" i="4"/>
  <c r="E1094" i="4"/>
  <c r="K1093" i="4"/>
  <c r="K1092" i="4"/>
  <c r="K1091" i="4"/>
  <c r="E1090" i="4"/>
  <c r="C1089" i="4"/>
  <c r="C1088" i="4"/>
  <c r="K1087" i="4"/>
  <c r="C1087" i="4"/>
  <c r="K1076" i="4"/>
  <c r="I1069" i="4"/>
  <c r="E1103" i="4"/>
  <c r="E1062" i="4"/>
  <c r="I1109" i="1"/>
  <c r="E1108" i="1"/>
  <c r="I1107" i="1"/>
  <c r="E1106" i="1"/>
  <c r="I1105" i="1"/>
  <c r="E1104" i="1"/>
  <c r="I1103" i="1"/>
  <c r="E1102" i="1"/>
  <c r="I1101" i="1"/>
  <c r="E1100" i="1"/>
  <c r="E1098" i="1"/>
  <c r="I1097" i="1"/>
  <c r="E1096" i="1"/>
  <c r="E1094" i="1"/>
  <c r="I1093" i="1"/>
  <c r="E1092" i="1"/>
  <c r="I1091" i="1"/>
  <c r="E1090" i="1"/>
  <c r="I1089" i="1"/>
  <c r="E1088" i="1"/>
  <c r="E1086" i="1"/>
  <c r="E1084" i="1"/>
  <c r="I1083" i="1"/>
  <c r="E1082" i="1"/>
  <c r="I1081" i="1"/>
  <c r="E1080" i="1"/>
  <c r="I1079" i="1"/>
  <c r="E1078" i="1"/>
  <c r="I1077" i="1"/>
  <c r="I1075" i="1"/>
  <c r="E1074" i="1"/>
  <c r="I1073" i="1"/>
  <c r="E1072" i="1"/>
  <c r="I1071" i="1"/>
  <c r="E1070" i="1"/>
  <c r="I1069" i="1"/>
  <c r="E1068" i="1"/>
  <c r="I1067" i="1"/>
  <c r="E1066" i="1"/>
  <c r="I1065" i="1"/>
  <c r="C1065" i="1"/>
  <c r="R1064" i="1"/>
  <c r="E1064" i="1"/>
  <c r="C1063" i="1"/>
  <c r="F1063" i="1"/>
  <c r="H1062" i="1"/>
  <c r="K1062" i="1"/>
  <c r="C1062" i="1"/>
  <c r="E1062" i="1"/>
  <c r="I1092" i="4"/>
  <c r="C1092" i="4"/>
  <c r="C1091" i="4"/>
  <c r="K1090" i="4"/>
  <c r="K1089" i="4"/>
  <c r="K1088" i="4"/>
  <c r="E1087" i="4"/>
  <c r="D1109" i="1"/>
  <c r="F1109" i="1"/>
  <c r="H1109" i="1"/>
  <c r="H1108" i="1"/>
  <c r="J1108" i="1"/>
  <c r="C1108" i="1"/>
  <c r="C1107" i="1"/>
  <c r="E1107" i="1"/>
  <c r="F1107" i="1"/>
  <c r="G1106" i="1"/>
  <c r="I1106" i="1"/>
  <c r="D1105" i="1"/>
  <c r="F1105" i="1"/>
  <c r="B1104" i="1"/>
  <c r="D1104" i="1"/>
  <c r="D1103" i="1"/>
  <c r="F1103" i="1"/>
  <c r="H1103" i="1"/>
  <c r="I1102" i="1"/>
  <c r="B1102" i="1"/>
  <c r="D1102" i="1"/>
  <c r="E1101" i="1"/>
  <c r="H1101" i="1"/>
  <c r="H1100" i="1"/>
  <c r="B1100" i="1"/>
  <c r="E1099" i="1"/>
  <c r="G1099" i="1"/>
  <c r="I1098" i="1"/>
  <c r="B1098" i="1"/>
  <c r="D1098" i="1"/>
  <c r="E1097" i="1"/>
  <c r="G1097" i="1"/>
  <c r="H1096" i="1"/>
  <c r="B1096" i="1"/>
  <c r="D1095" i="1"/>
  <c r="F1095" i="1"/>
  <c r="H1095" i="1"/>
  <c r="B1094" i="1"/>
  <c r="D1094" i="1"/>
  <c r="E1093" i="1"/>
  <c r="G1093" i="1"/>
  <c r="H1092" i="1"/>
  <c r="J1092" i="1"/>
  <c r="C1092" i="1"/>
  <c r="E1091" i="1"/>
  <c r="G1091" i="1"/>
  <c r="H1090" i="1"/>
  <c r="J1090" i="1"/>
  <c r="C1090" i="1"/>
  <c r="E1089" i="1"/>
  <c r="G1089" i="1"/>
  <c r="I1088" i="1"/>
  <c r="C1088" i="1"/>
  <c r="D1087" i="1"/>
  <c r="E1087" i="1"/>
  <c r="G1087" i="1"/>
  <c r="H1086" i="1"/>
  <c r="I1086" i="1"/>
  <c r="D1086" i="1"/>
  <c r="E1085" i="1"/>
  <c r="F1085" i="1"/>
  <c r="J1084" i="1"/>
  <c r="C1084" i="1"/>
  <c r="E1083" i="1"/>
  <c r="G1083" i="1"/>
  <c r="G1082" i="1"/>
  <c r="I1082" i="1"/>
  <c r="B1082" i="1"/>
  <c r="G1081" i="1"/>
  <c r="I1080" i="1"/>
  <c r="B1080" i="1"/>
  <c r="D1080" i="1"/>
  <c r="F1079" i="1"/>
  <c r="H1079" i="1"/>
  <c r="H1078" i="1"/>
  <c r="B1078" i="1"/>
  <c r="D1078" i="1"/>
  <c r="D1077" i="1"/>
  <c r="F1077" i="1"/>
  <c r="H1077" i="1"/>
  <c r="I1076" i="1"/>
  <c r="B1076" i="1"/>
  <c r="D1076" i="1"/>
  <c r="G1075" i="1"/>
  <c r="H1074" i="1"/>
  <c r="J1074" i="1"/>
  <c r="C1074" i="1"/>
  <c r="D1074" i="1"/>
  <c r="C1073" i="1"/>
  <c r="D1073" i="1"/>
  <c r="E1073" i="1"/>
  <c r="F1073" i="1"/>
  <c r="G1073" i="1"/>
  <c r="H1073" i="1"/>
  <c r="H1072" i="1"/>
  <c r="I1072" i="1"/>
  <c r="J1072" i="1"/>
  <c r="B1072" i="1"/>
  <c r="C1072" i="1"/>
  <c r="D1072" i="1"/>
  <c r="C1071" i="1"/>
  <c r="D1071" i="1"/>
  <c r="E1071" i="1"/>
  <c r="F1071" i="1"/>
  <c r="G1071" i="1"/>
  <c r="H1071" i="1"/>
  <c r="G1070" i="1"/>
  <c r="H1070" i="1"/>
  <c r="I1070" i="1"/>
  <c r="J1070" i="1"/>
  <c r="B1070" i="1"/>
  <c r="C1070" i="1"/>
  <c r="D1070" i="1"/>
  <c r="D1069" i="1"/>
  <c r="E1069" i="1"/>
  <c r="G1069" i="1"/>
  <c r="H1069" i="1"/>
  <c r="G1068" i="1"/>
  <c r="H1068" i="1"/>
  <c r="I1068" i="1"/>
  <c r="J1068" i="1"/>
  <c r="B1068" i="1"/>
  <c r="C1068" i="1"/>
  <c r="D1068" i="1"/>
  <c r="D1067" i="1"/>
  <c r="E1067" i="1"/>
  <c r="F1067" i="1"/>
  <c r="G1067" i="1"/>
  <c r="H1067" i="1"/>
  <c r="H1066" i="1"/>
  <c r="I1066" i="1"/>
  <c r="J1066" i="1"/>
  <c r="B1066" i="1"/>
  <c r="C1066" i="1"/>
  <c r="D1066" i="1"/>
  <c r="H1065" i="1"/>
  <c r="J1065" i="1"/>
  <c r="B1065" i="1"/>
  <c r="H1064" i="1"/>
  <c r="J1064" i="1"/>
  <c r="D1064" i="1"/>
  <c r="E1063" i="1"/>
  <c r="H1063" i="1"/>
  <c r="D1062" i="1"/>
  <c r="E1092" i="4"/>
  <c r="I1091" i="4"/>
  <c r="E1091" i="4"/>
  <c r="I1090" i="4"/>
  <c r="C1090" i="4"/>
  <c r="I1089" i="4"/>
  <c r="E1089" i="4"/>
  <c r="E1088" i="4"/>
  <c r="E1109" i="1"/>
  <c r="G1109" i="1"/>
  <c r="G1108" i="1"/>
  <c r="I1108" i="1"/>
  <c r="B1108" i="1"/>
  <c r="D1108" i="1"/>
  <c r="D1107" i="1"/>
  <c r="G1107" i="1"/>
  <c r="H1106" i="1"/>
  <c r="J1106" i="1"/>
  <c r="E1105" i="1"/>
  <c r="H1105" i="1"/>
  <c r="H1104" i="1"/>
  <c r="J1104" i="1"/>
  <c r="C1104" i="1"/>
  <c r="C1103" i="1"/>
  <c r="E1103" i="1"/>
  <c r="G1103" i="1"/>
  <c r="H1102" i="1"/>
  <c r="J1102" i="1"/>
  <c r="C1102" i="1"/>
  <c r="D1101" i="1"/>
  <c r="G1101" i="1"/>
  <c r="G1100" i="1"/>
  <c r="I1100" i="1"/>
  <c r="C1100" i="1"/>
  <c r="D1099" i="1"/>
  <c r="F1099" i="1"/>
  <c r="H1098" i="1"/>
  <c r="J1098" i="1"/>
  <c r="C1098" i="1"/>
  <c r="D1097" i="1"/>
  <c r="F1097" i="1"/>
  <c r="H1097" i="1"/>
  <c r="I1096" i="1"/>
  <c r="J1096" i="1"/>
  <c r="C1096" i="1"/>
  <c r="D1096" i="1"/>
  <c r="C1095" i="1"/>
  <c r="E1095" i="1"/>
  <c r="G1095" i="1"/>
  <c r="J1094" i="1"/>
  <c r="C1094" i="1"/>
  <c r="D1093" i="1"/>
  <c r="H1093" i="1"/>
  <c r="I1092" i="1"/>
  <c r="B1092" i="1"/>
  <c r="D1092" i="1"/>
  <c r="D1091" i="1"/>
  <c r="F1091" i="1"/>
  <c r="H1091" i="1"/>
  <c r="G1090" i="1"/>
  <c r="I1090" i="1"/>
  <c r="B1090" i="1"/>
  <c r="D1090" i="1"/>
  <c r="D1089" i="1"/>
  <c r="F1089" i="1"/>
  <c r="H1089" i="1"/>
  <c r="H1088" i="1"/>
  <c r="J1088" i="1"/>
  <c r="D1088" i="1"/>
  <c r="F1087" i="1"/>
  <c r="H1087" i="1"/>
  <c r="G1086" i="1"/>
  <c r="J1086" i="1"/>
  <c r="C1086" i="1"/>
  <c r="D1085" i="1"/>
  <c r="G1085" i="1"/>
  <c r="G1084" i="1"/>
  <c r="I1084" i="1"/>
  <c r="B1084" i="1"/>
  <c r="D1084" i="1"/>
  <c r="D1083" i="1"/>
  <c r="F1083" i="1"/>
  <c r="H1083" i="1"/>
  <c r="H1082" i="1"/>
  <c r="J1082" i="1"/>
  <c r="D1082" i="1"/>
  <c r="F1081" i="1"/>
  <c r="H1081" i="1"/>
  <c r="H1080" i="1"/>
  <c r="J1080" i="1"/>
  <c r="C1080" i="1"/>
  <c r="D1079" i="1"/>
  <c r="E1079" i="1"/>
  <c r="G1079" i="1"/>
  <c r="C1078" i="1"/>
  <c r="E1077" i="1"/>
  <c r="G1077" i="1"/>
  <c r="H1076" i="1"/>
  <c r="J1076" i="1"/>
  <c r="C1076" i="1"/>
  <c r="D1075" i="1"/>
  <c r="H1075" i="1"/>
  <c r="I1074" i="1"/>
  <c r="B1074" i="1"/>
  <c r="F1069" i="1"/>
  <c r="I1086" i="4"/>
  <c r="C1086" i="4"/>
  <c r="E1085" i="4"/>
  <c r="I1084" i="4"/>
  <c r="E1084" i="4"/>
  <c r="K1083" i="4"/>
  <c r="E1083" i="4"/>
  <c r="I1082" i="4"/>
  <c r="C1082" i="4"/>
  <c r="K1081" i="4"/>
  <c r="E1081" i="4"/>
  <c r="I1080" i="4"/>
  <c r="C1080" i="4"/>
  <c r="K1079" i="4"/>
  <c r="E1079" i="4"/>
  <c r="I1078" i="4"/>
  <c r="C1078" i="4"/>
  <c r="C1077" i="4"/>
  <c r="I1076" i="4"/>
  <c r="C1076" i="4"/>
  <c r="I1075" i="4"/>
  <c r="C1075" i="4"/>
  <c r="K1074" i="4"/>
  <c r="C1074" i="4"/>
  <c r="I1073" i="4"/>
  <c r="K1073" i="4"/>
  <c r="E1073" i="4"/>
  <c r="K1072" i="4"/>
  <c r="E1072" i="4"/>
  <c r="K1071" i="4"/>
  <c r="E1071" i="4"/>
  <c r="K1070" i="4"/>
  <c r="E1070" i="4"/>
  <c r="C1069" i="4"/>
  <c r="I1068" i="4"/>
  <c r="C1068" i="4"/>
  <c r="I1067" i="4"/>
  <c r="C1067" i="4"/>
  <c r="K1066" i="4"/>
  <c r="E1066" i="4"/>
  <c r="I1065" i="4"/>
  <c r="C1065" i="4"/>
  <c r="I1064" i="4"/>
  <c r="C1064" i="4"/>
  <c r="I1063" i="4"/>
  <c r="C1063" i="4"/>
  <c r="I1103" i="4"/>
  <c r="I1062" i="4"/>
  <c r="B1089" i="2"/>
  <c r="A1090" i="2"/>
  <c r="C1062" i="4"/>
  <c r="C1103" i="4"/>
  <c r="K1086" i="4"/>
  <c r="E1086" i="4"/>
  <c r="I1085" i="4"/>
  <c r="C1085" i="4"/>
  <c r="K1084" i="4"/>
  <c r="I1083" i="4"/>
  <c r="K1082" i="4"/>
  <c r="E1082" i="4"/>
  <c r="I1081" i="4"/>
  <c r="C1081" i="4"/>
  <c r="K1080" i="4"/>
  <c r="E1080" i="4"/>
  <c r="I1079" i="4"/>
  <c r="C1079" i="4"/>
  <c r="K1078" i="4"/>
  <c r="E1078" i="4"/>
  <c r="K1077" i="4"/>
  <c r="E1077" i="4"/>
  <c r="E1076" i="4"/>
  <c r="K1075" i="4"/>
  <c r="E1075" i="4"/>
  <c r="I1074" i="4"/>
  <c r="E1074" i="4"/>
  <c r="C1073" i="4"/>
  <c r="I1072" i="4"/>
  <c r="C1072" i="4"/>
  <c r="I1071" i="4"/>
  <c r="C1071" i="4"/>
  <c r="I1070" i="4"/>
  <c r="C1070" i="4"/>
  <c r="K1069" i="4"/>
  <c r="E1069" i="4"/>
  <c r="K1068" i="4"/>
  <c r="E1068" i="4"/>
  <c r="K1067" i="4"/>
  <c r="E1067" i="4"/>
  <c r="I1066" i="4"/>
  <c r="C1066" i="4"/>
  <c r="K1065" i="4"/>
  <c r="E1065" i="4"/>
  <c r="K1064" i="4"/>
  <c r="E1064" i="4"/>
  <c r="K1063" i="4"/>
  <c r="E1063" i="4"/>
  <c r="K1062" i="4"/>
  <c r="K1103" i="4"/>
  <c r="C1105" i="1"/>
  <c r="G1102" i="1"/>
  <c r="C1099" i="1"/>
  <c r="G1098" i="1"/>
  <c r="C1097" i="1"/>
  <c r="G1092" i="1"/>
  <c r="J1147" i="4"/>
  <c r="B1146" i="4"/>
  <c r="D1145" i="4"/>
  <c r="F1144" i="4"/>
  <c r="D1143" i="4"/>
  <c r="H1142" i="4"/>
  <c r="J1141" i="4"/>
  <c r="B1140" i="4"/>
  <c r="H1139" i="4"/>
  <c r="D1139" i="4"/>
  <c r="H1138" i="4"/>
  <c r="B1138" i="4"/>
  <c r="J1137" i="4"/>
  <c r="H1136" i="4"/>
  <c r="D1136" i="4"/>
  <c r="D1135" i="4"/>
  <c r="F1134" i="4"/>
  <c r="B1134" i="4"/>
  <c r="H1133" i="4"/>
  <c r="D1133" i="4"/>
  <c r="H1132" i="4"/>
  <c r="D1132" i="4"/>
  <c r="H1131" i="4"/>
  <c r="H1130" i="4"/>
  <c r="D1130" i="4"/>
  <c r="F1129" i="4"/>
  <c r="B1129" i="4"/>
  <c r="B1128" i="4"/>
  <c r="H1127" i="4"/>
  <c r="D1127" i="4"/>
  <c r="H1126" i="4"/>
  <c r="B1126" i="4"/>
  <c r="F1125" i="4"/>
  <c r="J1125" i="4"/>
  <c r="H1124" i="4"/>
  <c r="D1124" i="4"/>
  <c r="F1123" i="4"/>
  <c r="D1123" i="4"/>
  <c r="F1122" i="4"/>
  <c r="J1122" i="4"/>
  <c r="F1121" i="4"/>
  <c r="B1121" i="4"/>
  <c r="J1120" i="4"/>
  <c r="F1119" i="4"/>
  <c r="B1119" i="4"/>
  <c r="H1118" i="4"/>
  <c r="B1118" i="4"/>
  <c r="F1117" i="4"/>
  <c r="J1117" i="4"/>
  <c r="D1117" i="4"/>
  <c r="H1116" i="4"/>
  <c r="B1116" i="4"/>
  <c r="F1115" i="4"/>
  <c r="J1115" i="4"/>
  <c r="D1115" i="4"/>
  <c r="H1114" i="4"/>
  <c r="B1114" i="4"/>
  <c r="J1113" i="4"/>
  <c r="B1113" i="4"/>
  <c r="H1112" i="4"/>
  <c r="B1112" i="4"/>
  <c r="F1111" i="4"/>
  <c r="D1111" i="4"/>
  <c r="H1110" i="4"/>
  <c r="D1110" i="4"/>
  <c r="H1109" i="4"/>
  <c r="B1109" i="4"/>
  <c r="F1108" i="4"/>
  <c r="H1108" i="4"/>
  <c r="B1108" i="4"/>
  <c r="F1107" i="4"/>
  <c r="J1107" i="4"/>
  <c r="D1107" i="4"/>
  <c r="F1106" i="4"/>
  <c r="B1106" i="4"/>
  <c r="F1105" i="4"/>
  <c r="H1105" i="4"/>
  <c r="B1105" i="4"/>
  <c r="F1104" i="4"/>
  <c r="J1104" i="4"/>
  <c r="D1104" i="4"/>
  <c r="H1102" i="4"/>
  <c r="B1102" i="4"/>
  <c r="H1101" i="4"/>
  <c r="B1101" i="4"/>
  <c r="F1100" i="4"/>
  <c r="J1100" i="4"/>
  <c r="D1100" i="4"/>
  <c r="H1099" i="4"/>
  <c r="B1099" i="4"/>
  <c r="F1098" i="4"/>
  <c r="J1098" i="4"/>
  <c r="D1098" i="4"/>
  <c r="F1097" i="4"/>
  <c r="J1097" i="4"/>
  <c r="H1096" i="4"/>
  <c r="J1096" i="4"/>
  <c r="D1096" i="4"/>
  <c r="H1095" i="4"/>
  <c r="B1095" i="4"/>
  <c r="H1094" i="4"/>
  <c r="B1094" i="4"/>
  <c r="H1093" i="4"/>
  <c r="B1093" i="4"/>
  <c r="H1092" i="4"/>
  <c r="B1092" i="4"/>
  <c r="F1091" i="4"/>
  <c r="J1091" i="4"/>
  <c r="D1091" i="4"/>
  <c r="F1090" i="4"/>
  <c r="H1090" i="4"/>
  <c r="B1090" i="4"/>
  <c r="H1089" i="4"/>
  <c r="B1089" i="4"/>
  <c r="F1088" i="4"/>
  <c r="J1088" i="4"/>
  <c r="D1088" i="4"/>
  <c r="F1087" i="4"/>
  <c r="J1087" i="4"/>
  <c r="D1087" i="4"/>
  <c r="H1086" i="4"/>
  <c r="B1086" i="4"/>
  <c r="J1085" i="4"/>
  <c r="B1085" i="4"/>
  <c r="F1084" i="4"/>
  <c r="J1084" i="4"/>
  <c r="D1084" i="4"/>
  <c r="F1083" i="4"/>
  <c r="J1083" i="4"/>
  <c r="B1083" i="4"/>
  <c r="H1082" i="4"/>
  <c r="B1082" i="4"/>
  <c r="H1081" i="4"/>
  <c r="B1081" i="4"/>
  <c r="H1080" i="4"/>
  <c r="B1080" i="4"/>
  <c r="F1079" i="4"/>
  <c r="J1079" i="4"/>
  <c r="D1079" i="4"/>
  <c r="F1078" i="4"/>
  <c r="H1078" i="4"/>
  <c r="B1078" i="4"/>
  <c r="F1077" i="4"/>
  <c r="J1077" i="4"/>
  <c r="D1077" i="4"/>
  <c r="F1076" i="4"/>
  <c r="J1076" i="4"/>
  <c r="D1076" i="4"/>
  <c r="H1075" i="4"/>
  <c r="B1075" i="4"/>
  <c r="H1074" i="4"/>
  <c r="B1074" i="4"/>
  <c r="H1073" i="4"/>
  <c r="B1073" i="4"/>
  <c r="H1072" i="4"/>
  <c r="B1072" i="4"/>
  <c r="F1071" i="4"/>
  <c r="H1071" i="4"/>
  <c r="B1071" i="4"/>
  <c r="F1070" i="4"/>
  <c r="J1070" i="4"/>
  <c r="D1070" i="4"/>
  <c r="F1069" i="4"/>
  <c r="J1069" i="4"/>
  <c r="D1069" i="4"/>
  <c r="F1068" i="4"/>
  <c r="J1068" i="4"/>
  <c r="D1068" i="4"/>
  <c r="H1067" i="4"/>
  <c r="B1067" i="4"/>
  <c r="F1066" i="4"/>
  <c r="J1066" i="4"/>
  <c r="B1066" i="4"/>
  <c r="J1065" i="4"/>
  <c r="D1065" i="4"/>
  <c r="H1064" i="4"/>
  <c r="B1064" i="4"/>
  <c r="D1148" i="4"/>
  <c r="D1147" i="4"/>
  <c r="D1146" i="4"/>
  <c r="B1145" i="4"/>
  <c r="H1144" i="4"/>
  <c r="J1143" i="4"/>
  <c r="D1142" i="4"/>
  <c r="B1141" i="4"/>
  <c r="F1140" i="4"/>
  <c r="J1140" i="4"/>
  <c r="J1139" i="4"/>
  <c r="F1138" i="4"/>
  <c r="D1138" i="4"/>
  <c r="F1137" i="4"/>
  <c r="B1137" i="4"/>
  <c r="J1136" i="4"/>
  <c r="F1135" i="4"/>
  <c r="B1135" i="4"/>
  <c r="H1134" i="4"/>
  <c r="D1134" i="4"/>
  <c r="B1133" i="4"/>
  <c r="J1132" i="4"/>
  <c r="F1131" i="4"/>
  <c r="B1131" i="4"/>
  <c r="J1130" i="4"/>
  <c r="J1129" i="4"/>
  <c r="J1128" i="4"/>
  <c r="B1127" i="4"/>
  <c r="J1126" i="4"/>
  <c r="H1125" i="4"/>
  <c r="D1125" i="4"/>
  <c r="J1124" i="4"/>
  <c r="J1123" i="4"/>
  <c r="H1122" i="4"/>
  <c r="D1122" i="4"/>
  <c r="J1121" i="4"/>
  <c r="F1120" i="4"/>
  <c r="B1120" i="4"/>
  <c r="H1119" i="4"/>
  <c r="J1119" i="4"/>
  <c r="F1118" i="4"/>
  <c r="J1118" i="4"/>
  <c r="D1118" i="4"/>
  <c r="H1117" i="4"/>
  <c r="B1117" i="4"/>
  <c r="F1116" i="4"/>
  <c r="J1116" i="4"/>
  <c r="D1116" i="4"/>
  <c r="H1115" i="4"/>
  <c r="B1115" i="4"/>
  <c r="F1114" i="4"/>
  <c r="J1114" i="4"/>
  <c r="D1114" i="4"/>
  <c r="F1113" i="4"/>
  <c r="H1113" i="4"/>
  <c r="D1113" i="4"/>
  <c r="F1112" i="4"/>
  <c r="J1112" i="4"/>
  <c r="D1112" i="4"/>
  <c r="H1111" i="4"/>
  <c r="B1111" i="4"/>
  <c r="F1110" i="4"/>
  <c r="J1110" i="4"/>
  <c r="B1110" i="4"/>
  <c r="F1109" i="4"/>
  <c r="J1109" i="4"/>
  <c r="D1109" i="4"/>
  <c r="J1108" i="4"/>
  <c r="D1108" i="4"/>
  <c r="H1107" i="4"/>
  <c r="B1107" i="4"/>
  <c r="J1106" i="4"/>
  <c r="D1106" i="4"/>
  <c r="J1105" i="4"/>
  <c r="D1105" i="4"/>
  <c r="H1104" i="4"/>
  <c r="B1104" i="4"/>
  <c r="F1102" i="4"/>
  <c r="J1102" i="4"/>
  <c r="F1101" i="4"/>
  <c r="J1101" i="4"/>
  <c r="D1101" i="4"/>
  <c r="H1100" i="4"/>
  <c r="B1100" i="4"/>
  <c r="F1099" i="4"/>
  <c r="J1099" i="4"/>
  <c r="D1099" i="4"/>
  <c r="H1098" i="4"/>
  <c r="B1098" i="4"/>
  <c r="H1097" i="4"/>
  <c r="D1097" i="4"/>
  <c r="F1096" i="4"/>
  <c r="B1096" i="4"/>
  <c r="F1095" i="4"/>
  <c r="J1095" i="4"/>
  <c r="D1095" i="4"/>
  <c r="F1094" i="4"/>
  <c r="J1094" i="4"/>
  <c r="D1094" i="4"/>
  <c r="F1093" i="4"/>
  <c r="D1093" i="4"/>
  <c r="F1092" i="4"/>
  <c r="J1092" i="4"/>
  <c r="D1092" i="4"/>
  <c r="H1091" i="4"/>
  <c r="B1091" i="4"/>
  <c r="J1090" i="4"/>
  <c r="D1090" i="4"/>
  <c r="F1089" i="4"/>
  <c r="J1089" i="4"/>
  <c r="D1089" i="4"/>
  <c r="H1088" i="4"/>
  <c r="B1088" i="4"/>
  <c r="H1087" i="4"/>
  <c r="B1087" i="4"/>
  <c r="F1086" i="4"/>
  <c r="J1086" i="4"/>
  <c r="D1086" i="4"/>
  <c r="H1085" i="4"/>
  <c r="D1085" i="4"/>
  <c r="H1084" i="4"/>
  <c r="B1084" i="4"/>
  <c r="H1083" i="4"/>
  <c r="D1083" i="4"/>
  <c r="F1082" i="4"/>
  <c r="J1082" i="4"/>
  <c r="D1082" i="4"/>
  <c r="F1081" i="4"/>
  <c r="J1081" i="4"/>
  <c r="D1081" i="4"/>
  <c r="F1080" i="4"/>
  <c r="J1080" i="4"/>
  <c r="H1079" i="4"/>
  <c r="B1079" i="4"/>
  <c r="J1078" i="4"/>
  <c r="D1078" i="4"/>
  <c r="H1077" i="4"/>
  <c r="B1077" i="4"/>
  <c r="H1076" i="4"/>
  <c r="B1076" i="4"/>
  <c r="F1075" i="4"/>
  <c r="J1075" i="4"/>
  <c r="D1075" i="4"/>
  <c r="F1074" i="4"/>
  <c r="J1074" i="4"/>
  <c r="D1074" i="4"/>
  <c r="F1073" i="4"/>
  <c r="J1073" i="4"/>
  <c r="D1073" i="4"/>
  <c r="F1072" i="4"/>
  <c r="J1072" i="4"/>
  <c r="D1072" i="4"/>
  <c r="J1071" i="4"/>
  <c r="D1071" i="4"/>
  <c r="H1070" i="4"/>
  <c r="B1070" i="4"/>
  <c r="H1069" i="4"/>
  <c r="B1069" i="4"/>
  <c r="H1068" i="4"/>
  <c r="B1068" i="4"/>
  <c r="F1067" i="4"/>
  <c r="J1067" i="4"/>
  <c r="D1067" i="4"/>
  <c r="H1066" i="4"/>
  <c r="D1066" i="4"/>
  <c r="H1065" i="4"/>
  <c r="B1065" i="4"/>
  <c r="F1064" i="4"/>
  <c r="J1064" i="4"/>
  <c r="D1064" i="4"/>
  <c r="H1146" i="4"/>
  <c r="J1145" i="4"/>
  <c r="D1144" i="4"/>
  <c r="J1142" i="4"/>
  <c r="H1141" i="4"/>
  <c r="D1141" i="4"/>
  <c r="H1140" i="4"/>
  <c r="D1140" i="4"/>
  <c r="F1139" i="4"/>
  <c r="B1139" i="4"/>
  <c r="J1138" i="4"/>
  <c r="D1137" i="4"/>
  <c r="F1136" i="4"/>
  <c r="B1136" i="4"/>
  <c r="J1135" i="4"/>
  <c r="J1134" i="4"/>
  <c r="F1133" i="4"/>
  <c r="J1133" i="4"/>
  <c r="F1132" i="4"/>
  <c r="B1132" i="4"/>
  <c r="J1131" i="4"/>
  <c r="F1130" i="4"/>
  <c r="B1130" i="4"/>
  <c r="H1129" i="4"/>
  <c r="D1129" i="4"/>
  <c r="H1128" i="4"/>
  <c r="D1128" i="4"/>
  <c r="F1127" i="4"/>
  <c r="J1127" i="4"/>
  <c r="F1126" i="4"/>
  <c r="D1126" i="4"/>
  <c r="B1125" i="4"/>
  <c r="F1124" i="4"/>
  <c r="B1124" i="4"/>
  <c r="H1123" i="4"/>
  <c r="B1122" i="4"/>
  <c r="H1121" i="4"/>
  <c r="D1121" i="4"/>
  <c r="H1120" i="4"/>
  <c r="D1119" i="4"/>
  <c r="C1109" i="1"/>
  <c r="G1104" i="1"/>
  <c r="C1101" i="1"/>
  <c r="G1096" i="1"/>
  <c r="C1093" i="1"/>
  <c r="C1091" i="1"/>
  <c r="C1089" i="1"/>
  <c r="G1088" i="1"/>
  <c r="C1087" i="1"/>
  <c r="C1085" i="1"/>
  <c r="C1083" i="1"/>
  <c r="G1080" i="1"/>
  <c r="G1078" i="1"/>
  <c r="C1077" i="1"/>
  <c r="G1076" i="1"/>
  <c r="C1075" i="1"/>
  <c r="G1072" i="1"/>
  <c r="C1069" i="1"/>
  <c r="C1067" i="1"/>
  <c r="G1066" i="1"/>
  <c r="G1065" i="1"/>
  <c r="G1064" i="1"/>
  <c r="G1062" i="1"/>
  <c r="J1063" i="4"/>
  <c r="D1063" i="4"/>
  <c r="B1103" i="4"/>
  <c r="B1062" i="4"/>
  <c r="F1063" i="4"/>
  <c r="H1063" i="4"/>
  <c r="B1063" i="4"/>
  <c r="F1062" i="4"/>
  <c r="F1103" i="4"/>
  <c r="H1062" i="4"/>
  <c r="H1103" i="4"/>
  <c r="J1062" i="4"/>
  <c r="J1103" i="4"/>
  <c r="D1103" i="4"/>
  <c r="D1062" i="4"/>
  <c r="C1108" i="3"/>
  <c r="C1107" i="3"/>
  <c r="C1106" i="3"/>
  <c r="C1104" i="3"/>
  <c r="C1101" i="3"/>
  <c r="C1099" i="3"/>
  <c r="C1098" i="3"/>
  <c r="C1097" i="3"/>
  <c r="C1096" i="3"/>
  <c r="C1095" i="3"/>
  <c r="C1094" i="3"/>
  <c r="C1092" i="3"/>
  <c r="C1091" i="3"/>
  <c r="C1090" i="3"/>
  <c r="C1089" i="3"/>
  <c r="C1088" i="3"/>
  <c r="C1086" i="3"/>
  <c r="C1084" i="3"/>
  <c r="C1083" i="3"/>
  <c r="C1082" i="3"/>
  <c r="C1080" i="3"/>
  <c r="C1078" i="3"/>
  <c r="C1077" i="3"/>
  <c r="C1075" i="3"/>
  <c r="C1074" i="3"/>
  <c r="C1073" i="3"/>
  <c r="C1072" i="3"/>
  <c r="C1070" i="3"/>
  <c r="C1069" i="3"/>
  <c r="C1068" i="3"/>
  <c r="C1066" i="3"/>
  <c r="C1065" i="3"/>
  <c r="C1063" i="3"/>
  <c r="B1109" i="3"/>
  <c r="B1108" i="3"/>
  <c r="B1106" i="3"/>
  <c r="B1104" i="3"/>
  <c r="B1103" i="3"/>
  <c r="B1101" i="3"/>
  <c r="B1099" i="3"/>
  <c r="B1097" i="3"/>
  <c r="B1096" i="3"/>
  <c r="B1094" i="3"/>
  <c r="B1092" i="3"/>
  <c r="B1091" i="3"/>
  <c r="B1090" i="3"/>
  <c r="B1089" i="3"/>
  <c r="B1088" i="3"/>
  <c r="B1087" i="3"/>
  <c r="B1086" i="3"/>
  <c r="B1084" i="3"/>
  <c r="B1082" i="3"/>
  <c r="B1081" i="3"/>
  <c r="B1080" i="3"/>
  <c r="B1078" i="3"/>
  <c r="B1075" i="3"/>
  <c r="B1073" i="3"/>
  <c r="B1072" i="3"/>
  <c r="B1071" i="3"/>
  <c r="B1069" i="3"/>
  <c r="B1068" i="3"/>
  <c r="B1066" i="3"/>
  <c r="B1064" i="3"/>
  <c r="B1063" i="3"/>
  <c r="H1148" i="4"/>
  <c r="B1147" i="4"/>
  <c r="F1145" i="4"/>
  <c r="H1143" i="4"/>
  <c r="E1105" i="3"/>
  <c r="E1097" i="3"/>
  <c r="E1089" i="3"/>
  <c r="E1084" i="3"/>
  <c r="E1082" i="3"/>
  <c r="E1080" i="3"/>
  <c r="E1078" i="3"/>
  <c r="E1076" i="3"/>
  <c r="E1074" i="3"/>
  <c r="E1072" i="3"/>
  <c r="E1070" i="3"/>
  <c r="E1068" i="3"/>
  <c r="E1066" i="3"/>
  <c r="E1064" i="3"/>
  <c r="E1062" i="3"/>
  <c r="F1148" i="4"/>
  <c r="J1148" i="4"/>
  <c r="B1148" i="4"/>
  <c r="F1147" i="4"/>
  <c r="F1146" i="4"/>
  <c r="H1145" i="4"/>
  <c r="J1144" i="4"/>
  <c r="B1144" i="4"/>
  <c r="B1143" i="4"/>
  <c r="F1142" i="4"/>
  <c r="B1142" i="4"/>
  <c r="D1102" i="3"/>
  <c r="D1094" i="3"/>
  <c r="D1086" i="3"/>
  <c r="I1148" i="4"/>
  <c r="K1147" i="4"/>
  <c r="C1147" i="4"/>
  <c r="I1144" i="4"/>
  <c r="K1143" i="4"/>
  <c r="C1143" i="4"/>
  <c r="I1140" i="4"/>
  <c r="K1138" i="4"/>
  <c r="C1137" i="4"/>
  <c r="C1136" i="4"/>
  <c r="I1131" i="4"/>
  <c r="I1130" i="4"/>
  <c r="I1129" i="4"/>
  <c r="K1129" i="4"/>
  <c r="I1128" i="4"/>
  <c r="I1127" i="4"/>
  <c r="I1126" i="4"/>
  <c r="I1125" i="4"/>
  <c r="K1111" i="4"/>
  <c r="K1110" i="4"/>
  <c r="K1109" i="4"/>
  <c r="K1108" i="4"/>
  <c r="I1107" i="4"/>
  <c r="I1106" i="4"/>
  <c r="I1105" i="4"/>
  <c r="K1128" i="4"/>
  <c r="K1127" i="4"/>
  <c r="C1126" i="4"/>
  <c r="I1119" i="4"/>
  <c r="K1117" i="4"/>
  <c r="C1116" i="4"/>
  <c r="C1115" i="4"/>
  <c r="I1109" i="4"/>
  <c r="I1108" i="4"/>
  <c r="K1106" i="4"/>
  <c r="C1105" i="4"/>
  <c r="I1098" i="4"/>
  <c r="K1096" i="4"/>
  <c r="K1095" i="4"/>
  <c r="C1094" i="4"/>
  <c r="I1087" i="4"/>
  <c r="K1085" i="4"/>
  <c r="C1084" i="4"/>
  <c r="C1083" i="4"/>
  <c r="I1077" i="4"/>
  <c r="E1111" i="3" l="1"/>
  <c r="A1112" i="3"/>
  <c r="B1111" i="3"/>
  <c r="C1111" i="3"/>
  <c r="D1111" i="3"/>
  <c r="B1090" i="2"/>
  <c r="A1091" i="2"/>
  <c r="E1111" i="1"/>
  <c r="N1111" i="1"/>
  <c r="G1111" i="1"/>
  <c r="Q1111" i="1"/>
  <c r="H1111" i="1"/>
  <c r="A1112" i="1"/>
  <c r="M1111" i="1"/>
  <c r="B1111" i="1"/>
  <c r="O1111" i="1"/>
  <c r="C1111" i="1"/>
  <c r="P1111" i="1"/>
  <c r="D1111" i="1"/>
  <c r="F1111" i="1"/>
  <c r="I1111" i="1"/>
  <c r="L1111" i="1"/>
  <c r="J1111" i="1"/>
  <c r="A1092" i="2" l="1"/>
  <c r="B1091" i="2"/>
  <c r="E1112" i="1"/>
  <c r="N1112" i="1"/>
  <c r="I1112" i="1"/>
  <c r="J1112" i="1"/>
  <c r="H1112" i="1"/>
  <c r="L1112" i="1"/>
  <c r="M1112" i="1"/>
  <c r="B1112" i="1"/>
  <c r="O1112" i="1"/>
  <c r="G1112" i="1"/>
  <c r="P1112" i="1"/>
  <c r="Q1112" i="1"/>
  <c r="A1113" i="1"/>
  <c r="C1112" i="1"/>
  <c r="D1112" i="1"/>
  <c r="F1112" i="1"/>
  <c r="B1112" i="3"/>
  <c r="C1112" i="3"/>
  <c r="D1112" i="3"/>
  <c r="E1112" i="3"/>
  <c r="A1113" i="3"/>
  <c r="E1113" i="3" l="1"/>
  <c r="D1113" i="3"/>
  <c r="A1114" i="3"/>
  <c r="C1113" i="3"/>
  <c r="B1113" i="3"/>
  <c r="E1113" i="1"/>
  <c r="N1113" i="1"/>
  <c r="B1113" i="1"/>
  <c r="L1113" i="1"/>
  <c r="C1113" i="1"/>
  <c r="M1113" i="1"/>
  <c r="F1113" i="1"/>
  <c r="A1114" i="1"/>
  <c r="G1113" i="1"/>
  <c r="H1113" i="1"/>
  <c r="I1113" i="1"/>
  <c r="Q1113" i="1"/>
  <c r="D1113" i="1"/>
  <c r="P1113" i="1"/>
  <c r="O1113" i="1"/>
  <c r="J1113" i="1"/>
  <c r="A1093" i="2"/>
  <c r="B1092" i="2"/>
  <c r="B1114" i="3" l="1"/>
  <c r="C1114" i="3"/>
  <c r="D1114" i="3"/>
  <c r="E1114" i="3"/>
  <c r="A1115" i="3"/>
  <c r="B1093" i="2"/>
  <c r="A1094" i="2"/>
  <c r="E1114" i="1"/>
  <c r="N1114" i="1"/>
  <c r="D1114" i="1"/>
  <c r="O1114" i="1"/>
  <c r="F1114" i="1"/>
  <c r="P1114" i="1"/>
  <c r="M1114" i="1"/>
  <c r="B1114" i="1"/>
  <c r="Q1114" i="1"/>
  <c r="C1114" i="1"/>
  <c r="A1115" i="1"/>
  <c r="G1114" i="1"/>
  <c r="H1114" i="1"/>
  <c r="L1114" i="1"/>
  <c r="I1114" i="1"/>
  <c r="J1114" i="1"/>
  <c r="B1094" i="2" l="1"/>
  <c r="A1095" i="2"/>
  <c r="C1115" i="3"/>
  <c r="D1115" i="3"/>
  <c r="E1115" i="3"/>
  <c r="A1116" i="3"/>
  <c r="B1115" i="3"/>
  <c r="E1115" i="1"/>
  <c r="N1115" i="1"/>
  <c r="G1115" i="1"/>
  <c r="Q1115" i="1"/>
  <c r="H1115" i="1"/>
  <c r="A1116" i="1"/>
  <c r="J1115" i="1"/>
  <c r="L1115" i="1"/>
  <c r="M1115" i="1"/>
  <c r="B1115" i="1"/>
  <c r="O1115" i="1"/>
  <c r="I1115" i="1"/>
  <c r="P1115" i="1"/>
  <c r="C1115" i="1"/>
  <c r="D1115" i="1"/>
  <c r="F1115" i="1"/>
  <c r="B1095" i="2" l="1"/>
  <c r="A1096" i="2"/>
  <c r="D1116" i="3"/>
  <c r="E1116" i="3"/>
  <c r="A1117" i="3"/>
  <c r="B1116" i="3"/>
  <c r="C1116" i="3"/>
  <c r="E1116" i="1"/>
  <c r="N1116" i="1"/>
  <c r="I1116" i="1"/>
  <c r="J1116" i="1"/>
  <c r="F1116" i="1"/>
  <c r="A1117" i="1"/>
  <c r="G1116" i="1"/>
  <c r="H1116" i="1"/>
  <c r="L1116" i="1"/>
  <c r="Q1116" i="1"/>
  <c r="B1116" i="1"/>
  <c r="D1116" i="1"/>
  <c r="C1116" i="1"/>
  <c r="M1116" i="1"/>
  <c r="O1116" i="1"/>
  <c r="P1116" i="1"/>
  <c r="A1097" i="2" l="1"/>
  <c r="B1096" i="2"/>
  <c r="E1117" i="1"/>
  <c r="N1117" i="1"/>
  <c r="B1117" i="1"/>
  <c r="L1117" i="1"/>
  <c r="C1117" i="1"/>
  <c r="M1117" i="1"/>
  <c r="P1117" i="1"/>
  <c r="D1117" i="1"/>
  <c r="Q1117" i="1"/>
  <c r="F1117" i="1"/>
  <c r="A1118" i="1"/>
  <c r="G1117" i="1"/>
  <c r="I1117" i="1"/>
  <c r="J1117" i="1"/>
  <c r="H1117" i="1"/>
  <c r="O1117" i="1"/>
  <c r="B1117" i="3"/>
  <c r="C1117" i="3"/>
  <c r="D1117" i="3"/>
  <c r="E1117" i="3"/>
  <c r="A1118" i="3"/>
  <c r="B1097" i="2" l="1"/>
  <c r="A1098" i="2"/>
  <c r="E1118" i="3"/>
  <c r="A1119" i="3"/>
  <c r="B1118" i="3"/>
  <c r="D1118" i="3"/>
  <c r="C1118" i="3"/>
  <c r="E1118" i="1"/>
  <c r="N1118" i="1"/>
  <c r="D1118" i="1"/>
  <c r="O1118" i="1"/>
  <c r="F1118" i="1"/>
  <c r="P1118" i="1"/>
  <c r="J1118" i="1"/>
  <c r="L1118" i="1"/>
  <c r="M1118" i="1"/>
  <c r="B1118" i="1"/>
  <c r="Q1118" i="1"/>
  <c r="I1118" i="1"/>
  <c r="A1119" i="1"/>
  <c r="G1118" i="1"/>
  <c r="H1118" i="1"/>
  <c r="C1118" i="1"/>
  <c r="F1119" i="1" l="1"/>
  <c r="O1119" i="1"/>
  <c r="G1119" i="1"/>
  <c r="P1119" i="1"/>
  <c r="E1119" i="1"/>
  <c r="A1120" i="1"/>
  <c r="H1119" i="1"/>
  <c r="I1119" i="1"/>
  <c r="J1119" i="1"/>
  <c r="Q1119" i="1"/>
  <c r="D1119" i="1"/>
  <c r="B1119" i="1"/>
  <c r="C1119" i="1"/>
  <c r="M1119" i="1"/>
  <c r="L1119" i="1"/>
  <c r="N1119" i="1"/>
  <c r="B1119" i="3"/>
  <c r="C1119" i="3"/>
  <c r="D1119" i="3"/>
  <c r="E1119" i="3"/>
  <c r="A1120" i="3"/>
  <c r="B1098" i="2"/>
  <c r="A1099" i="2"/>
  <c r="C1120" i="3" l="1"/>
  <c r="D1120" i="3"/>
  <c r="E1120" i="3"/>
  <c r="B1120" i="3"/>
  <c r="A1121" i="3"/>
  <c r="A1100" i="2"/>
  <c r="B1099" i="2"/>
  <c r="F1120" i="1"/>
  <c r="O1120" i="1"/>
  <c r="G1120" i="1"/>
  <c r="P1120" i="1"/>
  <c r="L1120" i="1"/>
  <c r="B1120" i="1"/>
  <c r="M1120" i="1"/>
  <c r="C1120" i="1"/>
  <c r="N1120" i="1"/>
  <c r="D1120" i="1"/>
  <c r="Q1120" i="1"/>
  <c r="E1120" i="1"/>
  <c r="H1120" i="1"/>
  <c r="J1120" i="1"/>
  <c r="I1120" i="1"/>
  <c r="A1121" i="1"/>
  <c r="F1121" i="1" l="1"/>
  <c r="O1121" i="1"/>
  <c r="G1121" i="1"/>
  <c r="P1121" i="1"/>
  <c r="E1121" i="1"/>
  <c r="A1122" i="1"/>
  <c r="H1121" i="1"/>
  <c r="I1121" i="1"/>
  <c r="J1121" i="1"/>
  <c r="D1121" i="1"/>
  <c r="M1121" i="1"/>
  <c r="N1121" i="1"/>
  <c r="L1121" i="1"/>
  <c r="Q1121" i="1"/>
  <c r="B1121" i="1"/>
  <c r="C1121" i="1"/>
  <c r="A1101" i="2"/>
  <c r="B1100" i="2"/>
  <c r="A1122" i="3"/>
  <c r="D1121" i="3"/>
  <c r="E1121" i="3"/>
  <c r="C1121" i="3"/>
  <c r="B1121" i="3"/>
  <c r="F1122" i="1" l="1"/>
  <c r="O1122" i="1"/>
  <c r="G1122" i="1"/>
  <c r="P1122" i="1"/>
  <c r="L1122" i="1"/>
  <c r="B1122" i="1"/>
  <c r="M1122" i="1"/>
  <c r="C1122" i="1"/>
  <c r="N1122" i="1"/>
  <c r="D1122" i="1"/>
  <c r="Q1122" i="1"/>
  <c r="J1122" i="1"/>
  <c r="A1123" i="1"/>
  <c r="E1122" i="1"/>
  <c r="H1122" i="1"/>
  <c r="I1122" i="1"/>
  <c r="B1122" i="3"/>
  <c r="C1122" i="3"/>
  <c r="D1122" i="3"/>
  <c r="E1122" i="3"/>
  <c r="A1123" i="3"/>
  <c r="B1101" i="2"/>
  <c r="A1102" i="2"/>
  <c r="B1102" i="2" l="1"/>
  <c r="A1103" i="2"/>
  <c r="F1123" i="1"/>
  <c r="O1123" i="1"/>
  <c r="G1123" i="1"/>
  <c r="P1123" i="1"/>
  <c r="E1123" i="1"/>
  <c r="A1124" i="1"/>
  <c r="H1123" i="1"/>
  <c r="I1123" i="1"/>
  <c r="J1123" i="1"/>
  <c r="Q1123" i="1"/>
  <c r="B1123" i="1"/>
  <c r="D1123" i="1"/>
  <c r="C1123" i="1"/>
  <c r="L1123" i="1"/>
  <c r="M1123" i="1"/>
  <c r="N1123" i="1"/>
  <c r="D1123" i="3"/>
  <c r="E1123" i="3"/>
  <c r="A1124" i="3"/>
  <c r="B1123" i="3"/>
  <c r="C1123" i="3"/>
  <c r="F1124" i="1" l="1"/>
  <c r="O1124" i="1"/>
  <c r="G1124" i="1"/>
  <c r="P1124" i="1"/>
  <c r="L1124" i="1"/>
  <c r="B1124" i="1"/>
  <c r="M1124" i="1"/>
  <c r="C1124" i="1"/>
  <c r="N1124" i="1"/>
  <c r="D1124" i="1"/>
  <c r="Q1124" i="1"/>
  <c r="E1124" i="1"/>
  <c r="J1124" i="1"/>
  <c r="I1124" i="1"/>
  <c r="H1124" i="1"/>
  <c r="A1125" i="1"/>
  <c r="C1124" i="3"/>
  <c r="D1124" i="3"/>
  <c r="E1124" i="3"/>
  <c r="A1125" i="3"/>
  <c r="B1124" i="3"/>
  <c r="B1103" i="2"/>
  <c r="A1104" i="2"/>
  <c r="B1125" i="3" l="1"/>
  <c r="C1125" i="3"/>
  <c r="D1125" i="3"/>
  <c r="A1126" i="3"/>
  <c r="E1125" i="3"/>
  <c r="F1125" i="1"/>
  <c r="O1125" i="1"/>
  <c r="G1125" i="1"/>
  <c r="P1125" i="1"/>
  <c r="E1125" i="1"/>
  <c r="A1126" i="1"/>
  <c r="H1125" i="1"/>
  <c r="I1125" i="1"/>
  <c r="J1125" i="1"/>
  <c r="D1125" i="1"/>
  <c r="M1125" i="1"/>
  <c r="N1125" i="1"/>
  <c r="L1125" i="1"/>
  <c r="Q1125" i="1"/>
  <c r="C1125" i="1"/>
  <c r="B1125" i="1"/>
  <c r="A1105" i="2"/>
  <c r="B1104" i="2"/>
  <c r="B1105" i="2" l="1"/>
  <c r="A1106" i="2"/>
  <c r="E1126" i="3"/>
  <c r="A1127" i="3"/>
  <c r="D1126" i="3"/>
  <c r="B1126" i="3"/>
  <c r="C1126" i="3"/>
  <c r="F1126" i="1"/>
  <c r="O1126" i="1"/>
  <c r="G1126" i="1"/>
  <c r="P1126" i="1"/>
  <c r="L1126" i="1"/>
  <c r="B1126" i="1"/>
  <c r="M1126" i="1"/>
  <c r="C1126" i="1"/>
  <c r="N1126" i="1"/>
  <c r="D1126" i="1"/>
  <c r="Q1126" i="1"/>
  <c r="J1126" i="1"/>
  <c r="A1127" i="1"/>
  <c r="E1126" i="1"/>
  <c r="I1126" i="1"/>
  <c r="H1126" i="1"/>
  <c r="B1106" i="2" l="1"/>
  <c r="A1107" i="2"/>
  <c r="F1127" i="1"/>
  <c r="O1127" i="1"/>
  <c r="G1127" i="1"/>
  <c r="P1127" i="1"/>
  <c r="E1127" i="1"/>
  <c r="A1128" i="1"/>
  <c r="H1127" i="1"/>
  <c r="I1127" i="1"/>
  <c r="J1127" i="1"/>
  <c r="Q1127" i="1"/>
  <c r="B1127" i="1"/>
  <c r="C1127" i="1"/>
  <c r="D1127" i="1"/>
  <c r="L1127" i="1"/>
  <c r="M1127" i="1"/>
  <c r="N1127" i="1"/>
  <c r="B1127" i="3"/>
  <c r="C1127" i="3"/>
  <c r="D1127" i="3"/>
  <c r="E1127" i="3"/>
  <c r="A1128" i="3"/>
  <c r="A1108" i="2" l="1"/>
  <c r="B1107" i="2"/>
  <c r="F1128" i="1"/>
  <c r="O1128" i="1"/>
  <c r="G1128" i="1"/>
  <c r="P1128" i="1"/>
  <c r="L1128" i="1"/>
  <c r="B1128" i="1"/>
  <c r="M1128" i="1"/>
  <c r="C1128" i="1"/>
  <c r="N1128" i="1"/>
  <c r="D1128" i="1"/>
  <c r="Q1128" i="1"/>
  <c r="E1128" i="1"/>
  <c r="H1128" i="1"/>
  <c r="J1128" i="1"/>
  <c r="I1128" i="1"/>
  <c r="A1129" i="1"/>
  <c r="C1128" i="3"/>
  <c r="D1128" i="3"/>
  <c r="E1128" i="3"/>
  <c r="B1128" i="3"/>
  <c r="A1129" i="3"/>
  <c r="A1130" i="3" l="1"/>
  <c r="C1129" i="3"/>
  <c r="D1129" i="3"/>
  <c r="E1129" i="3"/>
  <c r="B1129" i="3"/>
  <c r="F1129" i="1"/>
  <c r="O1129" i="1"/>
  <c r="G1129" i="1"/>
  <c r="P1129" i="1"/>
  <c r="E1129" i="1"/>
  <c r="A1130" i="1"/>
  <c r="H1129" i="1"/>
  <c r="I1129" i="1"/>
  <c r="J1129" i="1"/>
  <c r="D1129" i="1"/>
  <c r="N1129" i="1"/>
  <c r="Q1129" i="1"/>
  <c r="L1129" i="1"/>
  <c r="M1129" i="1"/>
  <c r="B1129" i="1"/>
  <c r="C1129" i="1"/>
  <c r="A1109" i="2"/>
  <c r="B1108" i="2"/>
  <c r="F1130" i="1" l="1"/>
  <c r="O1130" i="1"/>
  <c r="G1130" i="1"/>
  <c r="P1130" i="1"/>
  <c r="L1130" i="1"/>
  <c r="B1130" i="1"/>
  <c r="M1130" i="1"/>
  <c r="C1130" i="1"/>
  <c r="N1130" i="1"/>
  <c r="D1130" i="1"/>
  <c r="Q1130" i="1"/>
  <c r="J1130" i="1"/>
  <c r="A1131" i="1"/>
  <c r="E1130" i="1"/>
  <c r="H1130" i="1"/>
  <c r="I1130" i="1"/>
  <c r="B1109" i="2"/>
  <c r="A1110" i="2"/>
  <c r="B1130" i="3"/>
  <c r="C1130" i="3"/>
  <c r="D1130" i="3"/>
  <c r="E1130" i="3"/>
  <c r="A1131" i="3"/>
  <c r="F1131" i="1" l="1"/>
  <c r="O1131" i="1"/>
  <c r="G1131" i="1"/>
  <c r="P1131" i="1"/>
  <c r="E1131" i="1"/>
  <c r="A1132" i="1"/>
  <c r="H1131" i="1"/>
  <c r="I1131" i="1"/>
  <c r="J1131" i="1"/>
  <c r="Q1131" i="1"/>
  <c r="B1131" i="1"/>
  <c r="C1131" i="1"/>
  <c r="D1131" i="1"/>
  <c r="L1131" i="1"/>
  <c r="M1131" i="1"/>
  <c r="N1131" i="1"/>
  <c r="D1131" i="3"/>
  <c r="E1131" i="3"/>
  <c r="A1132" i="3"/>
  <c r="C1131" i="3"/>
  <c r="B1131" i="3"/>
  <c r="G1110" i="2"/>
  <c r="H1110" i="2"/>
  <c r="I1110" i="2"/>
  <c r="B1110" i="2"/>
  <c r="J1110" i="2"/>
  <c r="F1110" i="2"/>
  <c r="A1111" i="2"/>
  <c r="C1110" i="2"/>
  <c r="E1110" i="2"/>
  <c r="D1110" i="2"/>
  <c r="F1132" i="1" l="1"/>
  <c r="O1132" i="1"/>
  <c r="G1132" i="1"/>
  <c r="P1132" i="1"/>
  <c r="L1132" i="1"/>
  <c r="B1132" i="1"/>
  <c r="M1132" i="1"/>
  <c r="C1132" i="1"/>
  <c r="N1132" i="1"/>
  <c r="D1132" i="1"/>
  <c r="Q1132" i="1"/>
  <c r="E1132" i="1"/>
  <c r="H1132" i="1"/>
  <c r="J1132" i="1"/>
  <c r="I1132" i="1"/>
  <c r="A1133" i="1"/>
  <c r="E1111" i="2"/>
  <c r="F1111" i="2"/>
  <c r="G1111" i="2"/>
  <c r="H1111" i="2"/>
  <c r="C1111" i="2"/>
  <c r="D1111" i="2"/>
  <c r="B1111" i="2"/>
  <c r="I1111" i="2"/>
  <c r="J1111" i="2"/>
  <c r="A1112" i="2"/>
  <c r="B1132" i="3"/>
  <c r="C1132" i="3"/>
  <c r="D1132" i="3"/>
  <c r="E1132" i="3"/>
  <c r="A1133" i="3"/>
  <c r="F1133" i="1" l="1"/>
  <c r="O1133" i="1"/>
  <c r="G1133" i="1"/>
  <c r="P1133" i="1"/>
  <c r="E1133" i="1"/>
  <c r="A1134" i="1"/>
  <c r="H1133" i="1"/>
  <c r="I1133" i="1"/>
  <c r="J1133" i="1"/>
  <c r="D1133" i="1"/>
  <c r="L1133" i="1"/>
  <c r="M1133" i="1"/>
  <c r="N1133" i="1"/>
  <c r="Q1133" i="1"/>
  <c r="B1133" i="1"/>
  <c r="C1133" i="1"/>
  <c r="B1133" i="3"/>
  <c r="C1133" i="3"/>
  <c r="A1134" i="3"/>
  <c r="D1133" i="3"/>
  <c r="E1133" i="3"/>
  <c r="C1112" i="2"/>
  <c r="A1113" i="2"/>
  <c r="D1112" i="2"/>
  <c r="E1112" i="2"/>
  <c r="F1112" i="2"/>
  <c r="I1112" i="2"/>
  <c r="J1112" i="2"/>
  <c r="H1112" i="2"/>
  <c r="B1112" i="2"/>
  <c r="G1112" i="2"/>
  <c r="E1134" i="3" l="1"/>
  <c r="A1135" i="3"/>
  <c r="B1134" i="3"/>
  <c r="C1134" i="3"/>
  <c r="D1134" i="3"/>
  <c r="I1113" i="2"/>
  <c r="B1113" i="2"/>
  <c r="J1113" i="2"/>
  <c r="C1113" i="2"/>
  <c r="A1114" i="2"/>
  <c r="D1113" i="2"/>
  <c r="E1113" i="2"/>
  <c r="F1113" i="2"/>
  <c r="H1113" i="2"/>
  <c r="G1113" i="2"/>
  <c r="F1134" i="1"/>
  <c r="O1134" i="1"/>
  <c r="G1134" i="1"/>
  <c r="P1134" i="1"/>
  <c r="L1134" i="1"/>
  <c r="B1134" i="1"/>
  <c r="M1134" i="1"/>
  <c r="C1134" i="1"/>
  <c r="N1134" i="1"/>
  <c r="D1134" i="1"/>
  <c r="Q1134" i="1"/>
  <c r="J1134" i="1"/>
  <c r="A1135" i="1"/>
  <c r="E1134" i="1"/>
  <c r="H1134" i="1"/>
  <c r="I1134" i="1"/>
  <c r="F1135" i="1" l="1"/>
  <c r="O1135" i="1"/>
  <c r="G1135" i="1"/>
  <c r="P1135" i="1"/>
  <c r="E1135" i="1"/>
  <c r="A1136" i="1"/>
  <c r="H1135" i="1"/>
  <c r="I1135" i="1"/>
  <c r="J1135" i="1"/>
  <c r="Q1135" i="1"/>
  <c r="C1135" i="1"/>
  <c r="D1135" i="1"/>
  <c r="B1135" i="1"/>
  <c r="N1135" i="1"/>
  <c r="M1135" i="1"/>
  <c r="L1135" i="1"/>
  <c r="G1114" i="2"/>
  <c r="H1114" i="2"/>
  <c r="I1114" i="2"/>
  <c r="B1114" i="2"/>
  <c r="J1114" i="2"/>
  <c r="E1114" i="2"/>
  <c r="F1114" i="2"/>
  <c r="A1115" i="2"/>
  <c r="C1114" i="2"/>
  <c r="D1114" i="2"/>
  <c r="A1136" i="3"/>
  <c r="C1135" i="3"/>
  <c r="B1135" i="3"/>
  <c r="E1135" i="3"/>
  <c r="D1135" i="3"/>
  <c r="E1115" i="2" l="1"/>
  <c r="F1115" i="2"/>
  <c r="G1115" i="2"/>
  <c r="H1115" i="2"/>
  <c r="A1116" i="2"/>
  <c r="B1115" i="2"/>
  <c r="C1115" i="2"/>
  <c r="D1115" i="2"/>
  <c r="I1115" i="2"/>
  <c r="J1115" i="2"/>
  <c r="F1136" i="1"/>
  <c r="O1136" i="1"/>
  <c r="G1136" i="1"/>
  <c r="P1136" i="1"/>
  <c r="L1136" i="1"/>
  <c r="B1136" i="1"/>
  <c r="M1136" i="1"/>
  <c r="C1136" i="1"/>
  <c r="N1136" i="1"/>
  <c r="D1136" i="1"/>
  <c r="Q1136" i="1"/>
  <c r="E1136" i="1"/>
  <c r="H1136" i="1"/>
  <c r="I1136" i="1"/>
  <c r="J1136" i="1"/>
  <c r="A1137" i="1"/>
  <c r="C1136" i="3"/>
  <c r="D1136" i="3"/>
  <c r="B1136" i="3"/>
  <c r="E1136" i="3"/>
  <c r="A1137" i="3"/>
  <c r="C1116" i="2" l="1"/>
  <c r="A1117" i="2"/>
  <c r="D1116" i="2"/>
  <c r="E1116" i="2"/>
  <c r="F1116" i="2"/>
  <c r="B1116" i="2"/>
  <c r="J1116" i="2"/>
  <c r="G1116" i="2"/>
  <c r="H1116" i="2"/>
  <c r="I1116" i="2"/>
  <c r="A1138" i="3"/>
  <c r="B1137" i="3"/>
  <c r="C1137" i="3"/>
  <c r="E1137" i="3"/>
  <c r="D1137" i="3"/>
  <c r="F1137" i="1"/>
  <c r="O1137" i="1"/>
  <c r="G1137" i="1"/>
  <c r="P1137" i="1"/>
  <c r="E1137" i="1"/>
  <c r="A1138" i="1"/>
  <c r="H1137" i="1"/>
  <c r="I1137" i="1"/>
  <c r="J1137" i="1"/>
  <c r="D1137" i="1"/>
  <c r="L1137" i="1"/>
  <c r="Q1137" i="1"/>
  <c r="M1137" i="1"/>
  <c r="N1137" i="1"/>
  <c r="B1137" i="1"/>
  <c r="C1137" i="1"/>
  <c r="B1138" i="3" l="1"/>
  <c r="C1138" i="3"/>
  <c r="D1138" i="3"/>
  <c r="E1138" i="3"/>
  <c r="A1139" i="3"/>
  <c r="F1138" i="1"/>
  <c r="O1138" i="1"/>
  <c r="G1138" i="1"/>
  <c r="P1138" i="1"/>
  <c r="L1138" i="1"/>
  <c r="B1138" i="1"/>
  <c r="M1138" i="1"/>
  <c r="C1138" i="1"/>
  <c r="N1138" i="1"/>
  <c r="D1138" i="1"/>
  <c r="Q1138" i="1"/>
  <c r="J1138" i="1"/>
  <c r="A1139" i="1"/>
  <c r="E1138" i="1"/>
  <c r="H1138" i="1"/>
  <c r="I1138" i="1"/>
  <c r="I1117" i="2"/>
  <c r="B1117" i="2"/>
  <c r="J1117" i="2"/>
  <c r="C1117" i="2"/>
  <c r="A1118" i="2"/>
  <c r="D1117" i="2"/>
  <c r="G1117" i="2"/>
  <c r="H1117" i="2"/>
  <c r="E1117" i="2"/>
  <c r="F1117" i="2"/>
  <c r="D1139" i="3" l="1"/>
  <c r="E1139" i="3"/>
  <c r="B1139" i="3"/>
  <c r="C1139" i="3"/>
  <c r="A1140" i="3"/>
  <c r="G1118" i="2"/>
  <c r="H1118" i="2"/>
  <c r="I1118" i="2"/>
  <c r="B1118" i="2"/>
  <c r="J1118" i="2"/>
  <c r="D1118" i="2"/>
  <c r="C1118" i="2"/>
  <c r="E1118" i="2"/>
  <c r="F1118" i="2"/>
  <c r="A1119" i="2"/>
  <c r="F1139" i="1"/>
  <c r="O1139" i="1"/>
  <c r="G1139" i="1"/>
  <c r="P1139" i="1"/>
  <c r="E1139" i="1"/>
  <c r="A1140" i="1"/>
  <c r="H1139" i="1"/>
  <c r="I1139" i="1"/>
  <c r="J1139" i="1"/>
  <c r="Q1139" i="1"/>
  <c r="B1139" i="1"/>
  <c r="C1139" i="1"/>
  <c r="D1139" i="1"/>
  <c r="M1139" i="1"/>
  <c r="N1139" i="1"/>
  <c r="L1139" i="1"/>
  <c r="C1140" i="3" l="1"/>
  <c r="D1140" i="3"/>
  <c r="E1140" i="3"/>
  <c r="A1141" i="3"/>
  <c r="B1140" i="3"/>
  <c r="E1119" i="2"/>
  <c r="F1119" i="2"/>
  <c r="G1119" i="2"/>
  <c r="H1119" i="2"/>
  <c r="C1119" i="2"/>
  <c r="D1119" i="2"/>
  <c r="B1119" i="2"/>
  <c r="I1119" i="2"/>
  <c r="J1119" i="2"/>
  <c r="A1120" i="2"/>
  <c r="F1140" i="1"/>
  <c r="O1140" i="1"/>
  <c r="G1140" i="1"/>
  <c r="P1140" i="1"/>
  <c r="L1140" i="1"/>
  <c r="B1140" i="1"/>
  <c r="M1140" i="1"/>
  <c r="C1140" i="1"/>
  <c r="N1140" i="1"/>
  <c r="D1140" i="1"/>
  <c r="Q1140" i="1"/>
  <c r="E1140" i="1"/>
  <c r="J1140" i="1"/>
  <c r="H1140" i="1"/>
  <c r="I1140" i="1"/>
  <c r="A1141" i="1"/>
  <c r="F1141" i="1" l="1"/>
  <c r="O1141" i="1"/>
  <c r="G1141" i="1"/>
  <c r="P1141" i="1"/>
  <c r="E1141" i="1"/>
  <c r="A1142" i="1"/>
  <c r="H1141" i="1"/>
  <c r="I1141" i="1"/>
  <c r="J1141" i="1"/>
  <c r="D1141" i="1"/>
  <c r="L1141" i="1"/>
  <c r="M1141" i="1"/>
  <c r="N1141" i="1"/>
  <c r="Q1141" i="1"/>
  <c r="B1141" i="1"/>
  <c r="C1141" i="1"/>
  <c r="C1120" i="2"/>
  <c r="A1121" i="2"/>
  <c r="D1120" i="2"/>
  <c r="E1120" i="2"/>
  <c r="F1120" i="2"/>
  <c r="I1120" i="2"/>
  <c r="J1120" i="2"/>
  <c r="B1120" i="2"/>
  <c r="H1120" i="2"/>
  <c r="G1120" i="2"/>
  <c r="B1141" i="3"/>
  <c r="C1141" i="3"/>
  <c r="D1141" i="3"/>
  <c r="E1141" i="3"/>
  <c r="A1142" i="3"/>
  <c r="E1142" i="3" l="1"/>
  <c r="A1143" i="3"/>
  <c r="C1142" i="3"/>
  <c r="D1142" i="3"/>
  <c r="B1142" i="3"/>
  <c r="F1142" i="1"/>
  <c r="O1142" i="1"/>
  <c r="G1142" i="1"/>
  <c r="P1142" i="1"/>
  <c r="L1142" i="1"/>
  <c r="B1142" i="1"/>
  <c r="M1142" i="1"/>
  <c r="C1142" i="1"/>
  <c r="N1142" i="1"/>
  <c r="D1142" i="1"/>
  <c r="Q1142" i="1"/>
  <c r="J1142" i="1"/>
  <c r="A1143" i="1"/>
  <c r="E1142" i="1"/>
  <c r="I1142" i="1"/>
  <c r="H1142" i="1"/>
  <c r="I1121" i="2"/>
  <c r="B1121" i="2"/>
  <c r="J1121" i="2"/>
  <c r="C1121" i="2"/>
  <c r="A1122" i="2"/>
  <c r="D1121" i="2"/>
  <c r="F1121" i="2"/>
  <c r="G1121" i="2"/>
  <c r="H1121" i="2"/>
  <c r="E1121" i="2"/>
  <c r="G1122" i="2" l="1"/>
  <c r="H1122" i="2"/>
  <c r="I1122" i="2"/>
  <c r="B1122" i="2"/>
  <c r="J1122" i="2"/>
  <c r="E1122" i="2"/>
  <c r="F1122" i="2"/>
  <c r="C1122" i="2"/>
  <c r="D1122" i="2"/>
  <c r="A1123" i="2"/>
  <c r="F1143" i="1"/>
  <c r="O1143" i="1"/>
  <c r="G1143" i="1"/>
  <c r="P1143" i="1"/>
  <c r="E1143" i="1"/>
  <c r="A1144" i="1"/>
  <c r="H1143" i="1"/>
  <c r="I1143" i="1"/>
  <c r="J1143" i="1"/>
  <c r="Q1143" i="1"/>
  <c r="B1143" i="1"/>
  <c r="D1143" i="1"/>
  <c r="C1143" i="1"/>
  <c r="L1143" i="1"/>
  <c r="M1143" i="1"/>
  <c r="N1143" i="1"/>
  <c r="B1143" i="3"/>
  <c r="C1143" i="3"/>
  <c r="E1143" i="3"/>
  <c r="A1144" i="3"/>
  <c r="D1143" i="3"/>
  <c r="F1144" i="1" l="1"/>
  <c r="O1144" i="1"/>
  <c r="G1144" i="1"/>
  <c r="P1144" i="1"/>
  <c r="L1144" i="1"/>
  <c r="B1144" i="1"/>
  <c r="M1144" i="1"/>
  <c r="C1144" i="1"/>
  <c r="N1144" i="1"/>
  <c r="D1144" i="1"/>
  <c r="Q1144" i="1"/>
  <c r="E1144" i="1"/>
  <c r="I1144" i="1"/>
  <c r="J1144" i="1"/>
  <c r="H1144" i="1"/>
  <c r="A1145" i="1"/>
  <c r="C1144" i="3"/>
  <c r="D1144" i="3"/>
  <c r="E1144" i="3"/>
  <c r="A1145" i="3"/>
  <c r="B1144" i="3"/>
  <c r="E1123" i="2"/>
  <c r="F1123" i="2"/>
  <c r="G1123" i="2"/>
  <c r="H1123" i="2"/>
  <c r="A1124" i="2"/>
  <c r="D1123" i="2"/>
  <c r="I1123" i="2"/>
  <c r="J1123" i="2"/>
  <c r="C1123" i="2"/>
  <c r="B1123" i="2"/>
  <c r="F1145" i="1" l="1"/>
  <c r="O1145" i="1"/>
  <c r="G1145" i="1"/>
  <c r="P1145" i="1"/>
  <c r="E1145" i="1"/>
  <c r="A1146" i="1"/>
  <c r="H1145" i="1"/>
  <c r="I1145" i="1"/>
  <c r="J1145" i="1"/>
  <c r="D1145" i="1"/>
  <c r="L1145" i="1"/>
  <c r="M1145" i="1"/>
  <c r="N1145" i="1"/>
  <c r="Q1145" i="1"/>
  <c r="B1145" i="1"/>
  <c r="C1145" i="1"/>
  <c r="A1146" i="3"/>
  <c r="B1145" i="3"/>
  <c r="C1145" i="3"/>
  <c r="D1145" i="3"/>
  <c r="E1145" i="3"/>
  <c r="C1124" i="2"/>
  <c r="A1125" i="2"/>
  <c r="D1124" i="2"/>
  <c r="E1124" i="2"/>
  <c r="F1124" i="2"/>
  <c r="B1124" i="2"/>
  <c r="G1124" i="2"/>
  <c r="H1124" i="2"/>
  <c r="I1124" i="2"/>
  <c r="J1124" i="2"/>
  <c r="I1125" i="2" l="1"/>
  <c r="B1125" i="2"/>
  <c r="J1125" i="2"/>
  <c r="C1125" i="2"/>
  <c r="A1126" i="2"/>
  <c r="D1125" i="2"/>
  <c r="G1125" i="2"/>
  <c r="H1125" i="2"/>
  <c r="F1125" i="2"/>
  <c r="E1125" i="2"/>
  <c r="F1146" i="1"/>
  <c r="O1146" i="1"/>
  <c r="G1146" i="1"/>
  <c r="P1146" i="1"/>
  <c r="L1146" i="1"/>
  <c r="B1146" i="1"/>
  <c r="M1146" i="1"/>
  <c r="C1146" i="1"/>
  <c r="N1146" i="1"/>
  <c r="D1146" i="1"/>
  <c r="Q1146" i="1"/>
  <c r="J1146" i="1"/>
  <c r="A1147" i="1"/>
  <c r="I1146" i="1"/>
  <c r="H1146" i="1"/>
  <c r="E1146" i="1"/>
  <c r="B1146" i="3"/>
  <c r="E1146" i="3"/>
  <c r="A1147" i="3"/>
  <c r="D1146" i="3"/>
  <c r="C1146" i="3"/>
  <c r="D1147" i="3" l="1"/>
  <c r="E1147" i="3"/>
  <c r="B1147" i="3"/>
  <c r="C1147" i="3"/>
  <c r="A1148" i="3"/>
  <c r="G1126" i="2"/>
  <c r="H1126" i="2"/>
  <c r="I1126" i="2"/>
  <c r="B1126" i="2"/>
  <c r="J1126" i="2"/>
  <c r="C1126" i="2"/>
  <c r="D1126" i="2"/>
  <c r="F1126" i="2"/>
  <c r="E1126" i="2"/>
  <c r="A1127" i="2"/>
  <c r="F1147" i="1"/>
  <c r="O1147" i="1"/>
  <c r="G1147" i="1"/>
  <c r="P1147" i="1"/>
  <c r="E1147" i="1"/>
  <c r="A1148" i="1"/>
  <c r="H1147" i="1"/>
  <c r="I1147" i="1"/>
  <c r="J1147" i="1"/>
  <c r="Q1147" i="1"/>
  <c r="B1147" i="1"/>
  <c r="D1147" i="1"/>
  <c r="C1147" i="1"/>
  <c r="L1147" i="1"/>
  <c r="N1147" i="1"/>
  <c r="M1147" i="1"/>
  <c r="E1127" i="2" l="1"/>
  <c r="F1127" i="2"/>
  <c r="G1127" i="2"/>
  <c r="H1127" i="2"/>
  <c r="C1127" i="2"/>
  <c r="D1127" i="2"/>
  <c r="J1127" i="2"/>
  <c r="A1128" i="2"/>
  <c r="B1127" i="2"/>
  <c r="I1127" i="2"/>
  <c r="F1148" i="1"/>
  <c r="O1148" i="1"/>
  <c r="G1148" i="1"/>
  <c r="P1148" i="1"/>
  <c r="L1148" i="1"/>
  <c r="B1148" i="1"/>
  <c r="M1148" i="1"/>
  <c r="C1148" i="1"/>
  <c r="N1148" i="1"/>
  <c r="D1148" i="1"/>
  <c r="Q1148" i="1"/>
  <c r="E1148" i="1"/>
  <c r="J1148" i="1"/>
  <c r="H1148" i="1"/>
  <c r="I1148" i="1"/>
  <c r="E1148" i="3"/>
  <c r="D1148" i="3"/>
  <c r="B1148" i="3"/>
  <c r="C1148" i="3"/>
  <c r="C1128" i="2" l="1"/>
  <c r="A1129" i="2"/>
  <c r="D1128" i="2"/>
  <c r="E1128" i="2"/>
  <c r="F1128" i="2"/>
  <c r="I1128" i="2"/>
  <c r="J1128" i="2"/>
  <c r="H1128" i="2"/>
  <c r="B1128" i="2"/>
  <c r="G1128" i="2"/>
  <c r="I1129" i="2" l="1"/>
  <c r="B1129" i="2"/>
  <c r="J1129" i="2"/>
  <c r="C1129" i="2"/>
  <c r="A1130" i="2"/>
  <c r="D1129" i="2"/>
  <c r="H1129" i="2"/>
  <c r="F1129" i="2"/>
  <c r="E1129" i="2"/>
  <c r="G1129" i="2"/>
  <c r="G1130" i="2" l="1"/>
  <c r="H1130" i="2"/>
  <c r="I1130" i="2"/>
  <c r="B1130" i="2"/>
  <c r="J1130" i="2"/>
  <c r="E1130" i="2"/>
  <c r="F1130" i="2"/>
  <c r="C1130" i="2"/>
  <c r="D1130" i="2"/>
  <c r="A1131" i="2"/>
  <c r="E1131" i="2" l="1"/>
  <c r="F1131" i="2"/>
  <c r="G1131" i="2"/>
  <c r="H1131" i="2"/>
  <c r="A1132" i="2"/>
  <c r="J1131" i="2"/>
  <c r="B1131" i="2"/>
  <c r="I1131" i="2"/>
  <c r="C1131" i="2"/>
  <c r="D1131" i="2"/>
  <c r="C1132" i="2" l="1"/>
  <c r="A1133" i="2"/>
  <c r="D1132" i="2"/>
  <c r="E1132" i="2"/>
  <c r="F1132" i="2"/>
  <c r="B1132" i="2"/>
  <c r="G1132" i="2"/>
  <c r="H1132" i="2"/>
  <c r="J1132" i="2"/>
  <c r="I1132" i="2"/>
  <c r="I1133" i="2" l="1"/>
  <c r="B1133" i="2"/>
  <c r="J1133" i="2"/>
  <c r="C1133" i="2"/>
  <c r="A1134" i="2"/>
  <c r="D1133" i="2"/>
  <c r="G1133" i="2"/>
  <c r="H1133" i="2"/>
  <c r="E1133" i="2"/>
  <c r="F1133" i="2"/>
  <c r="G1134" i="2" l="1"/>
  <c r="H1134" i="2"/>
  <c r="I1134" i="2"/>
  <c r="B1134" i="2"/>
  <c r="J1134" i="2"/>
  <c r="D1134" i="2"/>
  <c r="E1134" i="2"/>
  <c r="F1134" i="2"/>
  <c r="A1135" i="2"/>
  <c r="C1134" i="2"/>
  <c r="E1135" i="2" l="1"/>
  <c r="F1135" i="2"/>
  <c r="G1135" i="2"/>
  <c r="H1135" i="2"/>
  <c r="C1135" i="2"/>
  <c r="D1135" i="2"/>
  <c r="B1135" i="2"/>
  <c r="I1135" i="2"/>
  <c r="J1135" i="2"/>
  <c r="A1136" i="2"/>
  <c r="C1136" i="2" l="1"/>
  <c r="A1137" i="2"/>
  <c r="D1136" i="2"/>
  <c r="E1136" i="2"/>
  <c r="F1136" i="2"/>
  <c r="I1136" i="2"/>
  <c r="J1136" i="2"/>
  <c r="B1136" i="2"/>
  <c r="G1136" i="2"/>
  <c r="H1136" i="2"/>
  <c r="I1137" i="2" l="1"/>
  <c r="B1137" i="2"/>
  <c r="J1137" i="2"/>
  <c r="C1137" i="2"/>
  <c r="A1138" i="2"/>
  <c r="D1137" i="2"/>
  <c r="F1137" i="2"/>
  <c r="E1137" i="2"/>
  <c r="H1137" i="2"/>
  <c r="G1137" i="2"/>
  <c r="G1138" i="2" l="1"/>
  <c r="H1138" i="2"/>
  <c r="I1138" i="2"/>
  <c r="B1138" i="2"/>
  <c r="J1138" i="2"/>
  <c r="E1138" i="2"/>
  <c r="F1138" i="2"/>
  <c r="D1138" i="2"/>
  <c r="A1139" i="2"/>
  <c r="C1138" i="2"/>
  <c r="E1139" i="2" l="1"/>
  <c r="F1139" i="2"/>
  <c r="G1139" i="2"/>
  <c r="H1139" i="2"/>
  <c r="A1140" i="2"/>
  <c r="B1139" i="2"/>
  <c r="D1139" i="2"/>
  <c r="C1139" i="2"/>
  <c r="I1139" i="2"/>
  <c r="J1139" i="2"/>
  <c r="C1140" i="2" l="1"/>
  <c r="A1141" i="2"/>
  <c r="D1140" i="2"/>
  <c r="E1140" i="2"/>
  <c r="F1140" i="2"/>
  <c r="B1140" i="2"/>
  <c r="H1140" i="2"/>
  <c r="I1140" i="2"/>
  <c r="J1140" i="2"/>
  <c r="G1140" i="2"/>
  <c r="I1141" i="2" l="1"/>
  <c r="B1141" i="2"/>
  <c r="J1141" i="2"/>
  <c r="C1141" i="2"/>
  <c r="A1142" i="2"/>
  <c r="D1141" i="2"/>
  <c r="G1141" i="2"/>
  <c r="H1141" i="2"/>
  <c r="E1141" i="2"/>
  <c r="F1141" i="2"/>
  <c r="G1142" i="2" l="1"/>
  <c r="H1142" i="2"/>
  <c r="I1142" i="2"/>
  <c r="B1142" i="2"/>
  <c r="J1142" i="2"/>
  <c r="F1142" i="2"/>
  <c r="A1143" i="2"/>
  <c r="C1142" i="2"/>
  <c r="D1142" i="2"/>
  <c r="E1142" i="2"/>
  <c r="E1143" i="2" l="1"/>
  <c r="F1143" i="2"/>
  <c r="G1143" i="2"/>
  <c r="H1143" i="2"/>
  <c r="C1143" i="2"/>
  <c r="D1143" i="2"/>
  <c r="J1143" i="2"/>
  <c r="B1143" i="2"/>
  <c r="I1143" i="2"/>
  <c r="A1144" i="2"/>
  <c r="C1144" i="2" l="1"/>
  <c r="A1145" i="2"/>
  <c r="D1144" i="2"/>
  <c r="E1144" i="2"/>
  <c r="F1144" i="2"/>
  <c r="I1144" i="2"/>
  <c r="J1144" i="2"/>
  <c r="H1144" i="2"/>
  <c r="B1144" i="2"/>
  <c r="G1144" i="2"/>
  <c r="I1145" i="2" l="1"/>
  <c r="B1145" i="2"/>
  <c r="J1145" i="2"/>
  <c r="C1145" i="2"/>
  <c r="A1146" i="2"/>
  <c r="D1145" i="2"/>
  <c r="E1145" i="2"/>
  <c r="F1145" i="2"/>
  <c r="H1145" i="2"/>
  <c r="G1145" i="2"/>
  <c r="G1146" i="2" l="1"/>
  <c r="H1146" i="2"/>
  <c r="I1146" i="2"/>
  <c r="B1146" i="2"/>
  <c r="J1146" i="2"/>
  <c r="E1146" i="2"/>
  <c r="F1146" i="2"/>
  <c r="D1146" i="2"/>
  <c r="C1146" i="2"/>
  <c r="A1147" i="2"/>
  <c r="E1147" i="2" l="1"/>
  <c r="F1147" i="2"/>
  <c r="G1147" i="2"/>
  <c r="H1147" i="2"/>
  <c r="A1148" i="2"/>
  <c r="B1147" i="2"/>
  <c r="C1147" i="2"/>
  <c r="D1147" i="2"/>
  <c r="I1147" i="2"/>
  <c r="J1147" i="2"/>
  <c r="C1148" i="2" l="1"/>
  <c r="D1148" i="2"/>
  <c r="E1148" i="2"/>
  <c r="F1148" i="2"/>
  <c r="B1148" i="2"/>
  <c r="J1148" i="2"/>
  <c r="I1148" i="2"/>
  <c r="H1148" i="2"/>
  <c r="G1148" i="2"/>
</calcChain>
</file>

<file path=xl/sharedStrings.xml><?xml version="1.0" encoding="utf-8"?>
<sst xmlns="http://schemas.openxmlformats.org/spreadsheetml/2006/main" count="161" uniqueCount="74">
  <si>
    <t>MM$</t>
  </si>
  <si>
    <t>$/MMBTU</t>
  </si>
  <si>
    <t>MONTH</t>
  </si>
  <si>
    <t>UPS REPLACEMENT SUNK DEMAND CHARGE</t>
  </si>
  <si>
    <t>BAY GAS STORAGE DEMAND CHARGE</t>
  </si>
  <si>
    <t>SABAL TRAIL &amp; FSC</t>
  </si>
  <si>
    <t>GULF SOUTH</t>
  </si>
  <si>
    <t>TRANSCO 4A</t>
  </si>
  <si>
    <t>SESH</t>
  </si>
  <si>
    <t>GULFSTREAM</t>
  </si>
  <si>
    <t>FGT</t>
  </si>
  <si>
    <t>UPS REPLACEMENT DISPATCH PRICE</t>
  </si>
  <si>
    <t>HENRY HUB</t>
  </si>
  <si>
    <r>
      <t xml:space="preserve">FSC FIRM     FROM                          </t>
    </r>
    <r>
      <rPr>
        <b/>
        <sz val="12"/>
        <color theme="5" tint="-0.249977111117893"/>
        <rFont val="Arial"/>
        <family val="2"/>
      </rPr>
      <t>SABAL TRAIL</t>
    </r>
  </si>
  <si>
    <t>GULFSTREAM NON-FIRM</t>
  </si>
  <si>
    <t>WEIGHTED AVERAGE GULFSTREAM FIRM</t>
  </si>
  <si>
    <t>FGT NON-FIRM</t>
  </si>
  <si>
    <t>WEIGHTED AVERAGE FGT FIRM</t>
  </si>
  <si>
    <t>WEIGHTED AVERAGE Z3 FGT FIRM</t>
  </si>
  <si>
    <t>ZONE 2 FGT FIRM</t>
  </si>
  <si>
    <t>ZONE 1 FGT FIRM</t>
  </si>
  <si>
    <t>FIRM TRANSPORT AND STORAGE CONTRACTS THROUGH FGT PHASE VIII</t>
  </si>
  <si>
    <t>SUNK DEMAND CHARGE FOR ALL CURRENT</t>
  </si>
  <si>
    <t>HIGH</t>
  </si>
  <si>
    <t>LOW</t>
  </si>
  <si>
    <t>January 05, 2015 - LYSTRA LOUTAN</t>
  </si>
  <si>
    <t>LONG-TERM FORECAST METHODOLOGY - GAS PRICE</t>
  </si>
  <si>
    <t>MMCF/DAY</t>
  </si>
  <si>
    <t>DAYS</t>
  </si>
  <si>
    <t>GULFSTREAM NON-FIRM &amp; NON-FIRM BACKHAUL</t>
  </si>
  <si>
    <t>TOTAL GULFSTREAM FIRM</t>
  </si>
  <si>
    <t>SABAL TRAIL PIPELINE</t>
  </si>
  <si>
    <t>TOTAL FGT FIRM</t>
  </si>
  <si>
    <t>ZONE 3 FGT FIRM</t>
  </si>
  <si>
    <t>FGT FIRM BY ZONE</t>
  </si>
  <si>
    <t>LONG-TERM FORECAST METHODOLOGY - CAPACITY</t>
  </si>
  <si>
    <t>$/BBL.</t>
  </si>
  <si>
    <t>WTI</t>
  </si>
  <si>
    <t>ALL PLANTS DISTILLATE</t>
  </si>
  <si>
    <t>MANATEE / TURKEY POINT RESIDUAL</t>
  </si>
  <si>
    <t>MARTIN RESIDUAL</t>
  </si>
  <si>
    <t>DISTILLATE</t>
  </si>
  <si>
    <t>RESIDUAL</t>
  </si>
  <si>
    <t>LONG-TERM FORECAST METHODOLOGY - OIL PRICE</t>
  </si>
  <si>
    <t>DISPATCH PRICE WITH SO2 &amp; NOx</t>
  </si>
  <si>
    <t>DISPATCH PRICE WITHOUT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</si>
  <si>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</si>
  <si>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</si>
  <si>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</si>
  <si>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</si>
  <si>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</si>
  <si>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</si>
  <si>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WITHOUT NOx</t>
  </si>
  <si>
    <t>WITH NOx</t>
  </si>
  <si>
    <t>Selection</t>
  </si>
  <si>
    <t>Natural Gas</t>
  </si>
  <si>
    <t>WITHOUT SO2 &amp; NOx</t>
  </si>
  <si>
    <t>WITH SO2 &amp; NOx</t>
  </si>
  <si>
    <t>Oil SO2</t>
  </si>
  <si>
    <t>HIGH PRICES</t>
  </si>
  <si>
    <t>MEDIUM PRICES</t>
  </si>
  <si>
    <t>LOW PRICES</t>
  </si>
  <si>
    <t>Coal</t>
  </si>
  <si>
    <t>Heavy &amp; Light Oil</t>
  </si>
  <si>
    <t>Florida Power &amp; Light Company</t>
  </si>
  <si>
    <t>Docket No. 160154-EI</t>
  </si>
  <si>
    <t>Staff's First Set of Interrogatories</t>
  </si>
  <si>
    <t>Interrogatory No. 2</t>
  </si>
  <si>
    <t>Tab 1 of 5</t>
  </si>
  <si>
    <t>Attachment No. 36</t>
  </si>
  <si>
    <t>Tab 2 of 5</t>
  </si>
  <si>
    <t>Tab 3 of 5</t>
  </si>
  <si>
    <t>Tab 4 of 5</t>
  </si>
  <si>
    <t>Tab 5 of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</si>
</sst>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_)"/>
    <numFmt numFmtId="166" formatCode="&quot;$&quot;#,##0.00"/>
    <numFmt numFmtId="167" formatCode="&quot;$&quot;#,##0.0"/>
    <numFmt numFmtId="168" formatCode="&quot;$&quot;#,##0.0_);[Red]\(&quot;$&quot;#,##0.0\)"/>
    <numFmt numFmtId="169" formatCode="[$-409]mmm\-yy;@"/>
    <numFmt numFmtId="170" formatCode="0.0000"/>
    <numFmt numFmtId="171" formatCode="0.0"/>
    <numFmt numFmtId="172" formatCode="_(* #,##0_);_(* \(#,##0\);_(* &quot;-&quot;??_);_(@_)"/>
  </numFmts>
  <fonts count="20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00B0F0"/>
      <name val="Arial"/>
      <family val="2"/>
    </font>
    <font>
      <b/>
      <u/>
      <sz val="16"/>
      <name val="Arial"/>
      <family val="2"/>
    </font>
    <font>
      <sz val="9"/>
      <name val="Geneva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7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12"/>
      <name val="Helv"/>
    </font>
    <font>
      <b/>
      <sz val="12"/>
      <name val="Helv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164" fontId="0" fillId="0" borderId="0">
      <alignment horizontal="left" wrapText="1"/>
    </xf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>
      <alignment wrapText="1"/>
    </xf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" fillId="0" borderId="0"/>
  </cellStyleXfs>
  <cellXfs count="100">
    <xf numFmtId="164" fontId="0" fillId="0" borderId="0" xfId="0">
      <alignment horizontal="left" wrapText="1"/>
    </xf>
    <xf numFmtId="0" fontId="3" fillId="0" borderId="0" xfId="4" applyFont="1"/>
    <xf numFmtId="0" fontId="3" fillId="0" borderId="0" xfId="4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4" applyNumberFormat="1" applyFont="1" applyAlignment="1">
      <alignment horizontal="center"/>
    </xf>
    <xf numFmtId="167" fontId="3" fillId="0" borderId="0" xfId="4" applyNumberFormat="1" applyFont="1" applyAlignment="1">
      <alignment horizontal="center"/>
    </xf>
    <xf numFmtId="167" fontId="3" fillId="0" borderId="0" xfId="4" applyNumberFormat="1" applyFont="1"/>
    <xf numFmtId="166" fontId="3" fillId="0" borderId="0" xfId="4" applyNumberFormat="1" applyFont="1"/>
    <xf numFmtId="166" fontId="3" fillId="2" borderId="0" xfId="4" applyNumberFormat="1" applyFont="1" applyFill="1" applyAlignment="1">
      <alignment horizontal="center"/>
    </xf>
    <xf numFmtId="168" fontId="3" fillId="0" borderId="0" xfId="4" applyNumberFormat="1" applyFont="1" applyAlignment="1">
      <alignment horizontal="center"/>
    </xf>
    <xf numFmtId="165" fontId="3" fillId="0" borderId="0" xfId="0" applyNumberFormat="1" applyFont="1" applyAlignment="1"/>
    <xf numFmtId="167" fontId="5" fillId="0" borderId="0" xfId="4" applyNumberFormat="1" applyFont="1" applyAlignment="1">
      <alignment horizontal="center"/>
    </xf>
    <xf numFmtId="166" fontId="6" fillId="2" borderId="0" xfId="4" applyNumberFormat="1" applyFont="1" applyFill="1" applyAlignment="1">
      <alignment horizontal="center"/>
    </xf>
    <xf numFmtId="17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167" fontId="5" fillId="3" borderId="0" xfId="4" applyNumberFormat="1" applyFont="1" applyFill="1" applyAlignment="1">
      <alignment horizontal="center"/>
    </xf>
    <xf numFmtId="167" fontId="5" fillId="4" borderId="0" xfId="4" applyNumberFormat="1" applyFont="1" applyFill="1" applyAlignment="1">
      <alignment horizontal="center"/>
    </xf>
    <xf numFmtId="167" fontId="5" fillId="5" borderId="0" xfId="4" applyNumberFormat="1" applyFont="1" applyFill="1" applyAlignment="1">
      <alignment horizontal="center"/>
    </xf>
    <xf numFmtId="166" fontId="3" fillId="6" borderId="0" xfId="4" applyNumberFormat="1" applyFont="1" applyFill="1" applyAlignment="1">
      <alignment horizontal="center"/>
    </xf>
    <xf numFmtId="166" fontId="3" fillId="0" borderId="0" xfId="4" applyNumberFormat="1" applyFont="1" applyFill="1" applyAlignment="1">
      <alignment horizontal="center"/>
    </xf>
    <xf numFmtId="167" fontId="5" fillId="7" borderId="0" xfId="4" applyNumberFormat="1" applyFont="1" applyFill="1" applyAlignment="1">
      <alignment horizontal="center"/>
    </xf>
    <xf numFmtId="167" fontId="5" fillId="8" borderId="0" xfId="4" applyNumberFormat="1" applyFont="1" applyFill="1" applyAlignment="1">
      <alignment horizontal="center"/>
    </xf>
    <xf numFmtId="0" fontId="3" fillId="0" borderId="0" xfId="4" applyFont="1" applyAlignment="1">
      <alignment horizontal="center" wrapText="1"/>
    </xf>
    <xf numFmtId="0" fontId="6" fillId="9" borderId="0" xfId="4" applyFont="1" applyFill="1" applyAlignment="1">
      <alignment horizontal="center" wrapText="1"/>
    </xf>
    <xf numFmtId="0" fontId="6" fillId="0" borderId="0" xfId="4" applyFont="1" applyAlignment="1">
      <alignment horizontal="center" wrapText="1"/>
    </xf>
    <xf numFmtId="0" fontId="6" fillId="2" borderId="0" xfId="4" applyFont="1" applyFill="1" applyAlignment="1">
      <alignment horizontal="center" wrapText="1"/>
    </xf>
    <xf numFmtId="0" fontId="6" fillId="9" borderId="0" xfId="4" quotePrefix="1" applyFont="1" applyFill="1" applyAlignment="1">
      <alignment horizontal="center" wrapText="1"/>
    </xf>
    <xf numFmtId="0" fontId="6" fillId="0" borderId="0" xfId="4" quotePrefix="1" applyFont="1" applyAlignment="1">
      <alignment horizontal="center" wrapText="1"/>
    </xf>
    <xf numFmtId="0" fontId="6" fillId="0" borderId="0" xfId="4" applyFont="1" applyAlignment="1">
      <alignment horizontal="center"/>
    </xf>
    <xf numFmtId="0" fontId="6" fillId="0" borderId="0" xfId="4" applyFont="1" applyAlignment="1"/>
    <xf numFmtId="10" fontId="8" fillId="10" borderId="0" xfId="4" applyNumberFormat="1" applyFont="1" applyFill="1" applyAlignment="1">
      <alignment horizontal="center"/>
    </xf>
    <xf numFmtId="0" fontId="6" fillId="10" borderId="0" xfId="4" applyFont="1" applyFill="1" applyAlignment="1">
      <alignment horizontal="center"/>
    </xf>
    <xf numFmtId="170" fontId="3" fillId="0" borderId="0" xfId="4" applyNumberFormat="1" applyFont="1"/>
    <xf numFmtId="1" fontId="3" fillId="0" borderId="0" xfId="4" applyNumberFormat="1" applyFont="1"/>
    <xf numFmtId="15" fontId="6" fillId="0" borderId="0" xfId="4" applyNumberFormat="1" applyFont="1" applyAlignment="1">
      <alignment horizontal="left"/>
    </xf>
    <xf numFmtId="165" fontId="9" fillId="0" borderId="0" xfId="0" quotePrefix="1" applyNumberFormat="1" applyFont="1" applyAlignment="1">
      <alignment horizontal="left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0" xfId="4"/>
    <xf numFmtId="1" fontId="3" fillId="0" borderId="0" xfId="4" applyNumberFormat="1" applyFont="1" applyAlignment="1">
      <alignment horizontal="center"/>
    </xf>
    <xf numFmtId="1" fontId="2" fillId="0" borderId="0" xfId="4" applyNumberFormat="1" applyFont="1" applyAlignment="1">
      <alignment horizontal="center"/>
    </xf>
    <xf numFmtId="1" fontId="3" fillId="11" borderId="0" xfId="4" applyNumberFormat="1" applyFont="1" applyFill="1" applyAlignment="1">
      <alignment horizontal="center"/>
    </xf>
    <xf numFmtId="3" fontId="3" fillId="0" borderId="0" xfId="4" applyNumberFormat="1" applyFont="1" applyAlignment="1">
      <alignment horizontal="center"/>
    </xf>
    <xf numFmtId="3" fontId="3" fillId="11" borderId="0" xfId="4" applyNumberFormat="1" applyFont="1" applyFill="1" applyAlignment="1">
      <alignment horizontal="center"/>
    </xf>
    <xf numFmtId="171" fontId="6" fillId="12" borderId="0" xfId="4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/>
    <xf numFmtId="1" fontId="6" fillId="0" borderId="0" xfId="4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72" fontId="3" fillId="0" borderId="0" xfId="0" applyNumberFormat="1" applyFont="1" applyAlignment="1"/>
    <xf numFmtId="0" fontId="6" fillId="0" borderId="0" xfId="4" applyFont="1" applyFill="1" applyAlignment="1">
      <alignment horizontal="center" wrapText="1"/>
    </xf>
    <xf numFmtId="0" fontId="6" fillId="12" borderId="0" xfId="4" applyFont="1" applyFill="1" applyAlignment="1">
      <alignment horizontal="center" wrapText="1"/>
    </xf>
    <xf numFmtId="0" fontId="6" fillId="2" borderId="0" xfId="4" quotePrefix="1" applyFont="1" applyFill="1" applyAlignment="1">
      <alignment horizontal="center" wrapText="1"/>
    </xf>
    <xf numFmtId="0" fontId="6" fillId="0" borderId="0" xfId="4" quotePrefix="1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4" applyFont="1" applyFill="1" applyAlignment="1"/>
    <xf numFmtId="0" fontId="6" fillId="13" borderId="0" xfId="4" applyFont="1" applyFill="1" applyAlignment="1">
      <alignment horizontal="center"/>
    </xf>
    <xf numFmtId="0" fontId="6" fillId="0" borderId="0" xfId="4" applyFont="1"/>
    <xf numFmtId="0" fontId="2" fillId="0" borderId="0" xfId="4" applyFont="1" applyAlignment="1">
      <alignment horizontal="center" wrapText="1"/>
    </xf>
    <xf numFmtId="0" fontId="6" fillId="0" borderId="0" xfId="4" quotePrefix="1" applyFont="1" applyFill="1" applyAlignment="1">
      <alignment horizontal="center" wrapText="1"/>
    </xf>
    <xf numFmtId="0" fontId="6" fillId="11" borderId="0" xfId="4" applyFont="1" applyFill="1" applyAlignment="1"/>
    <xf numFmtId="15" fontId="6" fillId="0" borderId="0" xfId="4" applyNumberFormat="1" applyFont="1" applyFill="1" applyAlignment="1">
      <alignment horizontal="left"/>
    </xf>
    <xf numFmtId="9" fontId="11" fillId="15" borderId="0" xfId="3" applyFont="1" applyFill="1" applyAlignment="1">
      <alignment horizontal="center"/>
    </xf>
    <xf numFmtId="0" fontId="12" fillId="15" borderId="0" xfId="4" applyFont="1" applyFill="1" applyAlignment="1">
      <alignment horizontal="center"/>
    </xf>
    <xf numFmtId="0" fontId="2" fillId="0" borderId="0" xfId="4" applyFont="1" applyFill="1"/>
    <xf numFmtId="0" fontId="13" fillId="0" borderId="0" xfId="4" applyFont="1" applyFill="1"/>
    <xf numFmtId="0" fontId="14" fillId="0" borderId="0" xfId="4" quotePrefix="1" applyFont="1" applyFill="1" applyAlignment="1">
      <alignment horizontal="left"/>
    </xf>
    <xf numFmtId="166" fontId="3" fillId="0" borderId="0" xfId="0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44" fontId="15" fillId="0" borderId="0" xfId="2" applyFont="1" applyAlignment="1">
      <alignment horizontal="center"/>
    </xf>
    <xf numFmtId="44" fontId="6" fillId="0" borderId="0" xfId="2" applyFont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6" fillId="16" borderId="0" xfId="0" quotePrefix="1" applyNumberFormat="1" applyFont="1" applyFill="1" applyAlignment="1">
      <alignment horizontal="center" vertical="center" wrapText="1"/>
    </xf>
    <xf numFmtId="165" fontId="6" fillId="2" borderId="0" xfId="0" quotePrefix="1" applyNumberFormat="1" applyFont="1" applyFill="1" applyAlignment="1">
      <alignment horizontal="center" vertical="center" wrapText="1"/>
    </xf>
    <xf numFmtId="165" fontId="6" fillId="13" borderId="0" xfId="0" quotePrefix="1" applyNumberFormat="1" applyFont="1" applyFill="1" applyAlignment="1">
      <alignment horizontal="center" vertical="center" wrapText="1"/>
    </xf>
    <xf numFmtId="0" fontId="16" fillId="0" borderId="0" xfId="4" applyFont="1"/>
    <xf numFmtId="10" fontId="8" fillId="10" borderId="0" xfId="4" quotePrefix="1" applyNumberFormat="1" applyFont="1" applyFill="1" applyAlignment="1">
      <alignment horizontal="center"/>
    </xf>
    <xf numFmtId="15" fontId="6" fillId="10" borderId="0" xfId="4" applyNumberFormat="1" applyFont="1" applyFill="1" applyAlignment="1">
      <alignment horizontal="left"/>
    </xf>
    <xf numFmtId="15" fontId="6" fillId="0" borderId="0" xfId="4" quotePrefix="1" applyNumberFormat="1" applyFont="1" applyAlignment="1">
      <alignment horizontal="left"/>
    </xf>
    <xf numFmtId="0" fontId="17" fillId="0" borderId="0" xfId="4" applyFont="1"/>
    <xf numFmtId="165" fontId="0" fillId="0" borderId="0" xfId="0" applyNumberFormat="1" applyAlignment="1"/>
    <xf numFmtId="43" fontId="0" fillId="0" borderId="0" xfId="1" applyFont="1" applyAlignment="1"/>
    <xf numFmtId="165" fontId="0" fillId="0" borderId="0" xfId="0" quotePrefix="1" applyNumberFormat="1" applyAlignment="1"/>
    <xf numFmtId="165" fontId="18" fillId="0" borderId="1" xfId="0" quotePrefix="1" applyNumberFormat="1" applyFont="1" applyBorder="1" applyAlignment="1">
      <alignment horizontal="left"/>
    </xf>
    <xf numFmtId="165" fontId="18" fillId="0" borderId="3" xfId="0" quotePrefix="1" applyNumberFormat="1" applyFont="1" applyBorder="1" applyAlignment="1">
      <alignment horizontal="left"/>
    </xf>
    <xf numFmtId="165" fontId="19" fillId="0" borderId="4" xfId="0" applyNumberFormat="1" applyFont="1" applyBorder="1" applyAlignment="1"/>
    <xf numFmtId="165" fontId="18" fillId="0" borderId="1" xfId="0" applyNumberFormat="1" applyFont="1" applyBorder="1" applyAlignment="1"/>
    <xf numFmtId="165" fontId="18" fillId="0" borderId="3" xfId="0" applyNumberFormat="1" applyFont="1" applyBorder="1" applyAlignment="1"/>
    <xf numFmtId="165" fontId="19" fillId="0" borderId="0" xfId="0" applyNumberFormat="1" applyFont="1" applyAlignment="1">
      <alignment horizontal="left"/>
    </xf>
    <xf numFmtId="0" fontId="6" fillId="9" borderId="0" xfId="4" quotePrefix="1" applyFont="1" applyFill="1" applyAlignment="1">
      <alignment horizontal="center"/>
    </xf>
    <xf numFmtId="0" fontId="6" fillId="14" borderId="0" xfId="4" quotePrefix="1" applyFont="1" applyFill="1" applyAlignment="1">
      <alignment horizontal="center"/>
    </xf>
    <xf numFmtId="0" fontId="6" fillId="6" borderId="0" xfId="4" applyFont="1" applyFill="1" applyAlignment="1">
      <alignment horizontal="center"/>
    </xf>
    <xf numFmtId="165" fontId="6" fillId="14" borderId="0" xfId="0" quotePrefix="1" applyNumberFormat="1" applyFont="1" applyFill="1" applyAlignment="1">
      <alignment horizontal="center"/>
    </xf>
    <xf numFmtId="0" fontId="6" fillId="0" borderId="0" xfId="4" applyFont="1" applyAlignment="1">
      <alignment horizontal="center"/>
    </xf>
    <xf numFmtId="0" fontId="6" fillId="12" borderId="0" xfId="4" quotePrefix="1" applyFont="1" applyFill="1" applyAlignment="1">
      <alignment horizontal="center"/>
    </xf>
    <xf numFmtId="0" fontId="6" fillId="12" borderId="0" xfId="4" applyFont="1" applyFill="1" applyAlignment="1">
      <alignment horizontal="center"/>
    </xf>
    <xf numFmtId="0" fontId="6" fillId="14" borderId="0" xfId="4" applyFont="1" applyFill="1" applyAlignment="1">
      <alignment horizontal="center"/>
    </xf>
    <xf numFmtId="165" fontId="18" fillId="0" borderId="2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</cellXfs>
  <cellStyles count="49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Comma" xfId="1" builtinId="3"/>
    <cellStyle name="Comma 2" xfId="25"/>
    <cellStyle name="Comma 3" xfId="26"/>
    <cellStyle name="Comma 3 2" xfId="27"/>
    <cellStyle name="Comma 4" xfId="28"/>
    <cellStyle name="Currency" xfId="2" builtinId="4"/>
    <cellStyle name="Normal" xfId="0" builtinId="0"/>
    <cellStyle name="Normal 10 2" xfId="29"/>
    <cellStyle name="Normal 2" xfId="30"/>
    <cellStyle name="Normal 2 2" xfId="31"/>
    <cellStyle name="Normal 2 2 2" xfId="32"/>
    <cellStyle name="Normal 2 3" xfId="33"/>
    <cellStyle name="Normal 2 3 2" xfId="34"/>
    <cellStyle name="Normal 2 4" xfId="35"/>
    <cellStyle name="Normal 2 4 2" xfId="36"/>
    <cellStyle name="Normal 2 5" xfId="37"/>
    <cellStyle name="Normal 2 6" xfId="38"/>
    <cellStyle name="Normal 2 7" xfId="39"/>
    <cellStyle name="Normal 3" xfId="40"/>
    <cellStyle name="Normal 4" xfId="41"/>
    <cellStyle name="Normal 5" xfId="42"/>
    <cellStyle name="Normal 5 2" xfId="43"/>
    <cellStyle name="Normal 6" xfId="44"/>
    <cellStyle name="Normal 6 2" xfId="45"/>
    <cellStyle name="Normal 7" xfId="46"/>
    <cellStyle name="Normal 7 2" xfId="47"/>
    <cellStyle name="Normal 8" xfId="48"/>
    <cellStyle name="Normal_060415 RAP Fuel Price Forecast Template - Case 1 (Historical Spread)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15" fmlaRange="CONTROL!$B$15:$B$17" sel="2" val="0"/>
</file>

<file path=xl/ctrlProps/ctrlProp2.xml><?xml version="1.0" encoding="utf-8"?>
<formControlPr xmlns="http://schemas.microsoft.com/office/spreadsheetml/2009/9/main" objectType="Drop" dropLines="2" dropStyle="combo" dx="18" fmlaLink="CONTROL!$C$32" fmlaRange="CONTROL!$B$32:$B$33" val="0"/>
</file>

<file path=xl/ctrlProps/ctrlProp3.xml><?xml version="1.0" encoding="utf-8"?>
<formControlPr xmlns="http://schemas.microsoft.com/office/spreadsheetml/2009/9/main" objectType="Drop" dropLines="3" dropStyle="combo" dx="18" fmlaLink="CONTROL!$C$9" fmlaRange="CONTROL!$B$9:$B$11" sel="2" val="0"/>
</file>

<file path=xl/ctrlProps/ctrlProp4.xml><?xml version="1.0" encoding="utf-8"?>
<formControlPr xmlns="http://schemas.microsoft.com/office/spreadsheetml/2009/9/main" objectType="Drop" dropLines="2" dropStyle="combo" dx="18" fmlaLink="CONTROL!$C$28" fmlaRange="CONTROL!$B$28:$B$29" val="0"/>
</file>

<file path=xl/ctrlProps/ctrlProp5.xml><?xml version="1.0" encoding="utf-8"?>
<formControlPr xmlns="http://schemas.microsoft.com/office/spreadsheetml/2009/9/main" objectType="Drop" dropLines="3" dropStyle="combo" dx="18" fmlaLink="CONTROL!$C$22" fmlaRange="CONTROL!$B$22:$B$24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171450</xdr:rowOff>
        </xdr:from>
        <xdr:to>
          <xdr:col>4</xdr:col>
          <xdr:colOff>533400</xdr:colOff>
          <xdr:row>13</xdr:row>
          <xdr:rowOff>104775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171450</xdr:rowOff>
        </xdr:from>
        <xdr:to>
          <xdr:col>6</xdr:col>
          <xdr:colOff>257175</xdr:colOff>
          <xdr:row>13</xdr:row>
          <xdr:rowOff>95250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9</xdr:row>
          <xdr:rowOff>171450</xdr:rowOff>
        </xdr:from>
        <xdr:to>
          <xdr:col>2</xdr:col>
          <xdr:colOff>666750</xdr:colOff>
          <xdr:row>11</xdr:row>
          <xdr:rowOff>104775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171450</xdr:rowOff>
        </xdr:from>
        <xdr:to>
          <xdr:col>4</xdr:col>
          <xdr:colOff>371475</xdr:colOff>
          <xdr:row>11</xdr:row>
          <xdr:rowOff>95250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381000</xdr:colOff>
          <xdr:row>12</xdr:row>
          <xdr:rowOff>142875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hab0ptk\0600911%20-%20SJRPP%20Solid%20Fuel%20Historic%20Prices%20-%20Commodity%20&amp;%20Ra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XD0FJ7\AppData\Local\Temp\Temp1_2015.zip\2015\1.%20January\150105%202015%20-%202100%20LONG-TERM%20FORECAST%20FPL%20METHODOLOGY%20-%20To%20Dele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 - $ Per Ton - Q"/>
      <sheetName val="Chart 2 - $ Per MMBtu - Q"/>
      <sheetName val="Chart 3 - $ Per Ton - A"/>
      <sheetName val="Chart 4 - $ Per MMBtu - A"/>
      <sheetName val="History Delivered"/>
      <sheetName val="History Mine Mouth"/>
      <sheetName val="HIS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Pub Index"/>
      <sheetName val="_Setup_"/>
      <sheetName val="GAS BASIS"/>
      <sheetName val="FPL LONG TERM GAS &amp; OIL INDEX"/>
      <sheetName val="OIL &amp; GAS SEASONALITY"/>
      <sheetName val="TRANSPORT"/>
      <sheetName val="DEMAND CHARGE"/>
      <sheetName val="CAPACITY"/>
      <sheetName val="GAS AVAILABILITY WORKSHEET"/>
      <sheetName val="NATURAL GAS PRICES WORKSHEET"/>
      <sheetName val="FGT PRIMARY FIRM ZONE 1"/>
      <sheetName val="FGT PRIMARY FIRM ZONE 2"/>
      <sheetName val="FGT PRIMARY FIRM ZONE 3"/>
      <sheetName val="FGT NON-FIRM"/>
      <sheetName val="SESH TO FTS 3"/>
      <sheetName val="TRANSCO 4A  FTS 3"/>
      <sheetName val="GULF SOUTH TO FTS 1&amp;2"/>
      <sheetName val="INCREMENTAL Z3"/>
      <sheetName val="SESH TO GULFSTREAM"/>
      <sheetName val="TRANSCO 4A TO GULFSTREAM"/>
      <sheetName val="GULF SOUTH TO GULFSTREAM"/>
      <sheetName val="GULFSTREAM FIRM "/>
      <sheetName val="GULFSTREAM NON-FIRM"/>
      <sheetName val="FSC DLVD"/>
      <sheetName val="UPS REPLACEMENT"/>
      <sheetName val="Upload"/>
      <sheetName val="DISTILLATE &amp; RESIDUAL FUEL OIL"/>
      <sheetName val="COAL SO2 &amp; NOX Calculations"/>
      <sheetName val="COAL - Monthly"/>
      <sheetName val="COAL &amp; PET COKE FORECAST"/>
      <sheetName val="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S1163"/>
  <sheetViews>
    <sheetView tabSelected="1"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5"/>
  <cols>
    <col min="1" max="1" width="7.5546875" style="2" bestFit="1" customWidth="1"/>
    <col min="2" max="5" width="10" style="1" customWidth="1"/>
    <col min="6" max="6" width="9.33203125" style="2" customWidth="1"/>
    <col min="7" max="7" width="13.33203125" style="1" customWidth="1"/>
    <col min="8" max="8" width="12.6640625" style="2" customWidth="1"/>
    <col min="9" max="9" width="10" style="1" customWidth="1"/>
    <col min="10" max="10" width="9.6640625" style="1" customWidth="1"/>
    <col min="11" max="11" width="13.33203125" style="1" customWidth="1"/>
    <col min="12" max="12" width="7.21875" style="1" bestFit="1" customWidth="1"/>
    <col min="13" max="13" width="13.6640625" style="1" bestFit="1" customWidth="1"/>
    <col min="14" max="14" width="6.109375" style="1" bestFit="1" customWidth="1"/>
    <col min="15" max="15" width="10.21875" style="1" customWidth="1"/>
    <col min="16" max="16" width="9.21875" style="1" customWidth="1"/>
    <col min="17" max="17" width="9.88671875" style="1" customWidth="1"/>
    <col min="18" max="18" width="9.33203125" style="1" customWidth="1"/>
    <col min="19" max="19" width="9.21875" style="1" customWidth="1"/>
    <col min="20" max="20" width="10.21875" style="1" customWidth="1"/>
    <col min="21" max="21" width="11.77734375" style="1" customWidth="1"/>
    <col min="22" max="22" width="7.109375" style="1" customWidth="1"/>
    <col min="23" max="23" width="8.77734375" style="1" customWidth="1"/>
    <col min="24" max="24" width="9.21875" style="1" customWidth="1"/>
    <col min="25" max="25" width="11.77734375" style="1" customWidth="1"/>
    <col min="26" max="26" width="7.109375" style="1" customWidth="1"/>
    <col min="27" max="27" width="9.21875" style="1" customWidth="1"/>
    <col min="28" max="28" width="9.33203125" style="1" customWidth="1"/>
    <col min="29" max="29" width="8.21875" style="1" customWidth="1"/>
    <col min="30" max="30" width="9" style="1" customWidth="1"/>
    <col min="31" max="16384" width="7.109375" style="1"/>
  </cols>
  <sheetData>
    <row r="1" spans="1:19" ht="15.75">
      <c r="A1" s="88" t="s">
        <v>64</v>
      </c>
    </row>
    <row r="2" spans="1:19" ht="15.75">
      <c r="A2" s="88" t="s">
        <v>65</v>
      </c>
    </row>
    <row r="3" spans="1:19" ht="15.75">
      <c r="A3" s="88" t="s">
        <v>66</v>
      </c>
    </row>
    <row r="4" spans="1:19" ht="15.75">
      <c r="A4" s="88" t="s">
        <v>67</v>
      </c>
    </row>
    <row r="5" spans="1:19" ht="15.75">
      <c r="A5" s="88" t="s">
        <v>69</v>
      </c>
    </row>
    <row r="6" spans="1:19" ht="15.75">
      <c r="A6" s="88" t="s">
        <v>68</v>
      </c>
    </row>
    <row r="8" spans="1:19" ht="24.75" customHeight="1">
      <c r="A8" s="35" t="s">
        <v>26</v>
      </c>
    </row>
    <row r="9" spans="1:19" ht="15" customHeight="1">
      <c r="A9" s="34" t="s">
        <v>25</v>
      </c>
    </row>
    <row r="10" spans="1:19" ht="15" customHeight="1">
      <c r="A10" s="1"/>
      <c r="G10" s="33"/>
      <c r="N10" s="32"/>
    </row>
    <row r="11" spans="1:19" ht="15" customHeight="1">
      <c r="C11" s="31" t="s">
        <v>24</v>
      </c>
      <c r="D11" s="30">
        <f>1-0.209</f>
        <v>0.79100000000000004</v>
      </c>
      <c r="E11" s="31" t="s">
        <v>23</v>
      </c>
      <c r="F11" s="30">
        <f>1+0.209</f>
        <v>1.2090000000000001</v>
      </c>
    </row>
    <row r="12" spans="1:19" ht="15" customHeight="1">
      <c r="A12" s="1"/>
    </row>
    <row r="13" spans="1:19" ht="15" customHeight="1">
      <c r="D13" s="10"/>
      <c r="E13" s="10"/>
      <c r="F13" s="10"/>
      <c r="G13" s="10"/>
      <c r="I13" s="10"/>
      <c r="K13" s="29"/>
      <c r="L13" s="89" t="s">
        <v>22</v>
      </c>
      <c r="M13" s="89"/>
      <c r="N13" s="89"/>
      <c r="O13" s="89"/>
      <c r="P13" s="89"/>
      <c r="Q13" s="89"/>
      <c r="R13" s="89"/>
      <c r="S13" s="89"/>
    </row>
    <row r="14" spans="1:19" ht="15" customHeight="1">
      <c r="B14" s="10"/>
      <c r="C14" s="10"/>
      <c r="D14" s="10"/>
      <c r="E14" s="10"/>
      <c r="F14" s="10"/>
      <c r="G14" s="10"/>
      <c r="I14" s="10"/>
      <c r="K14" s="28"/>
      <c r="L14" s="89" t="s">
        <v>21</v>
      </c>
      <c r="M14" s="89"/>
      <c r="N14" s="89"/>
      <c r="O14" s="89"/>
      <c r="P14" s="89"/>
      <c r="Q14" s="89"/>
      <c r="R14" s="89"/>
      <c r="S14" s="89"/>
    </row>
    <row r="15" spans="1:19" s="22" customFormat="1" ht="112.5" customHeight="1">
      <c r="B15" s="25" t="s">
        <v>20</v>
      </c>
      <c r="C15" s="25" t="s">
        <v>19</v>
      </c>
      <c r="D15" s="25" t="s">
        <v>18</v>
      </c>
      <c r="E15" s="25" t="s">
        <v>17</v>
      </c>
      <c r="F15" s="24" t="s">
        <v>16</v>
      </c>
      <c r="G15" s="25" t="s">
        <v>15</v>
      </c>
      <c r="H15" s="24" t="s">
        <v>14</v>
      </c>
      <c r="I15" s="25" t="s">
        <v>13</v>
      </c>
      <c r="J15" s="24" t="s">
        <v>12</v>
      </c>
      <c r="K15" s="27" t="s">
        <v>11</v>
      </c>
      <c r="L15" s="23" t="s">
        <v>10</v>
      </c>
      <c r="M15" s="23" t="s">
        <v>9</v>
      </c>
      <c r="N15" s="23" t="s">
        <v>8</v>
      </c>
      <c r="O15" s="23" t="s">
        <v>7</v>
      </c>
      <c r="P15" s="23" t="s">
        <v>6</v>
      </c>
      <c r="Q15" s="23" t="s">
        <v>5</v>
      </c>
      <c r="R15" s="23" t="s">
        <v>4</v>
      </c>
      <c r="S15" s="26" t="s">
        <v>3</v>
      </c>
    </row>
    <row r="16" spans="1:19" s="22" customFormat="1" ht="15" customHeight="1">
      <c r="A16" s="24" t="s">
        <v>2</v>
      </c>
      <c r="B16" s="25" t="s">
        <v>1</v>
      </c>
      <c r="C16" s="25" t="s">
        <v>1</v>
      </c>
      <c r="D16" s="25" t="s">
        <v>1</v>
      </c>
      <c r="E16" s="25" t="s">
        <v>1</v>
      </c>
      <c r="F16" s="24" t="s">
        <v>1</v>
      </c>
      <c r="G16" s="25" t="s">
        <v>1</v>
      </c>
      <c r="H16" s="24" t="s">
        <v>1</v>
      </c>
      <c r="I16" s="25" t="s">
        <v>1</v>
      </c>
      <c r="J16" s="24" t="s">
        <v>1</v>
      </c>
      <c r="K16" s="24" t="s">
        <v>1</v>
      </c>
      <c r="L16" s="23" t="s">
        <v>0</v>
      </c>
      <c r="M16" s="23" t="s">
        <v>0</v>
      </c>
      <c r="N16" s="23" t="s">
        <v>0</v>
      </c>
      <c r="O16" s="23" t="s">
        <v>0</v>
      </c>
      <c r="P16" s="23" t="s">
        <v>0</v>
      </c>
      <c r="Q16" s="23" t="s">
        <v>0</v>
      </c>
      <c r="R16" s="23" t="s">
        <v>0</v>
      </c>
      <c r="S16" s="23" t="s">
        <v>0</v>
      </c>
    </row>
    <row r="17" spans="1:19" ht="15" customHeight="1">
      <c r="A17" s="13">
        <v>41640</v>
      </c>
      <c r="B17" s="8">
        <v>4.5403508981821297</v>
      </c>
      <c r="C17" s="8">
        <v>4.5453053729014501</v>
      </c>
      <c r="D17" s="8">
        <v>4.5474406031906298</v>
      </c>
      <c r="E17" s="12">
        <v>4.5470654716081098</v>
      </c>
      <c r="F17" s="4">
        <v>5.2054822160436602</v>
      </c>
      <c r="G17" s="8">
        <v>4.5299185954854799</v>
      </c>
      <c r="H17" s="4">
        <v>5.1810010193679901</v>
      </c>
      <c r="I17" s="8">
        <v>4.5333202317294603</v>
      </c>
      <c r="J17" s="4">
        <v>4.407</v>
      </c>
      <c r="K17" s="4">
        <v>4.4959996929375601</v>
      </c>
      <c r="L17" s="9">
        <v>29.253942540000001</v>
      </c>
      <c r="M17" s="9">
        <v>12.063650000000001</v>
      </c>
      <c r="N17" s="9">
        <v>4.9444999999999997</v>
      </c>
      <c r="O17" s="9">
        <v>0.71033400000000002</v>
      </c>
      <c r="P17" s="9">
        <v>0.77903628000000003</v>
      </c>
      <c r="Q17" s="9"/>
      <c r="R17" s="9">
        <v>0.4</v>
      </c>
      <c r="S17" s="21">
        <v>1.0435350000000001</v>
      </c>
    </row>
    <row r="18" spans="1:19" ht="15" customHeight="1">
      <c r="A18" s="13">
        <v>41671</v>
      </c>
      <c r="B18" s="8">
        <v>5.7253939823975104</v>
      </c>
      <c r="C18" s="8">
        <v>5.7303484571168299</v>
      </c>
      <c r="D18" s="8">
        <v>5.7503593719377601</v>
      </c>
      <c r="E18" s="12">
        <v>5.7440587165890404</v>
      </c>
      <c r="F18" s="4">
        <v>6.4008229009180804</v>
      </c>
      <c r="G18" s="8">
        <v>5.7195685555344298</v>
      </c>
      <c r="H18" s="4">
        <v>6.3642786331106604</v>
      </c>
      <c r="I18" s="8">
        <v>5.77879893816087</v>
      </c>
      <c r="J18" s="4">
        <v>5.55779533908155</v>
      </c>
      <c r="K18" s="4">
        <v>5.6800276756208303</v>
      </c>
      <c r="L18" s="9">
        <v>26.512149040000001</v>
      </c>
      <c r="M18" s="9">
        <v>10.8962</v>
      </c>
      <c r="N18" s="9">
        <v>4.4660000000000002</v>
      </c>
      <c r="O18" s="9">
        <v>0.64159200000000005</v>
      </c>
      <c r="P18" s="9">
        <v>0.77903628000000003</v>
      </c>
      <c r="Q18" s="9"/>
      <c r="R18" s="9">
        <v>0.4</v>
      </c>
      <c r="S18" s="21">
        <v>1.0435350000000001</v>
      </c>
    </row>
    <row r="19" spans="1:19" ht="15" customHeight="1">
      <c r="A19" s="13">
        <v>41699</v>
      </c>
      <c r="B19" s="8">
        <v>5.0025024161324501</v>
      </c>
      <c r="C19" s="8">
        <v>5.0074568908517696</v>
      </c>
      <c r="D19" s="8">
        <v>5.0614249041503099</v>
      </c>
      <c r="E19" s="12">
        <v>5.0429066154505398</v>
      </c>
      <c r="F19" s="4">
        <v>5.7088241366301604</v>
      </c>
      <c r="G19" s="8">
        <v>5.0372470232526201</v>
      </c>
      <c r="H19" s="4">
        <v>5.6792633425907804</v>
      </c>
      <c r="I19" s="8">
        <v>5.0444680614808997</v>
      </c>
      <c r="J19" s="4">
        <v>4.85579533908155</v>
      </c>
      <c r="K19" s="4">
        <v>4.9655957411274896</v>
      </c>
      <c r="L19" s="9">
        <v>29.394616540000001</v>
      </c>
      <c r="M19" s="9">
        <v>12.063650000000001</v>
      </c>
      <c r="N19" s="9">
        <v>4.9444999999999997</v>
      </c>
      <c r="O19" s="9">
        <v>0.71033400000000002</v>
      </c>
      <c r="P19" s="9">
        <v>0.77903628000000003</v>
      </c>
      <c r="Q19" s="9"/>
      <c r="R19" s="9">
        <v>0.4</v>
      </c>
      <c r="S19" s="21">
        <v>1.0435350000000001</v>
      </c>
    </row>
    <row r="20" spans="1:19" ht="15" customHeight="1">
      <c r="A20" s="13">
        <v>41730</v>
      </c>
      <c r="B20" s="8">
        <v>4.7242193852928898</v>
      </c>
      <c r="C20" s="8">
        <v>4.7285916418283396</v>
      </c>
      <c r="D20" s="8">
        <v>4.8068059613357903</v>
      </c>
      <c r="E20" s="12">
        <v>4.7822326339714403</v>
      </c>
      <c r="F20" s="4">
        <v>5.4863959623947602</v>
      </c>
      <c r="G20" s="8">
        <v>4.7603316510110698</v>
      </c>
      <c r="H20" s="4">
        <v>5.4590798563522398</v>
      </c>
      <c r="I20" s="8">
        <v>4.7562598941315004</v>
      </c>
      <c r="J20" s="4">
        <v>4.5847953390815501</v>
      </c>
      <c r="K20" s="4">
        <v>4.68923954870169</v>
      </c>
      <c r="L20" s="9">
        <v>30.193848039999999</v>
      </c>
      <c r="M20" s="9">
        <v>11.6745</v>
      </c>
      <c r="N20" s="9">
        <v>4.7850000000000001</v>
      </c>
      <c r="O20" s="9">
        <v>0.68742000000000003</v>
      </c>
      <c r="P20" s="9">
        <v>0.77903628000000003</v>
      </c>
      <c r="Q20" s="9"/>
      <c r="R20" s="9">
        <v>0.3</v>
      </c>
      <c r="S20" s="21">
        <v>1.0435350000000001</v>
      </c>
    </row>
    <row r="21" spans="1:19" ht="15" customHeight="1">
      <c r="A21" s="13">
        <v>41760</v>
      </c>
      <c r="B21" s="8">
        <v>4.9381176608916197</v>
      </c>
      <c r="C21" s="8">
        <v>4.9461153623711702</v>
      </c>
      <c r="D21" s="8">
        <v>5.0065241995266598</v>
      </c>
      <c r="E21" s="12">
        <v>4.99187975990304</v>
      </c>
      <c r="F21" s="4">
        <v>5.7148753737689901</v>
      </c>
      <c r="G21" s="8">
        <v>4.9585702312142796</v>
      </c>
      <c r="H21" s="4">
        <v>5.93206327334065</v>
      </c>
      <c r="I21" s="8">
        <v>4.9481720595449401</v>
      </c>
      <c r="J21" s="4">
        <v>4.7961753344205196</v>
      </c>
      <c r="K21" s="4">
        <v>4.8989427169094304</v>
      </c>
      <c r="L21" s="9">
        <v>32.596418040000003</v>
      </c>
      <c r="M21" s="9">
        <v>12.063650000000001</v>
      </c>
      <c r="N21" s="9">
        <v>4.9444999999999997</v>
      </c>
      <c r="O21" s="9">
        <v>0.71033400000000002</v>
      </c>
      <c r="P21" s="9">
        <v>0.80500415599999997</v>
      </c>
      <c r="Q21" s="9"/>
      <c r="R21" s="9">
        <v>0.3</v>
      </c>
      <c r="S21" s="21">
        <v>1.0435350000000001</v>
      </c>
    </row>
    <row r="22" spans="1:19" ht="15" customHeight="1">
      <c r="A22" s="13">
        <v>41791</v>
      </c>
      <c r="B22" s="8">
        <f>CHOOSE( CONTROL!$C$32, 4.771, 4.7706) * CHOOSE(CONTROL!$C$15, $D$11, 100%, $F$11)</f>
        <v>4.7709999999999999</v>
      </c>
      <c r="C22" s="8">
        <f>CHOOSE( CONTROL!$C$32, 4.779, 4.7785) * CHOOSE(CONTROL!$C$15, $D$11, 100%, $F$11)</f>
        <v>4.7789999999999999</v>
      </c>
      <c r="D22" s="8">
        <f>CHOOSE( CONTROL!$C$32, 4.8071, 4.8067) * CHOOSE( CONTROL!$C$15, $D$11, 100%, $F$11)</f>
        <v>4.8071000000000002</v>
      </c>
      <c r="E22" s="12">
        <f>CHOOSE( CONTROL!$C$32, 4.7961, 4.7957) * CHOOSE( CONTROL!$C$15, $D$11, 100%, $F$11)</f>
        <v>4.7961</v>
      </c>
      <c r="F22" s="4">
        <f>CHOOSE( CONTROL!$C$32, 5.514, 5.5136) * CHOOSE(CONTROL!$C$15, $D$11, 100%, $F$11)</f>
        <v>5.5140000000000002</v>
      </c>
      <c r="G22" s="8">
        <f>CHOOSE( CONTROL!$C$32, 4.7586, 4.7582) * CHOOSE( CONTROL!$C$15, $D$11, 100%, $F$11)</f>
        <v>4.7586000000000004</v>
      </c>
      <c r="H22" s="4">
        <f>CHOOSE( CONTROL!$C$32, 5.6961, 5.6956) * CHOOSE(CONTROL!$C$15, $D$11, 100%, $F$11)</f>
        <v>5.6961000000000004</v>
      </c>
      <c r="I22" s="8">
        <f>CHOOSE( CONTROL!$C$32, 4.7508, 4.7504) * CHOOSE(CONTROL!$C$15, $D$11, 100%, $F$11)</f>
        <v>4.7507999999999999</v>
      </c>
      <c r="J22" s="4">
        <f>CHOOSE( CONTROL!$C$32, 4.6194, 4.619) * CHOOSE(CONTROL!$C$15, $D$11, 100%, $F$11)</f>
        <v>4.6193999999999997</v>
      </c>
      <c r="K22" s="4">
        <f>CHOOSE( CONTROL!$C$32, 4.7119, 4.7115) * CHOOSE(CONTROL!$C$15, $D$11, 100%, $F$11)</f>
        <v>4.7119</v>
      </c>
      <c r="L22" s="9">
        <v>30.775700000000001</v>
      </c>
      <c r="M22" s="9">
        <v>11.6745</v>
      </c>
      <c r="N22" s="9">
        <v>4.3724999999999996</v>
      </c>
      <c r="O22" s="9">
        <v>0.59589999999999999</v>
      </c>
      <c r="P22" s="9">
        <v>0.78300000000000003</v>
      </c>
      <c r="Q22" s="9"/>
      <c r="R22" s="9">
        <v>0.3</v>
      </c>
      <c r="S22" s="20">
        <v>1.0573999999999999</v>
      </c>
    </row>
    <row r="23" spans="1:19" ht="15" customHeight="1">
      <c r="A23" s="13">
        <v>41821</v>
      </c>
      <c r="B23" s="8">
        <f>CHOOSE( CONTROL!$C$32, 4.5454, 4.5449) * CHOOSE(CONTROL!$C$15, $D$11, 100%, $F$11)</f>
        <v>4.5453999999999999</v>
      </c>
      <c r="C23" s="8">
        <f>CHOOSE( CONTROL!$C$32, 4.5533, 4.5529) * CHOOSE(CONTROL!$C$15, $D$11, 100%, $F$11)</f>
        <v>4.5533000000000001</v>
      </c>
      <c r="D23" s="8">
        <f>CHOOSE( CONTROL!$C$32, 4.5953, 4.5949) * CHOOSE( CONTROL!$C$15, $D$11, 100%, $F$11)</f>
        <v>4.5952999999999999</v>
      </c>
      <c r="E23" s="12">
        <f>CHOOSE( CONTROL!$C$32, 4.5795, 4.5791) * CHOOSE( CONTROL!$C$15, $D$11, 100%, $F$11)</f>
        <v>4.5795000000000003</v>
      </c>
      <c r="F23" s="4">
        <f>CHOOSE( CONTROL!$C$32, 5.2997, 5.2992) * CHOOSE(CONTROL!$C$15, $D$11, 100%, $F$11)</f>
        <v>5.2996999999999996</v>
      </c>
      <c r="G23" s="8">
        <f>CHOOSE( CONTROL!$C$32, 4.5495, 4.549) * CHOOSE( CONTROL!$C$15, $D$11, 100%, $F$11)</f>
        <v>4.5495000000000001</v>
      </c>
      <c r="H23" s="4">
        <f>CHOOSE( CONTROL!$C$32, 5.4843, 5.4838) * CHOOSE(CONTROL!$C$15, $D$11, 100%, $F$11)</f>
        <v>5.4843000000000002</v>
      </c>
      <c r="I23" s="8">
        <f>CHOOSE( CONTROL!$C$32, 4.5434, 4.543) * CHOOSE(CONTROL!$C$15, $D$11, 100%, $F$11)</f>
        <v>4.5434000000000001</v>
      </c>
      <c r="J23" s="4">
        <f>CHOOSE( CONTROL!$C$32, 4.4004, 4.4) * CHOOSE(CONTROL!$C$15, $D$11, 100%, $F$11)</f>
        <v>4.4004000000000003</v>
      </c>
      <c r="K23" s="4">
        <f>CHOOSE( CONTROL!$C$32, 4.5082, 4.5078) * CHOOSE(CONTROL!$C$15, $D$11, 100%, $F$11)</f>
        <v>4.5082000000000004</v>
      </c>
      <c r="L23" s="9">
        <v>31.801500000000001</v>
      </c>
      <c r="M23" s="9">
        <v>12.063700000000001</v>
      </c>
      <c r="N23" s="9">
        <v>4.5183</v>
      </c>
      <c r="O23" s="9">
        <v>0.61570000000000003</v>
      </c>
      <c r="P23" s="9">
        <v>0.80910000000000004</v>
      </c>
      <c r="Q23" s="9"/>
      <c r="R23" s="9">
        <f t="shared" ref="R23:R56" si="0">(0.12*2500000)/1000000</f>
        <v>0.3</v>
      </c>
      <c r="S23" s="17">
        <v>1.0592999999999999</v>
      </c>
    </row>
    <row r="24" spans="1:19" ht="15" customHeight="1">
      <c r="A24" s="13">
        <v>41852</v>
      </c>
      <c r="B24" s="8">
        <f>CHOOSE( CONTROL!$C$32, 3.9354, 3.9349) * CHOOSE(CONTROL!$C$15, $D$11, 100%, $F$11)</f>
        <v>3.9354</v>
      </c>
      <c r="C24" s="8">
        <f>CHOOSE( CONTROL!$C$32, 3.9433, 3.9429) * CHOOSE(CONTROL!$C$15, $D$11, 100%, $F$11)</f>
        <v>3.9432999999999998</v>
      </c>
      <c r="D24" s="8">
        <f>CHOOSE( CONTROL!$C$32, 3.9507, 3.9502) * CHOOSE( CONTROL!$C$15, $D$11, 100%, $F$11)</f>
        <v>3.9506999999999999</v>
      </c>
      <c r="E24" s="12">
        <f>CHOOSE( CONTROL!$C$32, 3.947, 3.9465) * CHOOSE( CONTROL!$C$15, $D$11, 100%, $F$11)</f>
        <v>3.9470000000000001</v>
      </c>
      <c r="F24" s="4">
        <f>CHOOSE( CONTROL!$C$32, 4.6165, 4.6161) * CHOOSE(CONTROL!$C$15, $D$11, 100%, $F$11)</f>
        <v>4.6165000000000003</v>
      </c>
      <c r="G24" s="8">
        <f>CHOOSE( CONTROL!$C$32, 3.9091, 3.9087) * CHOOSE( CONTROL!$C$15, $D$11, 100%, $F$11)</f>
        <v>3.9091</v>
      </c>
      <c r="H24" s="4">
        <f>CHOOSE( CONTROL!$C$32, 4.8091, 4.8087) * CHOOSE(CONTROL!$C$15, $D$11, 100%, $F$11)</f>
        <v>4.8090999999999999</v>
      </c>
      <c r="I24" s="8">
        <f>CHOOSE( CONTROL!$C$32, 3.9341, 3.9336) * CHOOSE(CONTROL!$C$15, $D$11, 100%, $F$11)</f>
        <v>3.9340999999999999</v>
      </c>
      <c r="J24" s="4">
        <f>CHOOSE( CONTROL!$C$32, 3.8084, 3.808) * CHOOSE(CONTROL!$C$15, $D$11, 100%, $F$11)</f>
        <v>3.8083999999999998</v>
      </c>
      <c r="K24" s="4">
        <f>CHOOSE( CONTROL!$C$32, 3.8997, 3.8993) * CHOOSE(CONTROL!$C$15, $D$11, 100%, $F$11)</f>
        <v>3.8997000000000002</v>
      </c>
      <c r="L24" s="9">
        <v>31.801500000000001</v>
      </c>
      <c r="M24" s="9">
        <v>12.063700000000001</v>
      </c>
      <c r="N24" s="9">
        <v>4.5183</v>
      </c>
      <c r="O24" s="9">
        <v>0.61570000000000003</v>
      </c>
      <c r="P24" s="9">
        <v>0.80910000000000004</v>
      </c>
      <c r="Q24" s="9"/>
      <c r="R24" s="9">
        <f t="shared" si="0"/>
        <v>0.3</v>
      </c>
      <c r="S24" s="17">
        <v>1.0592999999999999</v>
      </c>
    </row>
    <row r="25" spans="1:19" ht="15" customHeight="1">
      <c r="A25" s="13">
        <v>41883</v>
      </c>
      <c r="B25" s="8">
        <f>CHOOSE( CONTROL!$C$32, 4.0889, 4.0884) * CHOOSE(CONTROL!$C$15, $D$11, 100%, $F$11)</f>
        <v>4.0888999999999998</v>
      </c>
      <c r="C25" s="8">
        <f>CHOOSE( CONTROL!$C$32, 4.0969, 4.0964) * CHOOSE(CONTROL!$C$15, $D$11, 100%, $F$11)</f>
        <v>4.0968999999999998</v>
      </c>
      <c r="D25" s="8">
        <f>CHOOSE( CONTROL!$C$32, 4.1282, 4.1278) * CHOOSE( CONTROL!$C$15, $D$11, 100%, $F$11)</f>
        <v>4.1281999999999996</v>
      </c>
      <c r="E25" s="12">
        <f>CHOOSE( CONTROL!$C$32, 4.1161, 4.1157) * CHOOSE( CONTROL!$C$15, $D$11, 100%, $F$11)</f>
        <v>4.1161000000000003</v>
      </c>
      <c r="F25" s="4">
        <f>CHOOSE( CONTROL!$C$32, 4.801, 4.8005) * CHOOSE(CONTROL!$C$15, $D$11, 100%, $F$11)</f>
        <v>4.8010000000000002</v>
      </c>
      <c r="G25" s="8">
        <f>CHOOSE( CONTROL!$C$32, 4.0837, 4.0832) * CHOOSE( CONTROL!$C$15, $D$11, 100%, $F$11)</f>
        <v>4.0837000000000003</v>
      </c>
      <c r="H25" s="4">
        <f>CHOOSE( CONTROL!$C$32, 4.9914, 4.9909) * CHOOSE(CONTROL!$C$15, $D$11, 100%, $F$11)</f>
        <v>4.9913999999999996</v>
      </c>
      <c r="I25" s="8">
        <f>CHOOSE( CONTROL!$C$32, 4.09, 4.0896) * CHOOSE(CONTROL!$C$15, $D$11, 100%, $F$11)</f>
        <v>4.09</v>
      </c>
      <c r="J25" s="4">
        <f>CHOOSE( CONTROL!$C$32, 3.9574, 3.957) * CHOOSE(CONTROL!$C$15, $D$11, 100%, $F$11)</f>
        <v>3.9573999999999998</v>
      </c>
      <c r="K25" s="4">
        <f>CHOOSE( CONTROL!$C$32, 4.0584, 4.0579) * CHOOSE(CONTROL!$C$15, $D$11, 100%, $F$11)</f>
        <v>4.0583999999999998</v>
      </c>
      <c r="L25" s="9">
        <v>30.775700000000001</v>
      </c>
      <c r="M25" s="9">
        <v>11.6745</v>
      </c>
      <c r="N25" s="9">
        <v>4.3724999999999996</v>
      </c>
      <c r="O25" s="9">
        <v>0.59589999999999999</v>
      </c>
      <c r="P25" s="9">
        <v>0.78300000000000003</v>
      </c>
      <c r="Q25" s="9"/>
      <c r="R25" s="9">
        <f t="shared" si="0"/>
        <v>0.3</v>
      </c>
      <c r="S25" s="17">
        <v>1.0592999999999999</v>
      </c>
    </row>
    <row r="26" spans="1:19" ht="15" customHeight="1">
      <c r="A26" s="13">
        <v>41913</v>
      </c>
      <c r="B26" s="8">
        <f>CHOOSE( CONTROL!$C$32, 4.1148, 4.1145) * CHOOSE(CONTROL!$C$15, $D$11, 100%, $F$11)</f>
        <v>4.1147999999999998</v>
      </c>
      <c r="C26" s="8">
        <f>CHOOSE( CONTROL!$C$32, 4.1201, 4.1199) * CHOOSE(CONTROL!$C$15, $D$11, 100%, $F$11)</f>
        <v>4.1200999999999999</v>
      </c>
      <c r="D26" s="8">
        <f>CHOOSE( CONTROL!$C$32, 4.1338, 4.1335) * CHOOSE( CONTROL!$C$15, $D$11, 100%, $F$11)</f>
        <v>4.1337999999999999</v>
      </c>
      <c r="E26" s="12">
        <f>CHOOSE( CONTROL!$C$32, 4.1287, 4.1284) * CHOOSE( CONTROL!$C$15, $D$11, 100%, $F$11)</f>
        <v>4.1287000000000003</v>
      </c>
      <c r="F26" s="4">
        <f>CHOOSE( CONTROL!$C$32, 4.7719, 4.7717) * CHOOSE(CONTROL!$C$15, $D$11, 100%, $F$11)</f>
        <v>4.7718999999999996</v>
      </c>
      <c r="G26" s="8">
        <f>CHOOSE( CONTROL!$C$32, 4.0878, 4.0875) * CHOOSE( CONTROL!$C$15, $D$11, 100%, $F$11)</f>
        <v>4.0877999999999997</v>
      </c>
      <c r="H26" s="4">
        <f>CHOOSE( CONTROL!$C$32, 4.9627, 4.9624) * CHOOSE(CONTROL!$C$15, $D$11, 100%, $F$11)</f>
        <v>4.9626999999999999</v>
      </c>
      <c r="I26" s="8">
        <f>CHOOSE( CONTROL!$C$32, 4.1073, 4.1071) * CHOOSE(CONTROL!$C$15, $D$11, 100%, $F$11)</f>
        <v>4.1073000000000004</v>
      </c>
      <c r="J26" s="4">
        <f>CHOOSE( CONTROL!$C$32, 3.9843, 3.984) * CHOOSE(CONTROL!$C$15, $D$11, 100%, $F$11)</f>
        <v>3.9843000000000002</v>
      </c>
      <c r="K26" s="4">
        <f>CHOOSE( CONTROL!$C$32, 4.0797, 4.0794) * CHOOSE(CONTROL!$C$15, $D$11, 100%, $F$11)</f>
        <v>4.0796999999999999</v>
      </c>
      <c r="L26" s="9">
        <v>30.661300000000001</v>
      </c>
      <c r="M26" s="9">
        <v>12.063700000000001</v>
      </c>
      <c r="N26" s="9">
        <v>4.9444999999999997</v>
      </c>
      <c r="O26" s="9">
        <v>0.61570000000000003</v>
      </c>
      <c r="P26" s="9">
        <v>0.80910000000000004</v>
      </c>
      <c r="Q26" s="9"/>
      <c r="R26" s="9">
        <f t="shared" si="0"/>
        <v>0.3</v>
      </c>
      <c r="S26" s="17">
        <v>1.0592999999999999</v>
      </c>
    </row>
    <row r="27" spans="1:19" ht="15" customHeight="1">
      <c r="A27" s="13">
        <v>41944</v>
      </c>
      <c r="B27" s="8">
        <f>CHOOSE( CONTROL!$C$32, 3.8506, 3.8503) * CHOOSE(CONTROL!$C$15, $D$11, 100%, $F$11)</f>
        <v>3.8506</v>
      </c>
      <c r="C27" s="8">
        <f>CHOOSE( CONTROL!$C$32, 3.8557, 3.8554) * CHOOSE(CONTROL!$C$15, $D$11, 100%, $F$11)</f>
        <v>3.8557000000000001</v>
      </c>
      <c r="D27" s="8">
        <f>CHOOSE( CONTROL!$C$32, 3.8357, 3.8355) * CHOOSE( CONTROL!$C$15, $D$11, 100%, $F$11)</f>
        <v>3.8357000000000001</v>
      </c>
      <c r="E27" s="12">
        <f>CHOOSE( CONTROL!$C$32, 3.8425, 3.8422) * CHOOSE( CONTROL!$C$15, $D$11, 100%, $F$11)</f>
        <v>3.8424999999999998</v>
      </c>
      <c r="F27" s="4">
        <f>CHOOSE( CONTROL!$C$32, 4.4788, 4.4785) * CHOOSE(CONTROL!$C$15, $D$11, 100%, $F$11)</f>
        <v>4.4787999999999997</v>
      </c>
      <c r="G27" s="8">
        <f>CHOOSE( CONTROL!$C$32, 3.8005, 3.8002) * CHOOSE( CONTROL!$C$15, $D$11, 100%, $F$11)</f>
        <v>3.8005</v>
      </c>
      <c r="H27" s="19">
        <f>CHOOSE( CONTROL!$C$32, 4.673, 4.6727) * CHOOSE(CONTROL!$C$15, $D$11, 100%, $F$11)</f>
        <v>4.673</v>
      </c>
      <c r="I27" s="8">
        <f>CHOOSE( CONTROL!$C$32, 3.8294, 3.8292) * CHOOSE(CONTROL!$C$15, $D$11, 100%, $F$11)</f>
        <v>3.8294000000000001</v>
      </c>
      <c r="J27" s="4">
        <f>CHOOSE( CONTROL!$C$32, 3.7283, 3.728) * CHOOSE(CONTROL!$C$15, $D$11, 100%, $F$11)</f>
        <v>3.7282999999999999</v>
      </c>
      <c r="K27" s="4">
        <f>CHOOSE( CONTROL!$C$32, 3.8059, 3.8056) * CHOOSE(CONTROL!$C$15, $D$11, 100%, $F$11)</f>
        <v>3.8058999999999998</v>
      </c>
      <c r="L27" s="9">
        <v>27.9406</v>
      </c>
      <c r="M27" s="9">
        <v>11.6745</v>
      </c>
      <c r="N27" s="9">
        <v>4.7850000000000001</v>
      </c>
      <c r="O27" s="9">
        <v>0.59589999999999999</v>
      </c>
      <c r="P27" s="9">
        <v>0</v>
      </c>
      <c r="Q27" s="9"/>
      <c r="R27" s="9">
        <f t="shared" si="0"/>
        <v>0.3</v>
      </c>
      <c r="S27" s="17">
        <v>1.0592999999999999</v>
      </c>
    </row>
    <row r="28" spans="1:19" ht="15" customHeight="1">
      <c r="A28" s="13">
        <v>41974</v>
      </c>
      <c r="B28" s="8">
        <f>CHOOSE( CONTROL!$C$32, 4.4215, 4.4212) * CHOOSE(CONTROL!$C$15, $D$11, 100%, $F$11)</f>
        <v>4.4215</v>
      </c>
      <c r="C28" s="8">
        <f>CHOOSE( CONTROL!$C$32, 4.4265, 4.4263) * CHOOSE(CONTROL!$C$15, $D$11, 100%, $F$11)</f>
        <v>4.4264999999999999</v>
      </c>
      <c r="D28" s="8">
        <f>CHOOSE( CONTROL!$C$32, 4.4379, 4.4376) * CHOOSE( CONTROL!$C$15, $D$11, 100%, $F$11)</f>
        <v>4.4379</v>
      </c>
      <c r="E28" s="12">
        <f>CHOOSE( CONTROL!$C$32, 4.4332, 4.4329) * CHOOSE( CONTROL!$C$15, $D$11, 100%, $F$11)</f>
        <v>4.4332000000000003</v>
      </c>
      <c r="F28" s="4">
        <f>CHOOSE( CONTROL!$C$32, 5.0687, 5.0684) * CHOOSE(CONTROL!$C$15, $D$11, 100%, $F$11)</f>
        <v>5.0686999999999998</v>
      </c>
      <c r="G28" s="8">
        <f>CHOOSE( CONTROL!$C$32, 4.3956, 4.3953) * CHOOSE( CONTROL!$C$15, $D$11, 100%, $F$11)</f>
        <v>4.3956</v>
      </c>
      <c r="H28" s="4">
        <f>CHOOSE( CONTROL!$C$32, 5.256, 5.2557) * CHOOSE(CONTROL!$C$15, $D$11, 100%, $F$11)</f>
        <v>5.2560000000000002</v>
      </c>
      <c r="I28" s="8">
        <f>CHOOSE( CONTROL!$C$32, 4.4398, 4.4395) * CHOOSE(CONTROL!$C$15, $D$11, 100%, $F$11)</f>
        <v>4.4398</v>
      </c>
      <c r="J28" s="18">
        <f>CHOOSE( CONTROL!$C$32, 4.2823, 4.282) * CHOOSE(CONTROL!$C$15, $D$11, 100%, $F$11)</f>
        <v>4.2823000000000002</v>
      </c>
      <c r="K28" s="4">
        <f>CHOOSE( CONTROL!$C$32, 4.4001, 4.3998) * CHOOSE(CONTROL!$C$15, $D$11, 100%, $F$11)</f>
        <v>4.4001000000000001</v>
      </c>
      <c r="L28" s="9">
        <v>28.872</v>
      </c>
      <c r="M28" s="9">
        <v>12.063700000000001</v>
      </c>
      <c r="N28" s="9">
        <v>4.9444999999999997</v>
      </c>
      <c r="O28" s="9">
        <v>0.61570000000000003</v>
      </c>
      <c r="P28" s="9">
        <v>0</v>
      </c>
      <c r="Q28" s="9"/>
      <c r="R28" s="9">
        <f t="shared" si="0"/>
        <v>0.3</v>
      </c>
      <c r="S28" s="17">
        <v>1.0592999999999999</v>
      </c>
    </row>
    <row r="29" spans="1:19" ht="15" customHeight="1">
      <c r="A29" s="13">
        <v>42005</v>
      </c>
      <c r="B29" s="8">
        <f>CHOOSE( CONTROL!$C$32, 3.2952, 3.295) * CHOOSE(CONTROL!$C$15, $D$11, 100%, $F$11)</f>
        <v>3.2951999999999999</v>
      </c>
      <c r="C29" s="8">
        <f>CHOOSE( CONTROL!$C$32, 3.3003, 3.3) * CHOOSE(CONTROL!$C$15, $D$11, 100%, $F$11)</f>
        <v>3.3003</v>
      </c>
      <c r="D29" s="8">
        <f>CHOOSE( CONTROL!$C$32, 3.2955, 3.2953) * CHOOSE( CONTROL!$C$15, $D$11, 100%, $F$11)</f>
        <v>3.2955000000000001</v>
      </c>
      <c r="E29" s="12">
        <f>CHOOSE( CONTROL!$C$32, 3.2967, 3.2965) * CHOOSE( CONTROL!$C$15, $D$11, 100%, $F$11)</f>
        <v>3.2967</v>
      </c>
      <c r="F29" s="4">
        <f>CHOOSE( CONTROL!$C$32, 3.9373, 3.9371) * CHOOSE(CONTROL!$C$15, $D$11, 100%, $F$11)</f>
        <v>3.9373</v>
      </c>
      <c r="G29" s="8">
        <f>CHOOSE( CONTROL!$C$32, 3.2668, 3.2665) * CHOOSE( CONTROL!$C$15, $D$11, 100%, $F$11)</f>
        <v>3.2667999999999999</v>
      </c>
      <c r="H29" s="4">
        <f>CHOOSE( CONTROL!$C$32, 4.1379, 4.1376) * CHOOSE(CONTROL!$C$15, $D$11, 100%, $F$11)</f>
        <v>4.1379000000000001</v>
      </c>
      <c r="I29" s="8">
        <f>CHOOSE( CONTROL!$C$32, 3.3045, 3.3042) * CHOOSE(CONTROL!$C$15, $D$11, 100%, $F$11)</f>
        <v>3.3045</v>
      </c>
      <c r="J29" s="4">
        <f>CHOOSE( CONTROL!$C$32, 3.1893, 3.189) * CHOOSE(CONTROL!$C$15, $D$11, 100%, $F$11)</f>
        <v>3.1892999999999998</v>
      </c>
      <c r="K29" s="4">
        <f>CHOOSE( CONTROL!$C$32, 3.2685, 3.2683) * CHOOSE(CONTROL!$C$15, $D$11, 100%, $F$11)</f>
        <v>3.2685</v>
      </c>
      <c r="L29" s="9">
        <v>28.872</v>
      </c>
      <c r="M29" s="9">
        <v>12.063700000000001</v>
      </c>
      <c r="N29" s="9">
        <v>4.9444999999999997</v>
      </c>
      <c r="O29" s="9">
        <v>0.61570000000000003</v>
      </c>
      <c r="P29" s="9">
        <v>0</v>
      </c>
      <c r="Q29" s="9"/>
      <c r="R29" s="9">
        <f t="shared" si="0"/>
        <v>0.3</v>
      </c>
      <c r="S29" s="17">
        <v>1.0592999999999999</v>
      </c>
    </row>
    <row r="30" spans="1:19" ht="15" customHeight="1">
      <c r="A30" s="13">
        <v>42036</v>
      </c>
      <c r="B30" s="8">
        <f>CHOOSE( CONTROL!$C$32, 2.9789, 2.9786) * CHOOSE(CONTROL!$C$15, $D$11, 100%, $F$11)</f>
        <v>2.9788999999999999</v>
      </c>
      <c r="C30" s="8">
        <f>CHOOSE( CONTROL!$C$32, 2.984, 2.9837) * CHOOSE(CONTROL!$C$15, $D$11, 100%, $F$11)</f>
        <v>2.984</v>
      </c>
      <c r="D30" s="8">
        <f>CHOOSE( CONTROL!$C$32, 2.969, 2.9688) * CHOOSE( CONTROL!$C$15, $D$11, 100%, $F$11)</f>
        <v>2.9689999999999999</v>
      </c>
      <c r="E30" s="12">
        <f>CHOOSE( CONTROL!$C$32, 2.9739, 2.9737) * CHOOSE( CONTROL!$C$15, $D$11, 100%, $F$11)</f>
        <v>2.9739</v>
      </c>
      <c r="F30" s="4">
        <f>CHOOSE( CONTROL!$C$32, 3.621, 3.6207) * CHOOSE(CONTROL!$C$15, $D$11, 100%, $F$11)</f>
        <v>3.621</v>
      </c>
      <c r="G30" s="8">
        <f>CHOOSE( CONTROL!$C$32, 2.9444, 2.9441) * CHOOSE( CONTROL!$C$15, $D$11, 100%, $F$11)</f>
        <v>2.9443999999999999</v>
      </c>
      <c r="H30" s="4">
        <f>CHOOSE( CONTROL!$C$32, 3.8252, 3.825) * CHOOSE(CONTROL!$C$15, $D$11, 100%, $F$11)</f>
        <v>3.8252000000000002</v>
      </c>
      <c r="I30" s="8">
        <f>CHOOSE( CONTROL!$C$32, 2.9977, 2.9975) * CHOOSE(CONTROL!$C$15, $D$11, 100%, $F$11)</f>
        <v>2.9977</v>
      </c>
      <c r="J30" s="4">
        <f>CHOOSE( CONTROL!$C$32, 2.8823, 2.882) * CHOOSE(CONTROL!$C$15, $D$11, 100%, $F$11)</f>
        <v>2.8822999999999999</v>
      </c>
      <c r="K30" s="4">
        <f>CHOOSE( CONTROL!$C$32, 2.9492, 2.9489) * CHOOSE(CONTROL!$C$15, $D$11, 100%, $F$11)</f>
        <v>2.9491999999999998</v>
      </c>
      <c r="L30" s="9">
        <v>26.0779</v>
      </c>
      <c r="M30" s="9">
        <v>10.8962</v>
      </c>
      <c r="N30" s="9">
        <v>4.4660000000000002</v>
      </c>
      <c r="O30" s="9">
        <v>0.55610000000000004</v>
      </c>
      <c r="P30" s="9">
        <v>0</v>
      </c>
      <c r="Q30" s="9"/>
      <c r="R30" s="9">
        <f t="shared" si="0"/>
        <v>0.3</v>
      </c>
      <c r="S30" s="17">
        <v>1.0592999999999999</v>
      </c>
    </row>
    <row r="31" spans="1:19" ht="15" customHeight="1">
      <c r="A31" s="13">
        <v>42064</v>
      </c>
      <c r="B31" s="8">
        <f>CHOOSE( CONTROL!$C$32, 2.9717, 2.9714) * CHOOSE(CONTROL!$C$15, $D$11, 100%, $F$11)</f>
        <v>2.9716999999999998</v>
      </c>
      <c r="C31" s="8">
        <f>CHOOSE( CONTROL!$C$32, 2.9768, 2.9765) * CHOOSE(CONTROL!$C$15, $D$11, 100%, $F$11)</f>
        <v>2.9767999999999999</v>
      </c>
      <c r="D31" s="8">
        <f>CHOOSE( CONTROL!$C$32, 2.9529, 2.9526) * CHOOSE( CONTROL!$C$15, $D$11, 100%, $F$11)</f>
        <v>2.9529000000000001</v>
      </c>
      <c r="E31" s="12">
        <f>CHOOSE( CONTROL!$C$32, 2.9611, 2.9608) * CHOOSE( CONTROL!$C$15, $D$11, 100%, $F$11)</f>
        <v>2.9611000000000001</v>
      </c>
      <c r="F31" s="4">
        <f>CHOOSE( CONTROL!$C$32, 3.6189, 3.6187) * CHOOSE(CONTROL!$C$15, $D$11, 100%, $F$11)</f>
        <v>3.6189</v>
      </c>
      <c r="G31" s="8">
        <f>CHOOSE( CONTROL!$C$32, 2.9283, 2.928) * CHOOSE( CONTROL!$C$15, $D$11, 100%, $F$11)</f>
        <v>2.9283000000000001</v>
      </c>
      <c r="H31" s="4">
        <f>CHOOSE( CONTROL!$C$32, 3.8232, 3.8229) * CHOOSE(CONTROL!$C$15, $D$11, 100%, $F$11)</f>
        <v>3.8231999999999999</v>
      </c>
      <c r="I31" s="8">
        <f>CHOOSE( CONTROL!$C$32, 2.9555, 2.9553) * CHOOSE(CONTROL!$C$15, $D$11, 100%, $F$11)</f>
        <v>2.9554999999999998</v>
      </c>
      <c r="J31" s="4">
        <f>CHOOSE( CONTROL!$C$32, 2.8753, 2.875) * CHOOSE(CONTROL!$C$15, $D$11, 100%, $F$11)</f>
        <v>2.8753000000000002</v>
      </c>
      <c r="K31" s="4">
        <f>CHOOSE( CONTROL!$C$32, 2.943, 2.9428) * CHOOSE(CONTROL!$C$15, $D$11, 100%, $F$11)</f>
        <v>2.9430000000000001</v>
      </c>
      <c r="L31" s="9">
        <v>28.872</v>
      </c>
      <c r="M31" s="9">
        <v>12.063700000000001</v>
      </c>
      <c r="N31" s="9">
        <v>4.9444999999999997</v>
      </c>
      <c r="O31" s="9">
        <v>0.61570000000000003</v>
      </c>
      <c r="P31" s="9">
        <v>0</v>
      </c>
      <c r="Q31" s="9"/>
      <c r="R31" s="9">
        <f t="shared" si="0"/>
        <v>0.3</v>
      </c>
      <c r="S31" s="17">
        <v>1.0592999999999999</v>
      </c>
    </row>
    <row r="32" spans="1:19" ht="15" customHeight="1">
      <c r="A32" s="13">
        <v>42095</v>
      </c>
      <c r="B32" s="8">
        <f>CHOOSE( CONTROL!$C$32, 2.9364, 2.9361) * CHOOSE(CONTROL!$C$15, $D$11, 100%, $F$11)</f>
        <v>2.9363999999999999</v>
      </c>
      <c r="C32" s="8">
        <f>CHOOSE( CONTROL!$C$32, 2.9409, 2.9406) * CHOOSE(CONTROL!$C$15, $D$11, 100%, $F$11)</f>
        <v>2.9409000000000001</v>
      </c>
      <c r="D32" s="8">
        <f>CHOOSE( CONTROL!$C$32, 2.9211, 2.9208) * CHOOSE( CONTROL!$C$15, $D$11, 100%, $F$11)</f>
        <v>2.9211</v>
      </c>
      <c r="E32" s="12">
        <f>CHOOSE( CONTROL!$C$32, 2.9271, 2.9268) * CHOOSE( CONTROL!$C$15, $D$11, 100%, $F$11)</f>
        <v>2.9270999999999998</v>
      </c>
      <c r="F32" s="4">
        <f>CHOOSE( CONTROL!$C$32, 3.6447, 3.6444) * CHOOSE(CONTROL!$C$15, $D$11, 100%, $F$11)</f>
        <v>3.6446999999999998</v>
      </c>
      <c r="G32" s="8">
        <f>CHOOSE( CONTROL!$C$32, 2.8885, 2.8882) * CHOOSE( CONTROL!$C$15, $D$11, 100%, $F$11)</f>
        <v>2.8885000000000001</v>
      </c>
      <c r="H32" s="4">
        <f>CHOOSE( CONTROL!$C$32, 3.8487, 3.8484) * CHOOSE(CONTROL!$C$15, $D$11, 100%, $F$11)</f>
        <v>3.8487</v>
      </c>
      <c r="I32" s="8">
        <f>CHOOSE( CONTROL!$C$32, 2.921, 2.9208) * CHOOSE(CONTROL!$C$15, $D$11, 100%, $F$11)</f>
        <v>2.9209999999999998</v>
      </c>
      <c r="J32" s="4">
        <f>CHOOSE( CONTROL!$C$32, 2.8403, 2.84) * CHOOSE(CONTROL!$C$15, $D$11, 100%, $F$11)</f>
        <v>2.8403</v>
      </c>
      <c r="K32" s="4">
        <f>CHOOSE( CONTROL!$C$32, 2.896, 2.8957) * CHOOSE(CONTROL!$C$15, $D$11, 100%, $F$11)</f>
        <v>2.8959999999999999</v>
      </c>
      <c r="L32" s="9">
        <v>30.092199999999998</v>
      </c>
      <c r="M32" s="9">
        <v>11.6745</v>
      </c>
      <c r="N32" s="9">
        <v>4.7850000000000001</v>
      </c>
      <c r="O32" s="9">
        <v>0.59589999999999999</v>
      </c>
      <c r="P32" s="9">
        <v>2.0339999999999998</v>
      </c>
      <c r="Q32" s="9"/>
      <c r="R32" s="9">
        <f t="shared" si="0"/>
        <v>0.3</v>
      </c>
      <c r="S32" s="17">
        <v>1.0592999999999999</v>
      </c>
    </row>
    <row r="33" spans="1:19" ht="15" customHeight="1">
      <c r="A33" s="13">
        <v>42125</v>
      </c>
      <c r="B33" s="8">
        <f>CHOOSE( CONTROL!$C$32, 2.9585, 2.9581) * CHOOSE(CONTROL!$C$15, $D$11, 100%, $F$11)</f>
        <v>2.9584999999999999</v>
      </c>
      <c r="C33" s="8">
        <f>CHOOSE( CONTROL!$C$32, 2.9665, 2.9661) * CHOOSE(CONTROL!$C$15, $D$11, 100%, $F$11)</f>
        <v>2.9664999999999999</v>
      </c>
      <c r="D33" s="8">
        <f>CHOOSE( CONTROL!$C$32, 2.938, 2.9376) * CHOOSE( CONTROL!$C$15, $D$11, 100%, $F$11)</f>
        <v>2.9380000000000002</v>
      </c>
      <c r="E33" s="12">
        <f>CHOOSE( CONTROL!$C$32, 2.9468, 2.9464) * CHOOSE( CONTROL!$C$15, $D$11, 100%, $F$11)</f>
        <v>2.9468000000000001</v>
      </c>
      <c r="F33" s="4">
        <f>CHOOSE( CONTROL!$C$32, 3.6655, 3.665) * CHOOSE(CONTROL!$C$15, $D$11, 100%, $F$11)</f>
        <v>3.6655000000000002</v>
      </c>
      <c r="G33" s="8">
        <f>CHOOSE( CONTROL!$C$32, 2.922, 2.9216) * CHOOSE( CONTROL!$C$15, $D$11, 100%, $F$11)</f>
        <v>2.9220000000000002</v>
      </c>
      <c r="H33" s="4">
        <f>CHOOSE( CONTROL!$C$32, 3.8692, 3.8687) * CHOOSE(CONTROL!$C$15, $D$11, 100%, $F$11)</f>
        <v>3.8692000000000002</v>
      </c>
      <c r="I33" s="8">
        <f>CHOOSE( CONTROL!$C$32, 2.9418, 2.9414) * CHOOSE(CONTROL!$C$15, $D$11, 100%, $F$11)</f>
        <v>2.9418000000000002</v>
      </c>
      <c r="J33" s="4">
        <f>CHOOSE( CONTROL!$C$32, 2.8604, 2.86) * CHOOSE(CONTROL!$C$15, $D$11, 100%, $F$11)</f>
        <v>2.8603999999999998</v>
      </c>
      <c r="K33" s="4">
        <f>CHOOSE( CONTROL!$C$32, 2.9166, 2.9162) * CHOOSE(CONTROL!$C$15, $D$11, 100%, $F$11)</f>
        <v>2.9165999999999999</v>
      </c>
      <c r="L33" s="9">
        <v>32.235500000000002</v>
      </c>
      <c r="M33" s="9">
        <v>12.063700000000001</v>
      </c>
      <c r="N33" s="9">
        <v>4.5183</v>
      </c>
      <c r="O33" s="9">
        <v>0.61570000000000003</v>
      </c>
      <c r="P33" s="9">
        <v>2.1017999999999999</v>
      </c>
      <c r="Q33" s="9"/>
      <c r="R33" s="9">
        <f t="shared" si="0"/>
        <v>0.3</v>
      </c>
      <c r="S33" s="17">
        <v>1.0592999999999999</v>
      </c>
    </row>
    <row r="34" spans="1:19" ht="15" customHeight="1">
      <c r="A34" s="13">
        <v>42156</v>
      </c>
      <c r="B34" s="8">
        <f>CHOOSE( CONTROL!$C$32, 3.009, 3.0086) * CHOOSE(CONTROL!$C$15, $D$11, 100%, $F$11)</f>
        <v>3.0089999999999999</v>
      </c>
      <c r="C34" s="8">
        <f>CHOOSE( CONTROL!$C$32, 3.017, 3.0165) * CHOOSE(CONTROL!$C$15, $D$11, 100%, $F$11)</f>
        <v>3.0169999999999999</v>
      </c>
      <c r="D34" s="8">
        <f>CHOOSE( CONTROL!$C$32, 2.989, 2.9885) * CHOOSE( CONTROL!$C$15, $D$11, 100%, $F$11)</f>
        <v>2.9889999999999999</v>
      </c>
      <c r="E34" s="12">
        <f>CHOOSE( CONTROL!$C$32, 2.9976, 2.9971) * CHOOSE( CONTROL!$C$15, $D$11, 100%, $F$11)</f>
        <v>2.9975999999999998</v>
      </c>
      <c r="F34" s="4">
        <f>CHOOSE( CONTROL!$C$32, 3.716, 3.7155) * CHOOSE(CONTROL!$C$15, $D$11, 100%, $F$11)</f>
        <v>3.7160000000000002</v>
      </c>
      <c r="G34" s="8">
        <f>CHOOSE( CONTROL!$C$32, 2.9723, 2.9719) * CHOOSE( CONTROL!$C$15, $D$11, 100%, $F$11)</f>
        <v>2.9723000000000002</v>
      </c>
      <c r="H34" s="4">
        <f>CHOOSE( CONTROL!$C$32, 3.9191, 3.9186) * CHOOSE(CONTROL!$C$15, $D$11, 100%, $F$11)</f>
        <v>3.9190999999999998</v>
      </c>
      <c r="I34" s="8">
        <f>CHOOSE( CONTROL!$C$32, 2.9922, 2.9918) * CHOOSE(CONTROL!$C$15, $D$11, 100%, $F$11)</f>
        <v>2.9922</v>
      </c>
      <c r="J34" s="4">
        <f>CHOOSE( CONTROL!$C$32, 2.9094, 2.909) * CHOOSE(CONTROL!$C$15, $D$11, 100%, $F$11)</f>
        <v>2.9094000000000002</v>
      </c>
      <c r="K34" s="4">
        <f>CHOOSE( CONTROL!$C$32, 2.9668, 2.9663) * CHOOSE(CONTROL!$C$15, $D$11, 100%, $F$11)</f>
        <v>2.9668000000000001</v>
      </c>
      <c r="L34" s="9">
        <v>31.195699999999999</v>
      </c>
      <c r="M34" s="9">
        <v>11.6745</v>
      </c>
      <c r="N34" s="9">
        <v>4.3724999999999996</v>
      </c>
      <c r="O34" s="9">
        <v>0.59589999999999999</v>
      </c>
      <c r="P34" s="9">
        <v>2.0339999999999998</v>
      </c>
      <c r="Q34" s="9"/>
      <c r="R34" s="9">
        <f t="shared" si="0"/>
        <v>0.3</v>
      </c>
      <c r="S34" s="16">
        <v>1.0722</v>
      </c>
    </row>
    <row r="35" spans="1:19" ht="15" customHeight="1">
      <c r="A35" s="13">
        <v>42186</v>
      </c>
      <c r="B35" s="8">
        <f>CHOOSE( CONTROL!$C$32, 3.0647, 3.0642) * CHOOSE(CONTROL!$C$15, $D$11, 100%, $F$11)</f>
        <v>3.0647000000000002</v>
      </c>
      <c r="C35" s="8">
        <f>CHOOSE( CONTROL!$C$32, 3.0726, 3.0722) * CHOOSE(CONTROL!$C$15, $D$11, 100%, $F$11)</f>
        <v>3.0726</v>
      </c>
      <c r="D35" s="8">
        <f>CHOOSE( CONTROL!$C$32, 3.0452, 3.0447) * CHOOSE( CONTROL!$C$15, $D$11, 100%, $F$11)</f>
        <v>3.0451999999999999</v>
      </c>
      <c r="E35" s="12">
        <f>CHOOSE( CONTROL!$C$32, 3.0536, 3.0531) * CHOOSE( CONTROL!$C$15, $D$11, 100%, $F$11)</f>
        <v>3.0535999999999999</v>
      </c>
      <c r="F35" s="4">
        <f>CHOOSE( CONTROL!$C$32, 3.7716, 3.7712) * CHOOSE(CONTROL!$C$15, $D$11, 100%, $F$11)</f>
        <v>3.7715999999999998</v>
      </c>
      <c r="G35" s="8">
        <f>CHOOSE( CONTROL!$C$32, 3.0278, 3.0273) * CHOOSE( CONTROL!$C$15, $D$11, 100%, $F$11)</f>
        <v>3.0278</v>
      </c>
      <c r="H35" s="4">
        <f>CHOOSE( CONTROL!$C$32, 3.9741, 3.9736) * CHOOSE(CONTROL!$C$15, $D$11, 100%, $F$11)</f>
        <v>3.9741</v>
      </c>
      <c r="I35" s="8">
        <f>CHOOSE( CONTROL!$C$32, 3.0478, 3.0474) * CHOOSE(CONTROL!$C$15, $D$11, 100%, $F$11)</f>
        <v>3.0478000000000001</v>
      </c>
      <c r="J35" s="4">
        <f>CHOOSE( CONTROL!$C$32, 2.9634, 2.963) * CHOOSE(CONTROL!$C$15, $D$11, 100%, $F$11)</f>
        <v>2.9634</v>
      </c>
      <c r="K35" s="4">
        <f>CHOOSE( CONTROL!$C$32, 3.022, 3.0216) * CHOOSE(CONTROL!$C$15, $D$11, 100%, $F$11)</f>
        <v>3.0219999999999998</v>
      </c>
      <c r="L35" s="9">
        <v>32.235500000000002</v>
      </c>
      <c r="M35" s="9">
        <v>12.063700000000001</v>
      </c>
      <c r="N35" s="9">
        <v>4.5183</v>
      </c>
      <c r="O35" s="9">
        <v>0.61570000000000003</v>
      </c>
      <c r="P35" s="9">
        <v>2.1017999999999999</v>
      </c>
      <c r="Q35" s="9"/>
      <c r="R35" s="9">
        <f t="shared" si="0"/>
        <v>0.3</v>
      </c>
      <c r="S35" s="15">
        <v>1.0738000000000001</v>
      </c>
    </row>
    <row r="36" spans="1:19" ht="15" customHeight="1">
      <c r="A36" s="13">
        <v>42217</v>
      </c>
      <c r="B36" s="8">
        <f>CHOOSE( CONTROL!$C$32, 3.0812, 3.0807) * CHOOSE(CONTROL!$C$15, $D$11, 100%, $F$11)</f>
        <v>3.0811999999999999</v>
      </c>
      <c r="C36" s="8">
        <f>CHOOSE( CONTROL!$C$32, 3.0891, 3.0887) * CHOOSE(CONTROL!$C$15, $D$11, 100%, $F$11)</f>
        <v>3.0891000000000002</v>
      </c>
      <c r="D36" s="8">
        <f>CHOOSE( CONTROL!$C$32, 3.0618, 3.0613) * CHOOSE( CONTROL!$C$15, $D$11, 100%, $F$11)</f>
        <v>3.0617999999999999</v>
      </c>
      <c r="E36" s="12">
        <f>CHOOSE( CONTROL!$C$32, 3.0702, 3.0697) * CHOOSE( CONTROL!$C$15, $D$11, 100%, $F$11)</f>
        <v>3.0701999999999998</v>
      </c>
      <c r="F36" s="4">
        <f>CHOOSE( CONTROL!$C$32, 3.7881, 3.7876) * CHOOSE(CONTROL!$C$15, $D$11, 100%, $F$11)</f>
        <v>3.7881</v>
      </c>
      <c r="G36" s="8">
        <f>CHOOSE( CONTROL!$C$32, 3.0442, 3.0437) * CHOOSE( CONTROL!$C$15, $D$11, 100%, $F$11)</f>
        <v>3.0442</v>
      </c>
      <c r="H36" s="4">
        <f>CHOOSE( CONTROL!$C$32, 3.9904, 3.9899) * CHOOSE(CONTROL!$C$15, $D$11, 100%, $F$11)</f>
        <v>3.9904000000000002</v>
      </c>
      <c r="I36" s="8">
        <f>CHOOSE( CONTROL!$C$32, 3.0643, 3.0639) * CHOOSE(CONTROL!$C$15, $D$11, 100%, $F$11)</f>
        <v>3.0642999999999998</v>
      </c>
      <c r="J36" s="4">
        <f>CHOOSE( CONTROL!$C$32, 2.9794, 2.979) * CHOOSE(CONTROL!$C$15, $D$11, 100%, $F$11)</f>
        <v>2.9794</v>
      </c>
      <c r="K36" s="4">
        <f>CHOOSE( CONTROL!$C$32, 3.0384, 3.038) * CHOOSE(CONTROL!$C$15, $D$11, 100%, $F$11)</f>
        <v>3.0384000000000002</v>
      </c>
      <c r="L36" s="9">
        <v>32.235500000000002</v>
      </c>
      <c r="M36" s="9">
        <v>12.063700000000001</v>
      </c>
      <c r="N36" s="9">
        <v>4.5183</v>
      </c>
      <c r="O36" s="9">
        <v>0.61570000000000003</v>
      </c>
      <c r="P36" s="9">
        <v>2.1017999999999999</v>
      </c>
      <c r="Q36" s="9"/>
      <c r="R36" s="9">
        <f t="shared" si="0"/>
        <v>0.3</v>
      </c>
      <c r="S36" s="15">
        <v>1.0738000000000001</v>
      </c>
    </row>
    <row r="37" spans="1:19" ht="15" customHeight="1">
      <c r="A37" s="13">
        <v>42248</v>
      </c>
      <c r="B37" s="8">
        <f>CHOOSE( CONTROL!$C$32, 3.0626, 3.0622) * CHOOSE(CONTROL!$C$15, $D$11, 100%, $F$11)</f>
        <v>3.0626000000000002</v>
      </c>
      <c r="C37" s="8">
        <f>CHOOSE( CONTROL!$C$32, 3.0706, 3.0701) * CHOOSE(CONTROL!$C$15, $D$11, 100%, $F$11)</f>
        <v>3.0706000000000002</v>
      </c>
      <c r="D37" s="8">
        <f>CHOOSE( CONTROL!$C$32, 3.0431, 3.0426) * CHOOSE( CONTROL!$C$15, $D$11, 100%, $F$11)</f>
        <v>3.0430999999999999</v>
      </c>
      <c r="E37" s="12">
        <f>CHOOSE( CONTROL!$C$32, 3.0515, 3.051) * CHOOSE( CONTROL!$C$15, $D$11, 100%, $F$11)</f>
        <v>3.0514999999999999</v>
      </c>
      <c r="F37" s="4">
        <f>CHOOSE( CONTROL!$C$32, 3.7696, 3.7691) * CHOOSE(CONTROL!$C$15, $D$11, 100%, $F$11)</f>
        <v>3.7696000000000001</v>
      </c>
      <c r="G37" s="8">
        <f>CHOOSE( CONTROL!$C$32, 3.0257, 3.0252) * CHOOSE( CONTROL!$C$15, $D$11, 100%, $F$11)</f>
        <v>3.0257000000000001</v>
      </c>
      <c r="H37" s="4">
        <f>CHOOSE( CONTROL!$C$32, 3.972, 3.9716) * CHOOSE(CONTROL!$C$15, $D$11, 100%, $F$11)</f>
        <v>3.972</v>
      </c>
      <c r="I37" s="8">
        <f>CHOOSE( CONTROL!$C$32, 3.0458, 3.0453) * CHOOSE(CONTROL!$C$15, $D$11, 100%, $F$11)</f>
        <v>3.0457999999999998</v>
      </c>
      <c r="J37" s="4">
        <f>CHOOSE( CONTROL!$C$32, 2.9614, 2.961) * CHOOSE(CONTROL!$C$15, $D$11, 100%, $F$11)</f>
        <v>2.9613999999999998</v>
      </c>
      <c r="K37" s="4">
        <f>CHOOSE( CONTROL!$C$32, 3.02, 3.0195) * CHOOSE(CONTROL!$C$15, $D$11, 100%, $F$11)</f>
        <v>3.02</v>
      </c>
      <c r="L37" s="9">
        <v>31.195699999999999</v>
      </c>
      <c r="M37" s="9">
        <v>11.6745</v>
      </c>
      <c r="N37" s="9">
        <v>4.3724999999999996</v>
      </c>
      <c r="O37" s="9">
        <v>0.59589999999999999</v>
      </c>
      <c r="P37" s="9">
        <v>2.0339999999999998</v>
      </c>
      <c r="Q37" s="9"/>
      <c r="R37" s="9">
        <f t="shared" si="0"/>
        <v>0.3</v>
      </c>
      <c r="S37" s="15">
        <v>1.0738000000000001</v>
      </c>
    </row>
    <row r="38" spans="1:19" ht="15" customHeight="1">
      <c r="A38" s="13">
        <v>42278</v>
      </c>
      <c r="B38" s="8">
        <f>CHOOSE( CONTROL!$C$32, 3.0854, 3.0852) * CHOOSE(CONTROL!$C$15, $D$11, 100%, $F$11)</f>
        <v>3.0853999999999999</v>
      </c>
      <c r="C38" s="8">
        <f>CHOOSE( CONTROL!$C$32, 3.0908, 3.0905) * CHOOSE(CONTROL!$C$15, $D$11, 100%, $F$11)</f>
        <v>3.0908000000000002</v>
      </c>
      <c r="D38" s="8">
        <f>CHOOSE( CONTROL!$C$32, 3.0539, 3.0536) * CHOOSE( CONTROL!$C$15, $D$11, 100%, $F$11)</f>
        <v>3.0539000000000001</v>
      </c>
      <c r="E38" s="12">
        <f>CHOOSE( CONTROL!$C$32, 3.0655, 3.0652) * CHOOSE( CONTROL!$C$15, $D$11, 100%, $F$11)</f>
        <v>3.0655000000000001</v>
      </c>
      <c r="F38" s="4">
        <f>CHOOSE( CONTROL!$C$32, 3.7941, 3.7938) * CHOOSE(CONTROL!$C$15, $D$11, 100%, $F$11)</f>
        <v>3.7940999999999998</v>
      </c>
      <c r="G38" s="8">
        <f>CHOOSE( CONTROL!$C$32, 3.0609, 3.0606) * CHOOSE( CONTROL!$C$15, $D$11, 100%, $F$11)</f>
        <v>3.0609000000000002</v>
      </c>
      <c r="H38" s="4">
        <f>CHOOSE( CONTROL!$C$32, 3.9963, 3.996) * CHOOSE(CONTROL!$C$15, $D$11, 100%, $F$11)</f>
        <v>3.9963000000000002</v>
      </c>
      <c r="I38" s="8">
        <f>CHOOSE( CONTROL!$C$32, 3.0703, 3.07) * CHOOSE(CONTROL!$C$15, $D$11, 100%, $F$11)</f>
        <v>3.0703</v>
      </c>
      <c r="J38" s="4">
        <f>CHOOSE( CONTROL!$C$32, 2.9853, 2.985) * CHOOSE(CONTROL!$C$15, $D$11, 100%, $F$11)</f>
        <v>2.9853000000000001</v>
      </c>
      <c r="K38" s="4">
        <f>CHOOSE( CONTROL!$C$32, 3.0444, 3.0441) * CHOOSE(CONTROL!$C$15, $D$11, 100%, $F$11)</f>
        <v>3.0444</v>
      </c>
      <c r="L38" s="9">
        <v>31.095300000000002</v>
      </c>
      <c r="M38" s="9">
        <v>12.063700000000001</v>
      </c>
      <c r="N38" s="9">
        <v>4.9444999999999997</v>
      </c>
      <c r="O38" s="9">
        <v>0.61570000000000003</v>
      </c>
      <c r="P38" s="9">
        <v>2.1017999999999999</v>
      </c>
      <c r="Q38" s="9"/>
      <c r="R38" s="9">
        <f t="shared" si="0"/>
        <v>0.3</v>
      </c>
      <c r="S38" s="15">
        <v>1.0738000000000001</v>
      </c>
    </row>
    <row r="39" spans="1:19" ht="15" customHeight="1">
      <c r="A39" s="13">
        <v>42309</v>
      </c>
      <c r="B39" s="8">
        <f>CHOOSE( CONTROL!$C$32, 3.2097, 3.2094) * CHOOSE(CONTROL!$C$15, $D$11, 100%, $F$11)</f>
        <v>3.2097000000000002</v>
      </c>
      <c r="C39" s="8">
        <f>CHOOSE( CONTROL!$C$32, 3.2148, 3.2145) * CHOOSE(CONTROL!$C$15, $D$11, 100%, $F$11)</f>
        <v>3.2147999999999999</v>
      </c>
      <c r="D39" s="8">
        <f>CHOOSE( CONTROL!$C$32, 3.1812, 3.1809) * CHOOSE( CONTROL!$C$15, $D$11, 100%, $F$11)</f>
        <v>3.1812</v>
      </c>
      <c r="E39" s="12">
        <f>CHOOSE( CONTROL!$C$32, 3.1929, 3.1926) * CHOOSE( CONTROL!$C$15, $D$11, 100%, $F$11)</f>
        <v>3.1928999999999998</v>
      </c>
      <c r="F39" s="4">
        <f>CHOOSE( CONTROL!$C$32, 3.875, 3.8747) * CHOOSE(CONTROL!$C$15, $D$11, 100%, $F$11)</f>
        <v>3.875</v>
      </c>
      <c r="G39" s="8">
        <f>CHOOSE( CONTROL!$C$32, 3.1703, 3.17) * CHOOSE( CONTROL!$C$15, $D$11, 100%, $F$11)</f>
        <v>3.1703000000000001</v>
      </c>
      <c r="H39" s="4">
        <f>CHOOSE( CONTROL!$C$32, 4.0762, 4.076) * CHOOSE(CONTROL!$C$15, $D$11, 100%, $F$11)</f>
        <v>4.0762</v>
      </c>
      <c r="I39" s="8">
        <f>CHOOSE( CONTROL!$C$32, 3.2422, 3.2419) * CHOOSE(CONTROL!$C$15, $D$11, 100%, $F$11)</f>
        <v>3.2422</v>
      </c>
      <c r="J39" s="4">
        <f>CHOOSE( CONTROL!$C$32, 3.1063, 3.106) * CHOOSE(CONTROL!$C$15, $D$11, 100%, $F$11)</f>
        <v>3.1063000000000001</v>
      </c>
      <c r="K39" s="4">
        <f>CHOOSE( CONTROL!$C$32, 3.181, 3.1807) * CHOOSE(CONTROL!$C$15, $D$11, 100%, $F$11)</f>
        <v>3.181</v>
      </c>
      <c r="L39" s="9">
        <v>28.360600000000002</v>
      </c>
      <c r="M39" s="9">
        <v>11.6745</v>
      </c>
      <c r="N39" s="9">
        <v>4.7850000000000001</v>
      </c>
      <c r="O39" s="9">
        <v>0.59589999999999999</v>
      </c>
      <c r="P39" s="9">
        <v>1.1791</v>
      </c>
      <c r="Q39" s="9"/>
      <c r="R39" s="9">
        <f t="shared" si="0"/>
        <v>0.3</v>
      </c>
      <c r="S39" s="15">
        <v>1.0738000000000001</v>
      </c>
    </row>
    <row r="40" spans="1:19" ht="15" customHeight="1">
      <c r="A40" s="13">
        <v>42339</v>
      </c>
      <c r="B40" s="8">
        <f>CHOOSE( CONTROL!$C$32, 3.4137, 3.4134) * CHOOSE(CONTROL!$C$15, $D$11, 100%, $F$11)</f>
        <v>3.4137</v>
      </c>
      <c r="C40" s="8">
        <f>CHOOSE( CONTROL!$C$32, 3.4188, 3.4185) * CHOOSE(CONTROL!$C$15, $D$11, 100%, $F$11)</f>
        <v>3.4188000000000001</v>
      </c>
      <c r="D40" s="8">
        <f>CHOOSE( CONTROL!$C$32, 3.3871, 3.3868) * CHOOSE( CONTROL!$C$15, $D$11, 100%, $F$11)</f>
        <v>3.3871000000000002</v>
      </c>
      <c r="E40" s="12">
        <f>CHOOSE( CONTROL!$C$32, 3.3981, 3.3978) * CHOOSE( CONTROL!$C$15, $D$11, 100%, $F$11)</f>
        <v>3.3980999999999999</v>
      </c>
      <c r="F40" s="4">
        <f>CHOOSE( CONTROL!$C$32, 4.079, 4.0787) * CHOOSE(CONTROL!$C$15, $D$11, 100%, $F$11)</f>
        <v>4.0789999999999997</v>
      </c>
      <c r="G40" s="8">
        <f>CHOOSE( CONTROL!$C$32, 3.3732, 3.373) * CHOOSE( CONTROL!$C$15, $D$11, 100%, $F$11)</f>
        <v>3.3732000000000002</v>
      </c>
      <c r="H40" s="4">
        <f>CHOOSE( CONTROL!$C$32, 4.2779, 4.2776) * CHOOSE(CONTROL!$C$15, $D$11, 100%, $F$11)</f>
        <v>4.2778999999999998</v>
      </c>
      <c r="I40" s="8">
        <f>CHOOSE( CONTROL!$C$32, 3.446, 3.4457) * CHOOSE(CONTROL!$C$15, $D$11, 100%, $F$11)</f>
        <v>3.4460000000000002</v>
      </c>
      <c r="J40" s="4">
        <f>CHOOSE( CONTROL!$C$32, 3.3043, 3.304) * CHOOSE(CONTROL!$C$15, $D$11, 100%, $F$11)</f>
        <v>3.3043</v>
      </c>
      <c r="K40" s="4">
        <f>CHOOSE( CONTROL!$C$32, 3.3837, 3.3834) * CHOOSE(CONTROL!$C$15, $D$11, 100%, $F$11)</f>
        <v>3.3837000000000002</v>
      </c>
      <c r="L40" s="9">
        <v>29.306000000000001</v>
      </c>
      <c r="M40" s="9">
        <v>12.063700000000001</v>
      </c>
      <c r="N40" s="9">
        <v>4.9444999999999997</v>
      </c>
      <c r="O40" s="9">
        <v>0.61570000000000003</v>
      </c>
      <c r="P40" s="9">
        <v>1.2183999999999999</v>
      </c>
      <c r="Q40" s="9"/>
      <c r="R40" s="9">
        <f t="shared" si="0"/>
        <v>0.3</v>
      </c>
      <c r="S40" s="15">
        <v>1.0738000000000001</v>
      </c>
    </row>
    <row r="41" spans="1:19" ht="15" customHeight="1">
      <c r="A41" s="13">
        <v>42370</v>
      </c>
      <c r="B41" s="8">
        <f>CHOOSE( CONTROL!$C$32, 3.5714, 3.5711) * CHOOSE(CONTROL!$C$15, $D$11, 100%, $F$11)</f>
        <v>3.5714000000000001</v>
      </c>
      <c r="C41" s="8">
        <f>CHOOSE( CONTROL!$C$32, 3.5764, 3.5762) * CHOOSE(CONTROL!$C$15, $D$11, 100%, $F$11)</f>
        <v>3.5764</v>
      </c>
      <c r="D41" s="8">
        <f>CHOOSE( CONTROL!$C$32, 3.5694, 3.5692) * CHOOSE( CONTROL!$C$15, $D$11, 100%, $F$11)</f>
        <v>3.5693999999999999</v>
      </c>
      <c r="E41" s="12">
        <f>CHOOSE( CONTROL!$C$32, 3.5714, 3.5712) * CHOOSE( CONTROL!$C$15, $D$11, 100%, $F$11)</f>
        <v>3.5714000000000001</v>
      </c>
      <c r="F41" s="4">
        <f>CHOOSE( CONTROL!$C$32, 4.2367, 4.2364) * CHOOSE(CONTROL!$C$15, $D$11, 100%, $F$11)</f>
        <v>4.2366999999999999</v>
      </c>
      <c r="G41" s="8">
        <f>CHOOSE( CONTROL!$C$32, 3.5459, 3.5456) * CHOOSE( CONTROL!$C$15, $D$11, 100%, $F$11)</f>
        <v>3.5459000000000001</v>
      </c>
      <c r="H41" s="4">
        <f>CHOOSE( CONTROL!$C$32, 4.4337, 4.4334) * CHOOSE(CONTROL!$C$15, $D$11, 100%, $F$11)</f>
        <v>4.4337</v>
      </c>
      <c r="I41" s="8">
        <f>CHOOSE( CONTROL!$C$32, 3.5726, 3.5723) * CHOOSE(CONTROL!$C$15, $D$11, 100%, $F$11)</f>
        <v>3.5726</v>
      </c>
      <c r="J41" s="4">
        <f>CHOOSE( CONTROL!$C$32, 3.4573, 3.457) * CHOOSE(CONTROL!$C$15, $D$11, 100%, $F$11)</f>
        <v>3.4573</v>
      </c>
      <c r="K41" s="4"/>
      <c r="L41" s="9">
        <v>29.306000000000001</v>
      </c>
      <c r="M41" s="9">
        <v>12.063700000000001</v>
      </c>
      <c r="N41" s="9">
        <v>4.9444999999999997</v>
      </c>
      <c r="O41" s="9">
        <v>0.61570000000000003</v>
      </c>
      <c r="P41" s="9">
        <v>1.2183999999999999</v>
      </c>
      <c r="Q41" s="9"/>
      <c r="R41" s="9">
        <f t="shared" si="0"/>
        <v>0.3</v>
      </c>
      <c r="S41" s="11"/>
    </row>
    <row r="42" spans="1:19" ht="15" customHeight="1">
      <c r="A42" s="13">
        <v>42401</v>
      </c>
      <c r="B42" s="8">
        <f>CHOOSE( CONTROL!$C$32, 3.5703, 3.5701) * CHOOSE(CONTROL!$C$15, $D$11, 100%, $F$11)</f>
        <v>3.5703</v>
      </c>
      <c r="C42" s="8">
        <f>CHOOSE( CONTROL!$C$32, 3.5754, 3.5751) * CHOOSE(CONTROL!$C$15, $D$11, 100%, $F$11)</f>
        <v>3.5754000000000001</v>
      </c>
      <c r="D42" s="8">
        <f>CHOOSE( CONTROL!$C$32, 3.5519, 3.5517) * CHOOSE( CONTROL!$C$15, $D$11, 100%, $F$11)</f>
        <v>3.5518999999999998</v>
      </c>
      <c r="E42" s="12">
        <f>CHOOSE( CONTROL!$C$32, 3.5599, 3.5597) * CHOOSE( CONTROL!$C$15, $D$11, 100%, $F$11)</f>
        <v>3.5598999999999998</v>
      </c>
      <c r="F42" s="4">
        <f>CHOOSE( CONTROL!$C$32, 4.2356, 4.2354) * CHOOSE(CONTROL!$C$15, $D$11, 100%, $F$11)</f>
        <v>4.2355999999999998</v>
      </c>
      <c r="G42" s="8">
        <f>CHOOSE( CONTROL!$C$32, 3.5335, 3.5332) * CHOOSE( CONTROL!$C$15, $D$11, 100%, $F$11)</f>
        <v>3.5335000000000001</v>
      </c>
      <c r="H42" s="4">
        <f>CHOOSE( CONTROL!$C$32, 4.4327, 4.4324) * CHOOSE(CONTROL!$C$15, $D$11, 100%, $F$11)</f>
        <v>4.4326999999999996</v>
      </c>
      <c r="I42" s="8">
        <f>CHOOSE( CONTROL!$C$32, 3.572, 3.5717) * CHOOSE(CONTROL!$C$15, $D$11, 100%, $F$11)</f>
        <v>3.5720000000000001</v>
      </c>
      <c r="J42" s="4">
        <f>CHOOSE( CONTROL!$C$32, 3.4563, 3.456) * CHOOSE(CONTROL!$C$15, $D$11, 100%, $F$11)</f>
        <v>3.4563000000000001</v>
      </c>
      <c r="K42" s="4"/>
      <c r="L42" s="9">
        <v>27.415299999999998</v>
      </c>
      <c r="M42" s="9">
        <v>11.285299999999999</v>
      </c>
      <c r="N42" s="9">
        <v>4.6254999999999997</v>
      </c>
      <c r="O42" s="9">
        <v>0.57599999999999996</v>
      </c>
      <c r="P42" s="9">
        <v>1.1397999999999999</v>
      </c>
      <c r="Q42" s="9"/>
      <c r="R42" s="9">
        <f t="shared" si="0"/>
        <v>0.3</v>
      </c>
      <c r="S42" s="11"/>
    </row>
    <row r="43" spans="1:19" ht="15" customHeight="1">
      <c r="A43" s="13">
        <v>42430</v>
      </c>
      <c r="B43" s="8">
        <f>CHOOSE( CONTROL!$C$32, 3.526, 3.5258) * CHOOSE(CONTROL!$C$15, $D$11, 100%, $F$11)</f>
        <v>3.5259999999999998</v>
      </c>
      <c r="C43" s="8">
        <f>CHOOSE( CONTROL!$C$32, 3.5311, 3.5308) * CHOOSE(CONTROL!$C$15, $D$11, 100%, $F$11)</f>
        <v>3.5310999999999999</v>
      </c>
      <c r="D43" s="8">
        <f>CHOOSE( CONTROL!$C$32, 3.4929, 3.4926) * CHOOSE( CONTROL!$C$15, $D$11, 100%, $F$11)</f>
        <v>3.4929000000000001</v>
      </c>
      <c r="E43" s="12">
        <f>CHOOSE( CONTROL!$C$32, 3.5063, 3.506) * CHOOSE( CONTROL!$C$15, $D$11, 100%, $F$11)</f>
        <v>3.5063</v>
      </c>
      <c r="F43" s="4">
        <f>CHOOSE( CONTROL!$C$32, 4.1913, 4.191) * CHOOSE(CONTROL!$C$15, $D$11, 100%, $F$11)</f>
        <v>4.1913</v>
      </c>
      <c r="G43" s="8">
        <f>CHOOSE( CONTROL!$C$32, 3.4775, 3.4772) * CHOOSE( CONTROL!$C$15, $D$11, 100%, $F$11)</f>
        <v>3.4775</v>
      </c>
      <c r="H43" s="4">
        <f>CHOOSE( CONTROL!$C$32, 4.3889, 4.3886) * CHOOSE(CONTROL!$C$15, $D$11, 100%, $F$11)</f>
        <v>4.3888999999999996</v>
      </c>
      <c r="I43" s="8">
        <f>CHOOSE( CONTROL!$C$32, 3.4938, 3.4935) * CHOOSE(CONTROL!$C$15, $D$11, 100%, $F$11)</f>
        <v>3.4937999999999998</v>
      </c>
      <c r="J43" s="4">
        <f>CHOOSE( CONTROL!$C$32, 3.4133, 3.413) * CHOOSE(CONTROL!$C$15, $D$11, 100%, $F$11)</f>
        <v>3.4133</v>
      </c>
      <c r="K43" s="4"/>
      <c r="L43" s="9">
        <v>29.306000000000001</v>
      </c>
      <c r="M43" s="9">
        <v>12.063700000000001</v>
      </c>
      <c r="N43" s="9">
        <v>4.9444999999999997</v>
      </c>
      <c r="O43" s="9">
        <v>0.61570000000000003</v>
      </c>
      <c r="P43" s="9">
        <v>1.2183999999999999</v>
      </c>
      <c r="Q43" s="9"/>
      <c r="R43" s="9">
        <f t="shared" si="0"/>
        <v>0.3</v>
      </c>
      <c r="S43" s="11"/>
    </row>
    <row r="44" spans="1:19" ht="15" customHeight="1">
      <c r="A44" s="13">
        <v>42461</v>
      </c>
      <c r="B44" s="8">
        <f>CHOOSE( CONTROL!$C$32, 3.3702, 3.3699) * CHOOSE(CONTROL!$C$15, $D$11, 100%, $F$11)</f>
        <v>3.3702000000000001</v>
      </c>
      <c r="C44" s="8">
        <f>CHOOSE( CONTROL!$C$32, 3.3747, 3.3744) * CHOOSE(CONTROL!$C$15, $D$11, 100%, $F$11)</f>
        <v>3.3746999999999998</v>
      </c>
      <c r="D44" s="8">
        <f>CHOOSE( CONTROL!$C$32, 3.3549, 3.3546) * CHOOSE( CONTROL!$C$15, $D$11, 100%, $F$11)</f>
        <v>3.3549000000000002</v>
      </c>
      <c r="E44" s="12">
        <f>CHOOSE( CONTROL!$C$32, 3.3609, 3.3606) * CHOOSE( CONTROL!$C$15, $D$11, 100%, $F$11)</f>
        <v>3.3609</v>
      </c>
      <c r="F44" s="4">
        <f>CHOOSE( CONTROL!$C$32, 4.0785, 4.0782) * CHOOSE(CONTROL!$C$15, $D$11, 100%, $F$11)</f>
        <v>4.0785</v>
      </c>
      <c r="G44" s="8">
        <f>CHOOSE( CONTROL!$C$32, 3.3172, 3.3169) * CHOOSE( CONTROL!$C$15, $D$11, 100%, $F$11)</f>
        <v>3.3172000000000001</v>
      </c>
      <c r="H44" s="4">
        <f>CHOOSE( CONTROL!$C$32, 4.2774, 4.2771) * CHOOSE(CONTROL!$C$15, $D$11, 100%, $F$11)</f>
        <v>4.2774000000000001</v>
      </c>
      <c r="I44" s="8">
        <f>CHOOSE( CONTROL!$C$32, 3.3423, 3.342) * CHOOSE(CONTROL!$C$15, $D$11, 100%, $F$11)</f>
        <v>3.3422999999999998</v>
      </c>
      <c r="J44" s="4">
        <f>CHOOSE( CONTROL!$C$32, 3.2613, 3.261) * CHOOSE(CONTROL!$C$15, $D$11, 100%, $F$11)</f>
        <v>3.2612999999999999</v>
      </c>
      <c r="K44" s="4"/>
      <c r="L44" s="9">
        <v>30.092199999999998</v>
      </c>
      <c r="M44" s="9">
        <v>11.6745</v>
      </c>
      <c r="N44" s="9">
        <v>4.7850000000000001</v>
      </c>
      <c r="O44" s="9">
        <v>0.59589999999999999</v>
      </c>
      <c r="P44" s="9">
        <v>2.0339999999999998</v>
      </c>
      <c r="Q44" s="9"/>
      <c r="R44" s="9">
        <f t="shared" si="0"/>
        <v>0.3</v>
      </c>
      <c r="S44" s="11"/>
    </row>
    <row r="45" spans="1:19" ht="15" customHeight="1">
      <c r="A45" s="13">
        <v>42491</v>
      </c>
      <c r="B45" s="8">
        <f>CHOOSE( CONTROL!$C$32, 3.3769, 3.3764) * CHOOSE(CONTROL!$C$15, $D$11, 100%, $F$11)</f>
        <v>3.3769</v>
      </c>
      <c r="C45" s="8">
        <f>CHOOSE( CONTROL!$C$32, 3.3849, 3.3844) * CHOOSE(CONTROL!$C$15, $D$11, 100%, $F$11)</f>
        <v>3.3849</v>
      </c>
      <c r="D45" s="8">
        <f>CHOOSE( CONTROL!$C$32, 3.3722, 3.3718) * CHOOSE( CONTROL!$C$15, $D$11, 100%, $F$11)</f>
        <v>3.3721999999999999</v>
      </c>
      <c r="E45" s="12">
        <f>CHOOSE( CONTROL!$C$32, 3.3756, 3.3751) * CHOOSE( CONTROL!$C$15, $D$11, 100%, $F$11)</f>
        <v>3.3755999999999999</v>
      </c>
      <c r="F45" s="4">
        <f>CHOOSE( CONTROL!$C$32, 4.0838, 4.0834) * CHOOSE(CONTROL!$C$15, $D$11, 100%, $F$11)</f>
        <v>4.0838000000000001</v>
      </c>
      <c r="G45" s="8">
        <f>CHOOSE( CONTROL!$C$32, 3.3198, 3.3193) * CHOOSE( CONTROL!$C$15, $D$11, 100%, $F$11)</f>
        <v>3.3197999999999999</v>
      </c>
      <c r="H45" s="4">
        <f>CHOOSE( CONTROL!$C$32, 4.2826, 4.2822) * CHOOSE(CONTROL!$C$15, $D$11, 100%, $F$11)</f>
        <v>4.2826000000000004</v>
      </c>
      <c r="I45" s="8">
        <f>CHOOSE( CONTROL!$C$32, 3.348, 3.3476) * CHOOSE(CONTROL!$C$15, $D$11, 100%, $F$11)</f>
        <v>3.3479999999999999</v>
      </c>
      <c r="J45" s="4">
        <f>CHOOSE( CONTROL!$C$32, 3.2664, 3.266) * CHOOSE(CONTROL!$C$15, $D$11, 100%, $F$11)</f>
        <v>3.2664</v>
      </c>
      <c r="K45" s="4"/>
      <c r="L45" s="9">
        <v>30.7165</v>
      </c>
      <c r="M45" s="9">
        <v>12.063700000000001</v>
      </c>
      <c r="N45" s="9">
        <v>4.9444999999999997</v>
      </c>
      <c r="O45" s="9">
        <v>0.37409999999999999</v>
      </c>
      <c r="P45" s="9">
        <v>2.1017999999999999</v>
      </c>
      <c r="Q45" s="9"/>
      <c r="R45" s="9">
        <f t="shared" si="0"/>
        <v>0.3</v>
      </c>
      <c r="S45" s="11"/>
    </row>
    <row r="46" spans="1:19" ht="15" customHeight="1">
      <c r="A46" s="13">
        <v>42522</v>
      </c>
      <c r="B46" s="8">
        <f>CHOOSE( CONTROL!$C$32, 3.414, 3.4135) * CHOOSE(CONTROL!$C$15, $D$11, 100%, $F$11)</f>
        <v>3.4140000000000001</v>
      </c>
      <c r="C46" s="8">
        <f>CHOOSE( CONTROL!$C$32, 3.4219, 3.4215) * CHOOSE(CONTROL!$C$15, $D$11, 100%, $F$11)</f>
        <v>3.4218999999999999</v>
      </c>
      <c r="D46" s="8">
        <f>CHOOSE( CONTROL!$C$32, 3.4098, 3.4093) * CHOOSE( CONTROL!$C$15, $D$11, 100%, $F$11)</f>
        <v>3.4098000000000002</v>
      </c>
      <c r="E46" s="12">
        <f>CHOOSE( CONTROL!$C$32, 3.413, 3.4125) * CHOOSE( CONTROL!$C$15, $D$11, 100%, $F$11)</f>
        <v>3.4129999999999998</v>
      </c>
      <c r="F46" s="4">
        <f>CHOOSE( CONTROL!$C$32, 4.1209, 4.1205) * CHOOSE(CONTROL!$C$15, $D$11, 100%, $F$11)</f>
        <v>4.1208999999999998</v>
      </c>
      <c r="G46" s="8">
        <f>CHOOSE( CONTROL!$C$32, 3.3569, 3.3564) * CHOOSE( CONTROL!$C$15, $D$11, 100%, $F$11)</f>
        <v>3.3569</v>
      </c>
      <c r="H46" s="4">
        <f>CHOOSE( CONTROL!$C$32, 4.3193, 4.3189) * CHOOSE(CONTROL!$C$15, $D$11, 100%, $F$11)</f>
        <v>4.3193000000000001</v>
      </c>
      <c r="I46" s="8">
        <f>CHOOSE( CONTROL!$C$32, 3.3854, 3.385) * CHOOSE(CONTROL!$C$15, $D$11, 100%, $F$11)</f>
        <v>3.3854000000000002</v>
      </c>
      <c r="J46" s="4">
        <f>CHOOSE( CONTROL!$C$32, 3.3024, 3.302) * CHOOSE(CONTROL!$C$15, $D$11, 100%, $F$11)</f>
        <v>3.3024</v>
      </c>
      <c r="K46" s="4"/>
      <c r="L46" s="9">
        <v>29.7257</v>
      </c>
      <c r="M46" s="9">
        <v>11.6745</v>
      </c>
      <c r="N46" s="9">
        <v>4.7850000000000001</v>
      </c>
      <c r="O46" s="9">
        <v>0.36199999999999999</v>
      </c>
      <c r="P46" s="9">
        <v>2.0339999999999998</v>
      </c>
      <c r="Q46" s="9"/>
      <c r="R46" s="9">
        <f t="shared" si="0"/>
        <v>0.3</v>
      </c>
      <c r="S46" s="11"/>
    </row>
    <row r="47" spans="1:19" ht="15" customHeight="1">
      <c r="A47" s="13">
        <v>42552</v>
      </c>
      <c r="B47" s="8">
        <f>CHOOSE( CONTROL!$C$32, 3.4542, 3.4537) * CHOOSE(CONTROL!$C$15, $D$11, 100%, $F$11)</f>
        <v>3.4542000000000002</v>
      </c>
      <c r="C47" s="8">
        <f>CHOOSE( CONTROL!$C$32, 3.4621, 3.4617) * CHOOSE(CONTROL!$C$15, $D$11, 100%, $F$11)</f>
        <v>3.4621</v>
      </c>
      <c r="D47" s="8">
        <f>CHOOSE( CONTROL!$C$32, 3.4505, 3.45) * CHOOSE( CONTROL!$C$15, $D$11, 100%, $F$11)</f>
        <v>3.4504999999999999</v>
      </c>
      <c r="E47" s="12">
        <f>CHOOSE( CONTROL!$C$32, 3.4535, 3.453) * CHOOSE( CONTROL!$C$15, $D$11, 100%, $F$11)</f>
        <v>3.4535</v>
      </c>
      <c r="F47" s="4">
        <f>CHOOSE( CONTROL!$C$32, 4.1611, 4.1606) * CHOOSE(CONTROL!$C$15, $D$11, 100%, $F$11)</f>
        <v>4.1611000000000002</v>
      </c>
      <c r="G47" s="8">
        <f>CHOOSE( CONTROL!$C$32, 3.3971, 3.3966) * CHOOSE( CONTROL!$C$15, $D$11, 100%, $F$11)</f>
        <v>3.3971</v>
      </c>
      <c r="H47" s="4">
        <f>CHOOSE( CONTROL!$C$32, 4.359, 4.3586) * CHOOSE(CONTROL!$C$15, $D$11, 100%, $F$11)</f>
        <v>4.359</v>
      </c>
      <c r="I47" s="8">
        <f>CHOOSE( CONTROL!$C$32, 3.426, 3.4256) * CHOOSE(CONTROL!$C$15, $D$11, 100%, $F$11)</f>
        <v>3.4260000000000002</v>
      </c>
      <c r="J47" s="4">
        <f>CHOOSE( CONTROL!$C$32, 3.3414, 3.341) * CHOOSE(CONTROL!$C$15, $D$11, 100%, $F$11)</f>
        <v>3.3414000000000001</v>
      </c>
      <c r="K47" s="4"/>
      <c r="L47" s="9">
        <v>30.7165</v>
      </c>
      <c r="M47" s="9">
        <v>12.063700000000001</v>
      </c>
      <c r="N47" s="9">
        <v>4.9444999999999997</v>
      </c>
      <c r="O47" s="9">
        <v>0.37409999999999999</v>
      </c>
      <c r="P47" s="9">
        <v>2.1017999999999999</v>
      </c>
      <c r="Q47" s="9"/>
      <c r="R47" s="9">
        <f t="shared" si="0"/>
        <v>0.3</v>
      </c>
      <c r="S47" s="11"/>
    </row>
    <row r="48" spans="1:19" ht="15" customHeight="1">
      <c r="A48" s="13">
        <v>42583</v>
      </c>
      <c r="B48" s="8">
        <f>CHOOSE( CONTROL!$C$32, 3.4645, 3.464) * CHOOSE(CONTROL!$C$15, $D$11, 100%, $F$11)</f>
        <v>3.4645000000000001</v>
      </c>
      <c r="C48" s="8">
        <f>CHOOSE( CONTROL!$C$32, 3.4724, 3.472) * CHOOSE(CONTROL!$C$15, $D$11, 100%, $F$11)</f>
        <v>3.4723999999999999</v>
      </c>
      <c r="D48" s="8">
        <f>CHOOSE( CONTROL!$C$32, 3.4609, 3.4605) * CHOOSE( CONTROL!$C$15, $D$11, 100%, $F$11)</f>
        <v>3.4609000000000001</v>
      </c>
      <c r="E48" s="12">
        <f>CHOOSE( CONTROL!$C$32, 3.4639, 3.4634) * CHOOSE( CONTROL!$C$15, $D$11, 100%, $F$11)</f>
        <v>3.4639000000000002</v>
      </c>
      <c r="F48" s="4">
        <f>CHOOSE( CONTROL!$C$32, 4.1714, 4.171) * CHOOSE(CONTROL!$C$15, $D$11, 100%, $F$11)</f>
        <v>4.1714000000000002</v>
      </c>
      <c r="G48" s="8">
        <f>CHOOSE( CONTROL!$C$32, 3.4074, 3.407) * CHOOSE( CONTROL!$C$15, $D$11, 100%, $F$11)</f>
        <v>3.4074</v>
      </c>
      <c r="H48" s="4">
        <f>CHOOSE( CONTROL!$C$32, 4.3692, 4.3687) * CHOOSE(CONTROL!$C$15, $D$11, 100%, $F$11)</f>
        <v>4.3692000000000002</v>
      </c>
      <c r="I48" s="8">
        <f>CHOOSE( CONTROL!$C$32, 3.4365, 3.436) * CHOOSE(CONTROL!$C$15, $D$11, 100%, $F$11)</f>
        <v>3.4365000000000001</v>
      </c>
      <c r="J48" s="4">
        <f>CHOOSE( CONTROL!$C$32, 3.3514, 3.351) * CHOOSE(CONTROL!$C$15, $D$11, 100%, $F$11)</f>
        <v>3.3513999999999999</v>
      </c>
      <c r="K48" s="4"/>
      <c r="L48" s="9">
        <v>30.7165</v>
      </c>
      <c r="M48" s="9">
        <v>12.063700000000001</v>
      </c>
      <c r="N48" s="9">
        <v>4.9444999999999997</v>
      </c>
      <c r="O48" s="9">
        <v>0.37409999999999999</v>
      </c>
      <c r="P48" s="9">
        <v>2.1017999999999999</v>
      </c>
      <c r="Q48" s="9"/>
      <c r="R48" s="9">
        <f t="shared" si="0"/>
        <v>0.3</v>
      </c>
      <c r="S48" s="11"/>
    </row>
    <row r="49" spans="1:19" ht="15" customHeight="1">
      <c r="A49" s="13">
        <v>42614</v>
      </c>
      <c r="B49" s="8">
        <f>CHOOSE( CONTROL!$C$32, 3.4511, 3.4506) * CHOOSE(CONTROL!$C$15, $D$11, 100%, $F$11)</f>
        <v>3.4510999999999998</v>
      </c>
      <c r="C49" s="8">
        <f>CHOOSE( CONTROL!$C$32, 3.459, 3.4586) * CHOOSE(CONTROL!$C$15, $D$11, 100%, $F$11)</f>
        <v>3.4590000000000001</v>
      </c>
      <c r="D49" s="8">
        <f>CHOOSE( CONTROL!$C$32, 3.4474, 3.4469) * CHOOSE( CONTROL!$C$15, $D$11, 100%, $F$11)</f>
        <v>3.4474</v>
      </c>
      <c r="E49" s="12">
        <f>CHOOSE( CONTROL!$C$32, 3.4504, 3.4499) * CHOOSE( CONTROL!$C$15, $D$11, 100%, $F$11)</f>
        <v>3.4504000000000001</v>
      </c>
      <c r="F49" s="4">
        <f>CHOOSE( CONTROL!$C$32, 4.158, 4.1576) * CHOOSE(CONTROL!$C$15, $D$11, 100%, $F$11)</f>
        <v>4.1580000000000004</v>
      </c>
      <c r="G49" s="8">
        <f>CHOOSE( CONTROL!$C$32, 3.394, 3.3936) * CHOOSE( CONTROL!$C$15, $D$11, 100%, $F$11)</f>
        <v>3.3940000000000001</v>
      </c>
      <c r="H49" s="4">
        <f>CHOOSE( CONTROL!$C$32, 4.356, 4.3555) * CHOOSE(CONTROL!$C$15, $D$11, 100%, $F$11)</f>
        <v>4.3559999999999999</v>
      </c>
      <c r="I49" s="8">
        <f>CHOOSE( CONTROL!$C$32, 3.423, 3.4225) * CHOOSE(CONTROL!$C$15, $D$11, 100%, $F$11)</f>
        <v>3.423</v>
      </c>
      <c r="J49" s="4">
        <f>CHOOSE( CONTROL!$C$32, 3.3384, 3.338) * CHOOSE(CONTROL!$C$15, $D$11, 100%, $F$11)</f>
        <v>3.3384</v>
      </c>
      <c r="K49" s="4"/>
      <c r="L49" s="9">
        <v>29.7257</v>
      </c>
      <c r="M49" s="9">
        <v>11.6745</v>
      </c>
      <c r="N49" s="9">
        <v>4.7850000000000001</v>
      </c>
      <c r="O49" s="9">
        <v>0.36199999999999999</v>
      </c>
      <c r="P49" s="9">
        <v>2.0339999999999998</v>
      </c>
      <c r="Q49" s="9"/>
      <c r="R49" s="9">
        <f t="shared" si="0"/>
        <v>0.3</v>
      </c>
      <c r="S49" s="11"/>
    </row>
    <row r="50" spans="1:19" ht="15" customHeight="1">
      <c r="A50" s="13">
        <v>42644</v>
      </c>
      <c r="B50" s="8">
        <f>CHOOSE( CONTROL!$C$32, 3.476, 3.4757) * CHOOSE(CONTROL!$C$15, $D$11, 100%, $F$11)</f>
        <v>3.476</v>
      </c>
      <c r="C50" s="8">
        <f>CHOOSE( CONTROL!$C$32, 3.4813, 3.481) * CHOOSE(CONTROL!$C$15, $D$11, 100%, $F$11)</f>
        <v>3.4813000000000001</v>
      </c>
      <c r="D50" s="8">
        <f>CHOOSE( CONTROL!$C$32, 3.4567, 3.4564) * CHOOSE( CONTROL!$C$15, $D$11, 100%, $F$11)</f>
        <v>3.4567000000000001</v>
      </c>
      <c r="E50" s="12">
        <f>CHOOSE( CONTROL!$C$32, 3.4643, 3.464) * CHOOSE( CONTROL!$C$15, $D$11, 100%, $F$11)</f>
        <v>3.4643000000000002</v>
      </c>
      <c r="F50" s="4">
        <f>CHOOSE( CONTROL!$C$32, 4.1846, 4.1843) * CHOOSE(CONTROL!$C$15, $D$11, 100%, $F$11)</f>
        <v>4.1845999999999997</v>
      </c>
      <c r="G50" s="8">
        <f>CHOOSE( CONTROL!$C$32, 3.4433, 3.443) * CHOOSE( CONTROL!$C$15, $D$11, 100%, $F$11)</f>
        <v>3.4432999999999998</v>
      </c>
      <c r="H50" s="4">
        <f>CHOOSE( CONTROL!$C$32, 4.3823, 4.382) * CHOOSE(CONTROL!$C$15, $D$11, 100%, $F$11)</f>
        <v>4.3822999999999999</v>
      </c>
      <c r="I50" s="8">
        <f>CHOOSE( CONTROL!$C$32, 3.4495, 3.4492) * CHOOSE(CONTROL!$C$15, $D$11, 100%, $F$11)</f>
        <v>3.4495</v>
      </c>
      <c r="J50" s="4">
        <f>CHOOSE( CONTROL!$C$32, 3.3643, 3.364) * CHOOSE(CONTROL!$C$15, $D$11, 100%, $F$11)</f>
        <v>3.3643000000000001</v>
      </c>
      <c r="K50" s="4"/>
      <c r="L50" s="9">
        <v>31.095300000000002</v>
      </c>
      <c r="M50" s="9">
        <v>12.063700000000001</v>
      </c>
      <c r="N50" s="9">
        <v>4.9444999999999997</v>
      </c>
      <c r="O50" s="9">
        <v>0.37409999999999999</v>
      </c>
      <c r="P50" s="9">
        <v>2.1017999999999999</v>
      </c>
      <c r="Q50" s="9"/>
      <c r="R50" s="9">
        <f t="shared" si="0"/>
        <v>0.3</v>
      </c>
      <c r="S50" s="11"/>
    </row>
    <row r="51" spans="1:19" ht="15" customHeight="1">
      <c r="A51" s="13">
        <v>42675</v>
      </c>
      <c r="B51" s="8">
        <f>CHOOSE( CONTROL!$C$32, 3.5714, 3.5711) * CHOOSE(CONTROL!$C$15, $D$11, 100%, $F$11)</f>
        <v>3.5714000000000001</v>
      </c>
      <c r="C51" s="8">
        <f>CHOOSE( CONTROL!$C$32, 3.5764, 3.5762) * CHOOSE(CONTROL!$C$15, $D$11, 100%, $F$11)</f>
        <v>3.5764</v>
      </c>
      <c r="D51" s="8">
        <f>CHOOSE( CONTROL!$C$32, 3.5443, 3.544) * CHOOSE( CONTROL!$C$15, $D$11, 100%, $F$11)</f>
        <v>3.5442999999999998</v>
      </c>
      <c r="E51" s="12">
        <f>CHOOSE( CONTROL!$C$32, 3.5555, 3.5552) * CHOOSE( CONTROL!$C$15, $D$11, 100%, $F$11)</f>
        <v>3.5554999999999999</v>
      </c>
      <c r="F51" s="4">
        <f>CHOOSE( CONTROL!$C$32, 4.2367, 4.2364) * CHOOSE(CONTROL!$C$15, $D$11, 100%, $F$11)</f>
        <v>4.2366999999999999</v>
      </c>
      <c r="G51" s="8">
        <f>CHOOSE( CONTROL!$C$32, 3.5269, 3.5266) * CHOOSE( CONTROL!$C$15, $D$11, 100%, $F$11)</f>
        <v>3.5268999999999999</v>
      </c>
      <c r="H51" s="4">
        <f>CHOOSE( CONTROL!$C$32, 4.4337, 4.4334) * CHOOSE(CONTROL!$C$15, $D$11, 100%, $F$11)</f>
        <v>4.4337</v>
      </c>
      <c r="I51" s="8">
        <f>CHOOSE( CONTROL!$C$32, 3.5934, 3.5931) * CHOOSE(CONTROL!$C$15, $D$11, 100%, $F$11)</f>
        <v>3.5933999999999999</v>
      </c>
      <c r="J51" s="4">
        <f>CHOOSE( CONTROL!$C$32, 3.4573, 3.457) * CHOOSE(CONTROL!$C$15, $D$11, 100%, $F$11)</f>
        <v>3.4573</v>
      </c>
      <c r="K51" s="4"/>
      <c r="L51" s="9">
        <v>28.360600000000002</v>
      </c>
      <c r="M51" s="9">
        <v>11.6745</v>
      </c>
      <c r="N51" s="9">
        <v>4.7850000000000001</v>
      </c>
      <c r="O51" s="9">
        <v>0.36199999999999999</v>
      </c>
      <c r="P51" s="9">
        <v>1.1791</v>
      </c>
      <c r="Q51" s="9"/>
      <c r="R51" s="9">
        <f t="shared" si="0"/>
        <v>0.3</v>
      </c>
      <c r="S51" s="11"/>
    </row>
    <row r="52" spans="1:19" ht="15" customHeight="1">
      <c r="A52" s="13">
        <v>42705</v>
      </c>
      <c r="B52" s="8">
        <f>CHOOSE( CONTROL!$C$32, 3.7641, 3.7638) * CHOOSE(CONTROL!$C$15, $D$11, 100%, $F$11)</f>
        <v>3.7641</v>
      </c>
      <c r="C52" s="8">
        <f>CHOOSE( CONTROL!$C$32, 3.7691, 3.7689) * CHOOSE(CONTROL!$C$15, $D$11, 100%, $F$11)</f>
        <v>3.7690999999999999</v>
      </c>
      <c r="D52" s="8">
        <f>CHOOSE( CONTROL!$C$32, 3.7388, 3.7386) * CHOOSE( CONTROL!$C$15, $D$11, 100%, $F$11)</f>
        <v>3.7387999999999999</v>
      </c>
      <c r="E52" s="12">
        <f>CHOOSE( CONTROL!$C$32, 3.7493, 3.7491) * CHOOSE( CONTROL!$C$15, $D$11, 100%, $F$11)</f>
        <v>3.7492999999999999</v>
      </c>
      <c r="F52" s="4">
        <f>CHOOSE( CONTROL!$C$32, 4.4293, 4.4291) * CHOOSE(CONTROL!$C$15, $D$11, 100%, $F$11)</f>
        <v>4.4292999999999996</v>
      </c>
      <c r="G52" s="8">
        <f>CHOOSE( CONTROL!$C$32, 3.7187, 3.7184) * CHOOSE( CONTROL!$C$15, $D$11, 100%, $F$11)</f>
        <v>3.7187000000000001</v>
      </c>
      <c r="H52" s="4">
        <f>CHOOSE( CONTROL!$C$32, 4.6241, 4.6238) * CHOOSE(CONTROL!$C$15, $D$11, 100%, $F$11)</f>
        <v>4.6241000000000003</v>
      </c>
      <c r="I52" s="8">
        <f>CHOOSE( CONTROL!$C$32, 3.7862, 3.7859) * CHOOSE(CONTROL!$C$15, $D$11, 100%, $F$11)</f>
        <v>3.7862</v>
      </c>
      <c r="J52" s="4">
        <f>CHOOSE( CONTROL!$C$32, 3.6443, 3.644) * CHOOSE(CONTROL!$C$15, $D$11, 100%, $F$11)</f>
        <v>3.6442999999999999</v>
      </c>
      <c r="K52" s="4"/>
      <c r="L52" s="9">
        <v>29.306000000000001</v>
      </c>
      <c r="M52" s="9">
        <v>12.063700000000001</v>
      </c>
      <c r="N52" s="9">
        <v>4.9444999999999997</v>
      </c>
      <c r="O52" s="9">
        <v>0.37409999999999999</v>
      </c>
      <c r="P52" s="9">
        <v>1.2183999999999999</v>
      </c>
      <c r="Q52" s="9"/>
      <c r="R52" s="9">
        <f t="shared" si="0"/>
        <v>0.3</v>
      </c>
      <c r="S52" s="11"/>
    </row>
    <row r="53" spans="1:19" ht="15" customHeight="1">
      <c r="A53" s="13">
        <v>42736</v>
      </c>
      <c r="B53" s="8">
        <f>CHOOSE( CONTROL!$C$32, 3.9289, 3.9286) * CHOOSE(CONTROL!$C$15, $D$11, 100%, $F$11)</f>
        <v>3.9289000000000001</v>
      </c>
      <c r="C53" s="8">
        <f>CHOOSE( CONTROL!$C$32, 3.934, 3.9337) * CHOOSE(CONTROL!$C$15, $D$11, 100%, $F$11)</f>
        <v>3.9340000000000002</v>
      </c>
      <c r="D53" s="8">
        <f>CHOOSE( CONTROL!$C$32, 3.9316, 3.9314) * CHOOSE( CONTROL!$C$15, $D$11, 100%, $F$11)</f>
        <v>3.9316</v>
      </c>
      <c r="E53" s="12">
        <f>CHOOSE( CONTROL!$C$32, 3.9319, 3.9317) * CHOOSE( CONTROL!$C$15, $D$11, 100%, $F$11)</f>
        <v>3.9319000000000002</v>
      </c>
      <c r="F53" s="4">
        <f>CHOOSE( CONTROL!$C$32, 4.5942, 4.5939) * CHOOSE(CONTROL!$C$15, $D$11, 100%, $F$11)</f>
        <v>4.5941999999999998</v>
      </c>
      <c r="G53" s="8">
        <f>CHOOSE( CONTROL!$C$32, 3.8977, 3.8975) * CHOOSE( CONTROL!$C$15, $D$11, 100%, $F$11)</f>
        <v>3.8976999999999999</v>
      </c>
      <c r="H53" s="4">
        <f>CHOOSE( CONTROL!$C$32, 4.787, 4.7868) * CHOOSE(CONTROL!$C$15, $D$11, 100%, $F$11)</f>
        <v>4.7869999999999999</v>
      </c>
      <c r="I53" s="8">
        <f>CHOOSE( CONTROL!$C$32, 3.9198, 3.9195) * CHOOSE(CONTROL!$C$15, $D$11, 100%, $F$11)</f>
        <v>3.9198</v>
      </c>
      <c r="J53" s="4">
        <f>CHOOSE( CONTROL!$C$32, 3.8043, 3.804) * CHOOSE(CONTROL!$C$15, $D$11, 100%, $F$11)</f>
        <v>3.8043</v>
      </c>
      <c r="K53" s="4"/>
      <c r="L53" s="9">
        <v>29.306000000000001</v>
      </c>
      <c r="M53" s="9">
        <v>12.063700000000001</v>
      </c>
      <c r="N53" s="9">
        <v>4.9444999999999997</v>
      </c>
      <c r="O53" s="9">
        <v>0.37409999999999999</v>
      </c>
      <c r="P53" s="9">
        <v>1.2183999999999999</v>
      </c>
      <c r="Q53" s="9"/>
      <c r="R53" s="9">
        <f t="shared" si="0"/>
        <v>0.3</v>
      </c>
      <c r="S53" s="11"/>
    </row>
    <row r="54" spans="1:19" ht="15" customHeight="1">
      <c r="A54" s="13">
        <v>42767</v>
      </c>
      <c r="B54" s="8">
        <f>CHOOSE( CONTROL!$C$32, 3.9258, 3.9256) * CHOOSE(CONTROL!$C$15, $D$11, 100%, $F$11)</f>
        <v>3.9258000000000002</v>
      </c>
      <c r="C54" s="8">
        <f>CHOOSE( CONTROL!$C$32, 3.9309, 3.9306) * CHOOSE(CONTROL!$C$15, $D$11, 100%, $F$11)</f>
        <v>3.9308999999999998</v>
      </c>
      <c r="D54" s="8">
        <f>CHOOSE( CONTROL!$C$32, 3.9109, 3.9106) * CHOOSE( CONTROL!$C$15, $D$11, 100%, $F$11)</f>
        <v>3.9108999999999998</v>
      </c>
      <c r="E54" s="12">
        <f>CHOOSE( CONTROL!$C$32, 3.9177, 3.9174) * CHOOSE( CONTROL!$C$15, $D$11, 100%, $F$11)</f>
        <v>3.9177</v>
      </c>
      <c r="F54" s="4">
        <f>CHOOSE( CONTROL!$C$32, 4.5911, 4.5908) * CHOOSE(CONTROL!$C$15, $D$11, 100%, $F$11)</f>
        <v>4.5911</v>
      </c>
      <c r="G54" s="8">
        <f>CHOOSE( CONTROL!$C$32, 3.8835, 3.8833) * CHOOSE( CONTROL!$C$15, $D$11, 100%, $F$11)</f>
        <v>3.8835000000000002</v>
      </c>
      <c r="H54" s="4">
        <f>CHOOSE( CONTROL!$C$32, 4.784, 4.7837) * CHOOSE(CONTROL!$C$15, $D$11, 100%, $F$11)</f>
        <v>4.7839999999999998</v>
      </c>
      <c r="I54" s="8">
        <f>CHOOSE( CONTROL!$C$32, 3.9172, 3.9169) * CHOOSE(CONTROL!$C$15, $D$11, 100%, $F$11)</f>
        <v>3.9171999999999998</v>
      </c>
      <c r="J54" s="4">
        <f>CHOOSE( CONTROL!$C$32, 3.8013, 3.801) * CHOOSE(CONTROL!$C$15, $D$11, 100%, $F$11)</f>
        <v>3.8012999999999999</v>
      </c>
      <c r="K54" s="4"/>
      <c r="L54" s="9">
        <v>26.469899999999999</v>
      </c>
      <c r="M54" s="9">
        <v>10.8962</v>
      </c>
      <c r="N54" s="9">
        <v>4.4660000000000002</v>
      </c>
      <c r="O54" s="9">
        <v>0.33789999999999998</v>
      </c>
      <c r="P54" s="9">
        <v>1.1005</v>
      </c>
      <c r="Q54" s="9"/>
      <c r="R54" s="9">
        <f t="shared" si="0"/>
        <v>0.3</v>
      </c>
      <c r="S54" s="11"/>
    </row>
    <row r="55" spans="1:19" ht="15" customHeight="1">
      <c r="A55" s="13">
        <v>42795</v>
      </c>
      <c r="B55" s="8">
        <f>CHOOSE( CONTROL!$C$32, 3.8743, 3.874) * CHOOSE(CONTROL!$C$15, $D$11, 100%, $F$11)</f>
        <v>3.8742999999999999</v>
      </c>
      <c r="C55" s="8">
        <f>CHOOSE( CONTROL!$C$32, 3.8794, 3.8791) * CHOOSE(CONTROL!$C$15, $D$11, 100%, $F$11)</f>
        <v>3.8794</v>
      </c>
      <c r="D55" s="8">
        <f>CHOOSE( CONTROL!$C$32, 3.8494, 3.8491) * CHOOSE( CONTROL!$C$15, $D$11, 100%, $F$11)</f>
        <v>3.8494000000000002</v>
      </c>
      <c r="E55" s="12">
        <f>CHOOSE( CONTROL!$C$32, 3.8598, 3.8595) * CHOOSE( CONTROL!$C$15, $D$11, 100%, $F$11)</f>
        <v>3.8597999999999999</v>
      </c>
      <c r="F55" s="4">
        <f>CHOOSE( CONTROL!$C$32, 4.5396, 4.5393) * CHOOSE(CONTROL!$C$15, $D$11, 100%, $F$11)</f>
        <v>4.5396000000000001</v>
      </c>
      <c r="G55" s="8">
        <f>CHOOSE( CONTROL!$C$32, 3.8194, 3.8191) * CHOOSE( CONTROL!$C$15, $D$11, 100%, $F$11)</f>
        <v>3.8193999999999999</v>
      </c>
      <c r="H55" s="4">
        <f>CHOOSE( CONTROL!$C$32, 4.7331, 4.7328) * CHOOSE(CONTROL!$C$15, $D$11, 100%, $F$11)</f>
        <v>4.7331000000000003</v>
      </c>
      <c r="I55" s="8">
        <f>CHOOSE( CONTROL!$C$32, 3.832, 3.8317) * CHOOSE(CONTROL!$C$15, $D$11, 100%, $F$11)</f>
        <v>3.8319999999999999</v>
      </c>
      <c r="J55" s="4">
        <f>CHOOSE( CONTROL!$C$32, 3.7513, 3.751) * CHOOSE(CONTROL!$C$15, $D$11, 100%, $F$11)</f>
        <v>3.7513000000000001</v>
      </c>
      <c r="K55" s="4"/>
      <c r="L55" s="9">
        <v>29.306000000000001</v>
      </c>
      <c r="M55" s="9">
        <v>12.063700000000001</v>
      </c>
      <c r="N55" s="9">
        <v>4.9444999999999997</v>
      </c>
      <c r="O55" s="9">
        <v>0.37409999999999999</v>
      </c>
      <c r="P55" s="9">
        <v>1.2183999999999999</v>
      </c>
      <c r="Q55" s="9"/>
      <c r="R55" s="9">
        <f t="shared" si="0"/>
        <v>0.3</v>
      </c>
      <c r="S55" s="11"/>
    </row>
    <row r="56" spans="1:19" ht="15" customHeight="1">
      <c r="A56" s="13">
        <v>42826</v>
      </c>
      <c r="B56" s="8">
        <f>CHOOSE( CONTROL!$C$32, 3.6999, 3.6996) * CHOOSE(CONTROL!$C$15, $D$11, 100%, $F$11)</f>
        <v>3.6999</v>
      </c>
      <c r="C56" s="8">
        <f>CHOOSE( CONTROL!$C$32, 3.7044, 3.7041) * CHOOSE(CONTROL!$C$15, $D$11, 100%, $F$11)</f>
        <v>3.7044000000000001</v>
      </c>
      <c r="D56" s="8">
        <f>CHOOSE( CONTROL!$C$32, 3.697, 3.6967) * CHOOSE( CONTROL!$C$15, $D$11, 100%, $F$11)</f>
        <v>3.6970000000000001</v>
      </c>
      <c r="E56" s="12">
        <f>CHOOSE( CONTROL!$C$32, 3.6989, 3.6986) * CHOOSE( CONTROL!$C$15, $D$11, 100%, $F$11)</f>
        <v>3.6989000000000001</v>
      </c>
      <c r="F56" s="4">
        <f>CHOOSE( CONTROL!$C$32, 4.4082, 4.4079) * CHOOSE(CONTROL!$C$15, $D$11, 100%, $F$11)</f>
        <v>4.4081999999999999</v>
      </c>
      <c r="G56" s="8">
        <f>CHOOSE( CONTROL!$C$32, 3.6394, 3.6392) * CHOOSE( CONTROL!$C$15, $D$11, 100%, $F$11)</f>
        <v>3.6394000000000002</v>
      </c>
      <c r="H56" s="4">
        <f>CHOOSE( CONTROL!$C$32, 4.6032, 4.603) * CHOOSE(CONTROL!$C$15, $D$11, 100%, $F$11)</f>
        <v>4.6032000000000002</v>
      </c>
      <c r="I56" s="8">
        <f>CHOOSE( CONTROL!$C$32, 3.6624, 3.6621) * CHOOSE(CONTROL!$C$15, $D$11, 100%, $F$11)</f>
        <v>3.6623999999999999</v>
      </c>
      <c r="J56" s="4">
        <f>CHOOSE( CONTROL!$C$32, 3.5813, 3.581) * CHOOSE(CONTROL!$C$15, $D$11, 100%, $F$11)</f>
        <v>3.5813000000000001</v>
      </c>
      <c r="K56" s="4"/>
      <c r="L56" s="9">
        <v>30.092199999999998</v>
      </c>
      <c r="M56" s="9">
        <v>11.6745</v>
      </c>
      <c r="N56" s="9">
        <v>4.7850000000000001</v>
      </c>
      <c r="O56" s="9">
        <v>0.36199999999999999</v>
      </c>
      <c r="P56" s="9">
        <v>2.0339999999999998</v>
      </c>
      <c r="Q56" s="9"/>
      <c r="R56" s="9">
        <f t="shared" si="0"/>
        <v>0.3</v>
      </c>
      <c r="S56" s="11"/>
    </row>
    <row r="57" spans="1:19" ht="15" customHeight="1">
      <c r="A57" s="13">
        <v>42856</v>
      </c>
      <c r="B57" s="8">
        <f>CHOOSE( CONTROL!$C$32, 3.7035, 3.7031) * CHOOSE(CONTROL!$C$15, $D$11, 100%, $F$11)</f>
        <v>3.7035</v>
      </c>
      <c r="C57" s="8">
        <f>CHOOSE( CONTROL!$C$32, 3.7115, 3.711) * CHOOSE(CONTROL!$C$15, $D$11, 100%, $F$11)</f>
        <v>3.7115</v>
      </c>
      <c r="D57" s="8">
        <f>CHOOSE( CONTROL!$C$32, 3.6989, 3.6984) * CHOOSE( CONTROL!$C$15, $D$11, 100%, $F$11)</f>
        <v>3.6989000000000001</v>
      </c>
      <c r="E57" s="12">
        <f>CHOOSE( CONTROL!$C$32, 3.7022, 3.7018) * CHOOSE( CONTROL!$C$15, $D$11, 100%, $F$11)</f>
        <v>3.7021999999999999</v>
      </c>
      <c r="F57" s="4">
        <f>CHOOSE( CONTROL!$C$32, 4.4105, 4.41) * CHOOSE(CONTROL!$C$15, $D$11, 100%, $F$11)</f>
        <v>4.4104999999999999</v>
      </c>
      <c r="G57" s="8">
        <f>CHOOSE( CONTROL!$C$32, 3.6426, 3.6421) * CHOOSE( CONTROL!$C$15, $D$11, 100%, $F$11)</f>
        <v>3.6425999999999998</v>
      </c>
      <c r="H57" s="4">
        <f>CHOOSE( CONTROL!$C$32, 4.6055, 4.605) * CHOOSE(CONTROL!$C$15, $D$11, 100%, $F$11)</f>
        <v>4.6055000000000001</v>
      </c>
      <c r="I57" s="8">
        <f>CHOOSE( CONTROL!$C$32, 3.6652, 3.6647) * CHOOSE(CONTROL!$C$15, $D$11, 100%, $F$11)</f>
        <v>3.6652</v>
      </c>
      <c r="J57" s="4">
        <f>CHOOSE( CONTROL!$C$32, 3.5834, 3.583) * CHOOSE(CONTROL!$C$15, $D$11, 100%, $F$11)</f>
        <v>3.5834000000000001</v>
      </c>
      <c r="K57" s="4"/>
      <c r="L57" s="9">
        <v>30.7165</v>
      </c>
      <c r="M57" s="9">
        <v>12.063700000000001</v>
      </c>
      <c r="N57" s="9">
        <v>4.9444999999999997</v>
      </c>
      <c r="O57" s="9">
        <v>0.37409999999999999</v>
      </c>
      <c r="P57" s="9">
        <v>2.1017999999999999</v>
      </c>
      <c r="Q57" s="9">
        <v>25.076499999999999</v>
      </c>
      <c r="R57" s="9"/>
      <c r="S57" s="11"/>
    </row>
    <row r="58" spans="1:19" ht="15" customHeight="1">
      <c r="A58" s="13">
        <v>42887</v>
      </c>
      <c r="B58" s="8">
        <f>CHOOSE( CONTROL!$C$32, 3.7396, 3.7391) * CHOOSE(CONTROL!$C$15, $D$11, 100%, $F$11)</f>
        <v>3.7395999999999998</v>
      </c>
      <c r="C58" s="8">
        <f>CHOOSE( CONTROL!$C$32, 3.7476, 3.7471) * CHOOSE(CONTROL!$C$15, $D$11, 100%, $F$11)</f>
        <v>3.7475999999999998</v>
      </c>
      <c r="D58" s="8">
        <f>CHOOSE( CONTROL!$C$32, 3.7354, 3.7349) * CHOOSE( CONTROL!$C$15, $D$11, 100%, $F$11)</f>
        <v>3.7353999999999998</v>
      </c>
      <c r="E58" s="12">
        <f>CHOOSE( CONTROL!$C$32, 3.7386, 3.7381) * CHOOSE( CONTROL!$C$15, $D$11, 100%, $F$11)</f>
        <v>3.7385999999999999</v>
      </c>
      <c r="F58" s="4">
        <f>CHOOSE( CONTROL!$C$32, 4.4465, 4.4461) * CHOOSE(CONTROL!$C$15, $D$11, 100%, $F$11)</f>
        <v>4.4465000000000003</v>
      </c>
      <c r="G58" s="8">
        <f>CHOOSE( CONTROL!$C$32, 3.6787, 3.6782) * CHOOSE( CONTROL!$C$15, $D$11, 100%, $F$11)</f>
        <v>3.6787000000000001</v>
      </c>
      <c r="H58" s="4">
        <f>CHOOSE( CONTROL!$C$32, 4.6411, 4.6406) * CHOOSE(CONTROL!$C$15, $D$11, 100%, $F$11)</f>
        <v>4.6410999999999998</v>
      </c>
      <c r="I58" s="8">
        <f>CHOOSE( CONTROL!$C$32, 3.7016, 3.7012) * CHOOSE(CONTROL!$C$15, $D$11, 100%, $F$11)</f>
        <v>3.7016</v>
      </c>
      <c r="J58" s="4">
        <f>CHOOSE( CONTROL!$C$32, 3.6184, 3.618) * CHOOSE(CONTROL!$C$15, $D$11, 100%, $F$11)</f>
        <v>3.6183999999999998</v>
      </c>
      <c r="K58" s="4"/>
      <c r="L58" s="9">
        <v>29.7257</v>
      </c>
      <c r="M58" s="9">
        <v>11.6745</v>
      </c>
      <c r="N58" s="9">
        <v>4.7850000000000001</v>
      </c>
      <c r="O58" s="9">
        <v>0.36199999999999999</v>
      </c>
      <c r="P58" s="9">
        <v>2.0339999999999998</v>
      </c>
      <c r="Q58" s="9">
        <v>24.267600000000002</v>
      </c>
      <c r="R58" s="9"/>
      <c r="S58" s="11"/>
    </row>
    <row r="59" spans="1:19" ht="15" customHeight="1">
      <c r="A59" s="13">
        <v>42917</v>
      </c>
      <c r="B59" s="8">
        <f>CHOOSE( CONTROL!$C$32, 3.7746, 3.7742) * CHOOSE(CONTROL!$C$15, $D$11, 100%, $F$11)</f>
        <v>3.7746</v>
      </c>
      <c r="C59" s="8">
        <f>CHOOSE( CONTROL!$C$32, 3.7826, 3.7821) * CHOOSE(CONTROL!$C$15, $D$11, 100%, $F$11)</f>
        <v>3.7826</v>
      </c>
      <c r="D59" s="8">
        <f>CHOOSE( CONTROL!$C$32, 3.7709, 3.7705) * CHOOSE( CONTROL!$C$15, $D$11, 100%, $F$11)</f>
        <v>3.7709000000000001</v>
      </c>
      <c r="E59" s="12">
        <f>CHOOSE( CONTROL!$C$32, 3.7739, 3.7735) * CHOOSE( CONTROL!$C$15, $D$11, 100%, $F$11)</f>
        <v>3.7738999999999998</v>
      </c>
      <c r="F59" s="4">
        <f>CHOOSE( CONTROL!$C$32, 4.4816, 4.4811) * CHOOSE(CONTROL!$C$15, $D$11, 100%, $F$11)</f>
        <v>4.4816000000000003</v>
      </c>
      <c r="G59" s="8">
        <f>CHOOSE( CONTROL!$C$32, 3.7138, 3.7133) * CHOOSE( CONTROL!$C$15, $D$11, 100%, $F$11)</f>
        <v>3.7138</v>
      </c>
      <c r="H59" s="4">
        <f>CHOOSE( CONTROL!$C$32, 4.6757, 4.6753) * CHOOSE(CONTROL!$C$15, $D$11, 100%, $F$11)</f>
        <v>4.6757</v>
      </c>
      <c r="I59" s="8">
        <f>CHOOSE( CONTROL!$C$32, 3.7372, 3.7367) * CHOOSE(CONTROL!$C$15, $D$11, 100%, $F$11)</f>
        <v>3.7372000000000001</v>
      </c>
      <c r="J59" s="4">
        <f>CHOOSE( CONTROL!$C$32, 3.6524, 3.652) * CHOOSE(CONTROL!$C$15, $D$11, 100%, $F$11)</f>
        <v>3.6524000000000001</v>
      </c>
      <c r="K59" s="4"/>
      <c r="L59" s="9">
        <v>30.7165</v>
      </c>
      <c r="M59" s="9">
        <v>12.063700000000001</v>
      </c>
      <c r="N59" s="9">
        <v>4.9444999999999997</v>
      </c>
      <c r="O59" s="9">
        <v>0.37409999999999999</v>
      </c>
      <c r="P59" s="9">
        <v>2.1017999999999999</v>
      </c>
      <c r="Q59" s="9">
        <v>25.076499999999999</v>
      </c>
      <c r="R59" s="9"/>
      <c r="S59" s="11"/>
    </row>
    <row r="60" spans="1:19" ht="15" customHeight="1">
      <c r="A60" s="13">
        <v>42948</v>
      </c>
      <c r="B60" s="8">
        <f>CHOOSE( CONTROL!$C$32, 3.7859, 3.7855) * CHOOSE(CONTROL!$C$15, $D$11, 100%, $F$11)</f>
        <v>3.7858999999999998</v>
      </c>
      <c r="C60" s="8">
        <f>CHOOSE( CONTROL!$C$32, 3.7939, 3.7935) * CHOOSE(CONTROL!$C$15, $D$11, 100%, $F$11)</f>
        <v>3.7938999999999998</v>
      </c>
      <c r="D60" s="8">
        <f>CHOOSE( CONTROL!$C$32, 3.7824, 3.7819) * CHOOSE( CONTROL!$C$15, $D$11, 100%, $F$11)</f>
        <v>3.7824</v>
      </c>
      <c r="E60" s="12">
        <f>CHOOSE( CONTROL!$C$32, 3.7853, 3.7849) * CHOOSE( CONTROL!$C$15, $D$11, 100%, $F$11)</f>
        <v>3.7852999999999999</v>
      </c>
      <c r="F60" s="4">
        <f>CHOOSE( CONTROL!$C$32, 4.4929, 4.4924) * CHOOSE(CONTROL!$C$15, $D$11, 100%, $F$11)</f>
        <v>4.4928999999999997</v>
      </c>
      <c r="G60" s="8">
        <f>CHOOSE( CONTROL!$C$32, 3.7251, 3.7247) * CHOOSE( CONTROL!$C$15, $D$11, 100%, $F$11)</f>
        <v>3.7250999999999999</v>
      </c>
      <c r="H60" s="4">
        <f>CHOOSE( CONTROL!$C$32, 4.6869, 4.6865) * CHOOSE(CONTROL!$C$15, $D$11, 100%, $F$11)</f>
        <v>4.6868999999999996</v>
      </c>
      <c r="I60" s="8">
        <f>CHOOSE( CONTROL!$C$32, 3.7486, 3.7482) * CHOOSE(CONTROL!$C$15, $D$11, 100%, $F$11)</f>
        <v>3.7486000000000002</v>
      </c>
      <c r="J60" s="4">
        <f>CHOOSE( CONTROL!$C$32, 3.6634, 3.663) * CHOOSE(CONTROL!$C$15, $D$11, 100%, $F$11)</f>
        <v>3.6634000000000002</v>
      </c>
      <c r="K60" s="4"/>
      <c r="L60" s="9">
        <v>30.7165</v>
      </c>
      <c r="M60" s="9">
        <v>12.063700000000001</v>
      </c>
      <c r="N60" s="9">
        <v>4.9444999999999997</v>
      </c>
      <c r="O60" s="9">
        <v>0.37409999999999999</v>
      </c>
      <c r="P60" s="9">
        <v>2.1017999999999999</v>
      </c>
      <c r="Q60" s="9">
        <v>25.076499999999999</v>
      </c>
      <c r="R60" s="9"/>
      <c r="S60" s="11"/>
    </row>
    <row r="61" spans="1:19" ht="15" customHeight="1">
      <c r="A61" s="13">
        <v>42979</v>
      </c>
      <c r="B61" s="8">
        <f>CHOOSE( CONTROL!$C$32, 3.7756, 3.7752) * CHOOSE(CONTROL!$C$15, $D$11, 100%, $F$11)</f>
        <v>3.7755999999999998</v>
      </c>
      <c r="C61" s="8">
        <f>CHOOSE( CONTROL!$C$32, 3.7836, 3.7832) * CHOOSE(CONTROL!$C$15, $D$11, 100%, $F$11)</f>
        <v>3.7835999999999999</v>
      </c>
      <c r="D61" s="8">
        <f>CHOOSE( CONTROL!$C$32, 3.7719, 3.7715) * CHOOSE( CONTROL!$C$15, $D$11, 100%, $F$11)</f>
        <v>3.7719</v>
      </c>
      <c r="E61" s="12">
        <f>CHOOSE( CONTROL!$C$32, 3.7749, 3.7745) * CHOOSE( CONTROL!$C$15, $D$11, 100%, $F$11)</f>
        <v>3.7749000000000001</v>
      </c>
      <c r="F61" s="4">
        <f>CHOOSE( CONTROL!$C$32, 4.4826, 4.4821) * CHOOSE(CONTROL!$C$15, $D$11, 100%, $F$11)</f>
        <v>4.4825999999999997</v>
      </c>
      <c r="G61" s="8">
        <f>CHOOSE( CONTROL!$C$32, 3.7148, 3.7143) * CHOOSE( CONTROL!$C$15, $D$11, 100%, $F$11)</f>
        <v>3.7147999999999999</v>
      </c>
      <c r="H61" s="4">
        <f>CHOOSE( CONTROL!$C$32, 4.6767, 4.6763) * CHOOSE(CONTROL!$C$15, $D$11, 100%, $F$11)</f>
        <v>4.6767000000000003</v>
      </c>
      <c r="I61" s="8">
        <f>CHOOSE( CONTROL!$C$32, 3.7381, 3.7377) * CHOOSE(CONTROL!$C$15, $D$11, 100%, $F$11)</f>
        <v>3.7381000000000002</v>
      </c>
      <c r="J61" s="4">
        <f>CHOOSE( CONTROL!$C$32, 3.6534, 3.653) * CHOOSE(CONTROL!$C$15, $D$11, 100%, $F$11)</f>
        <v>3.6534</v>
      </c>
      <c r="K61" s="4"/>
      <c r="L61" s="9">
        <v>29.7257</v>
      </c>
      <c r="M61" s="9">
        <v>11.6745</v>
      </c>
      <c r="N61" s="9">
        <v>4.7850000000000001</v>
      </c>
      <c r="O61" s="9">
        <v>0.36199999999999999</v>
      </c>
      <c r="P61" s="9">
        <v>2.0339999999999998</v>
      </c>
      <c r="Q61" s="9">
        <v>24.267600000000002</v>
      </c>
      <c r="R61" s="9"/>
      <c r="S61" s="11"/>
    </row>
    <row r="62" spans="1:19" ht="15" customHeight="1">
      <c r="A62" s="13">
        <v>43009</v>
      </c>
      <c r="B62" s="8">
        <f>CHOOSE( CONTROL!$C$32, 3.7985, 3.7982) * CHOOSE(CONTROL!$C$15, $D$11, 100%, $F$11)</f>
        <v>3.7985000000000002</v>
      </c>
      <c r="C62" s="8">
        <f>CHOOSE( CONTROL!$C$32, 3.8038, 3.8035) * CHOOSE(CONTROL!$C$15, $D$11, 100%, $F$11)</f>
        <v>3.8037999999999998</v>
      </c>
      <c r="D62" s="8">
        <f>CHOOSE( CONTROL!$C$32, 3.7792, 3.779) * CHOOSE( CONTROL!$C$15, $D$11, 100%, $F$11)</f>
        <v>3.7791999999999999</v>
      </c>
      <c r="E62" s="12">
        <f>CHOOSE( CONTROL!$C$32, 3.7868, 3.7865) * CHOOSE( CONTROL!$C$15, $D$11, 100%, $F$11)</f>
        <v>3.7867999999999999</v>
      </c>
      <c r="F62" s="4">
        <f>CHOOSE( CONTROL!$C$32, 4.5071, 4.5069) * CHOOSE(CONTROL!$C$15, $D$11, 100%, $F$11)</f>
        <v>4.5071000000000003</v>
      </c>
      <c r="G62" s="8">
        <f>CHOOSE( CONTROL!$C$32, 3.762, 3.7617) * CHOOSE( CONTROL!$C$15, $D$11, 100%, $F$11)</f>
        <v>3.762</v>
      </c>
      <c r="H62" s="4">
        <f>CHOOSE( CONTROL!$C$32, 4.701, 4.7007) * CHOOSE(CONTROL!$C$15, $D$11, 100%, $F$11)</f>
        <v>4.7009999999999996</v>
      </c>
      <c r="I62" s="8">
        <f>CHOOSE( CONTROL!$C$32, 3.7626, 3.7624) * CHOOSE(CONTROL!$C$15, $D$11, 100%, $F$11)</f>
        <v>3.7625999999999999</v>
      </c>
      <c r="J62" s="4">
        <f>CHOOSE( CONTROL!$C$32, 3.6773, 3.677) * CHOOSE(CONTROL!$C$15, $D$11, 100%, $F$11)</f>
        <v>3.6772999999999998</v>
      </c>
      <c r="K62" s="4"/>
      <c r="L62" s="9">
        <v>31.095300000000002</v>
      </c>
      <c r="M62" s="9">
        <v>12.063700000000001</v>
      </c>
      <c r="N62" s="9">
        <v>4.9444999999999997</v>
      </c>
      <c r="O62" s="9">
        <v>0.37409999999999999</v>
      </c>
      <c r="P62" s="9">
        <v>2.1017999999999999</v>
      </c>
      <c r="Q62" s="9">
        <v>25.076499999999999</v>
      </c>
      <c r="R62" s="9"/>
      <c r="S62" s="11"/>
    </row>
    <row r="63" spans="1:19" ht="15" customHeight="1">
      <c r="A63" s="13">
        <v>43040</v>
      </c>
      <c r="B63" s="8">
        <f>CHOOSE( CONTROL!$C$32, 3.8877, 3.8874) * CHOOSE(CONTROL!$C$15, $D$11, 100%, $F$11)</f>
        <v>3.8877000000000002</v>
      </c>
      <c r="C63" s="8">
        <f>CHOOSE( CONTROL!$C$32, 3.8928, 3.8925) * CHOOSE(CONTROL!$C$15, $D$11, 100%, $F$11)</f>
        <v>3.8927999999999998</v>
      </c>
      <c r="D63" s="8">
        <f>CHOOSE( CONTROL!$C$32, 3.8607, 3.8604) * CHOOSE( CONTROL!$C$15, $D$11, 100%, $F$11)</f>
        <v>3.8607</v>
      </c>
      <c r="E63" s="12">
        <f>CHOOSE( CONTROL!$C$32, 3.8719, 3.8716) * CHOOSE( CONTROL!$C$15, $D$11, 100%, $F$11)</f>
        <v>3.8719000000000001</v>
      </c>
      <c r="F63" s="4">
        <f>CHOOSE( CONTROL!$C$32, 4.553, 4.5527) * CHOOSE(CONTROL!$C$15, $D$11, 100%, $F$11)</f>
        <v>4.5529999999999999</v>
      </c>
      <c r="G63" s="8">
        <f>CHOOSE( CONTROL!$C$32, 3.8395, 3.8393) * CHOOSE( CONTROL!$C$15, $D$11, 100%, $F$11)</f>
        <v>3.8395000000000001</v>
      </c>
      <c r="H63" s="4">
        <f>CHOOSE( CONTROL!$C$32, 4.7463, 4.746) * CHOOSE(CONTROL!$C$15, $D$11, 100%, $F$11)</f>
        <v>4.7462999999999997</v>
      </c>
      <c r="I63" s="8">
        <f>CHOOSE( CONTROL!$C$32, 3.9005, 3.9003) * CHOOSE(CONTROL!$C$15, $D$11, 100%, $F$11)</f>
        <v>3.9005000000000001</v>
      </c>
      <c r="J63" s="4">
        <f>CHOOSE( CONTROL!$C$32, 3.7643, 3.764) * CHOOSE(CONTROL!$C$15, $D$11, 100%, $F$11)</f>
        <v>3.7643</v>
      </c>
      <c r="K63" s="4"/>
      <c r="L63" s="9">
        <v>28.360600000000002</v>
      </c>
      <c r="M63" s="9">
        <v>11.6745</v>
      </c>
      <c r="N63" s="9">
        <v>4.7850000000000001</v>
      </c>
      <c r="O63" s="9">
        <v>0.36199999999999999</v>
      </c>
      <c r="P63" s="9">
        <v>1.2509999999999999</v>
      </c>
      <c r="Q63" s="9">
        <v>24.267600000000002</v>
      </c>
      <c r="R63" s="9"/>
      <c r="S63" s="11"/>
    </row>
    <row r="64" spans="1:19" ht="15" customHeight="1">
      <c r="A64" s="13">
        <v>43070</v>
      </c>
      <c r="B64" s="8">
        <f>CHOOSE( CONTROL!$C$32, 4.0711, 4.0708) * CHOOSE(CONTROL!$C$15, $D$11, 100%, $F$11)</f>
        <v>4.0711000000000004</v>
      </c>
      <c r="C64" s="8">
        <f>CHOOSE( CONTROL!$C$32, 4.0762, 4.0759) * CHOOSE(CONTROL!$C$15, $D$11, 100%, $F$11)</f>
        <v>4.0762</v>
      </c>
      <c r="D64" s="8">
        <f>CHOOSE( CONTROL!$C$32, 4.0459, 4.0456) * CHOOSE( CONTROL!$C$15, $D$11, 100%, $F$11)</f>
        <v>4.0458999999999996</v>
      </c>
      <c r="E64" s="12">
        <f>CHOOSE( CONTROL!$C$32, 4.0564, 4.0561) * CHOOSE( CONTROL!$C$15, $D$11, 100%, $F$11)</f>
        <v>4.0564</v>
      </c>
      <c r="F64" s="4">
        <f>CHOOSE( CONTROL!$C$32, 4.7364, 4.7361) * CHOOSE(CONTROL!$C$15, $D$11, 100%, $F$11)</f>
        <v>4.7363999999999997</v>
      </c>
      <c r="G64" s="8">
        <f>CHOOSE( CONTROL!$C$32, 4.0221, 4.0219) * CHOOSE( CONTROL!$C$15, $D$11, 100%, $F$11)</f>
        <v>4.0221</v>
      </c>
      <c r="H64" s="4">
        <f>CHOOSE( CONTROL!$C$32, 4.9276, 4.9273) * CHOOSE(CONTROL!$C$15, $D$11, 100%, $F$11)</f>
        <v>4.9276</v>
      </c>
      <c r="I64" s="8">
        <f>CHOOSE( CONTROL!$C$32, 4.0843, 4.0841) * CHOOSE(CONTROL!$C$15, $D$11, 100%, $F$11)</f>
        <v>4.0842999999999998</v>
      </c>
      <c r="J64" s="4">
        <f>CHOOSE( CONTROL!$C$32, 3.9423, 3.942) * CHOOSE(CONTROL!$C$15, $D$11, 100%, $F$11)</f>
        <v>3.9422999999999999</v>
      </c>
      <c r="K64" s="4"/>
      <c r="L64" s="9">
        <v>29.306000000000001</v>
      </c>
      <c r="M64" s="9">
        <v>12.063700000000001</v>
      </c>
      <c r="N64" s="9">
        <v>4.9444999999999997</v>
      </c>
      <c r="O64" s="9">
        <v>0.37409999999999999</v>
      </c>
      <c r="P64" s="9">
        <v>1.2927</v>
      </c>
      <c r="Q64" s="9">
        <v>25.076499999999999</v>
      </c>
      <c r="R64" s="9"/>
      <c r="S64" s="11"/>
    </row>
    <row r="65" spans="1:19" ht="15" customHeight="1">
      <c r="A65" s="13">
        <v>43101</v>
      </c>
      <c r="B65" s="8">
        <f>CHOOSE( CONTROL!$C$32, 4.491, 4.4908) * CHOOSE(CONTROL!$C$15, $D$11, 100%, $F$11)</f>
        <v>4.4909999999999997</v>
      </c>
      <c r="C65" s="8">
        <f>CHOOSE( CONTROL!$C$32, 4.4961, 4.4958) * CHOOSE(CONTROL!$C$15, $D$11, 100%, $F$11)</f>
        <v>4.4961000000000002</v>
      </c>
      <c r="D65" s="8">
        <f>CHOOSE( CONTROL!$C$32, 4.4938, 4.4935) * CHOOSE( CONTROL!$C$15, $D$11, 100%, $F$11)</f>
        <v>4.4938000000000002</v>
      </c>
      <c r="E65" s="12">
        <f>CHOOSE( CONTROL!$C$32, 4.4941, 4.4938) * CHOOSE( CONTROL!$C$15, $D$11, 100%, $F$11)</f>
        <v>4.4941000000000004</v>
      </c>
      <c r="F65" s="4">
        <f>CHOOSE( CONTROL!$C$32, 5.1563, 5.1561) * CHOOSE(CONTROL!$C$15, $D$11, 100%, $F$11)</f>
        <v>5.1562999999999999</v>
      </c>
      <c r="G65" s="8">
        <f>CHOOSE( CONTROL!$C$32, 4.4533, 4.453) * CHOOSE( CONTROL!$C$15, $D$11, 100%, $F$11)</f>
        <v>4.4532999999999996</v>
      </c>
      <c r="H65" s="4">
        <f>CHOOSE( CONTROL!$C$32, 5.3426, 5.3423) * CHOOSE(CONTROL!$C$15, $D$11, 100%, $F$11)</f>
        <v>5.3426</v>
      </c>
      <c r="I65" s="8">
        <f>CHOOSE( CONTROL!$C$32, 4.4656, 4.4653) * CHOOSE(CONTROL!$C$15, $D$11, 100%, $F$11)</f>
        <v>4.4656000000000002</v>
      </c>
      <c r="J65" s="4">
        <f>CHOOSE( CONTROL!$C$32, 4.3498, 4.3495) * CHOOSE(CONTROL!$C$15, $D$11, 100%, $F$11)</f>
        <v>4.3498000000000001</v>
      </c>
      <c r="K65" s="4"/>
      <c r="L65" s="9">
        <v>29.306000000000001</v>
      </c>
      <c r="M65" s="9">
        <v>12.063700000000001</v>
      </c>
      <c r="N65" s="9">
        <v>4.9444999999999997</v>
      </c>
      <c r="O65" s="9">
        <v>0.37409999999999999</v>
      </c>
      <c r="P65" s="9">
        <v>1.2927</v>
      </c>
      <c r="Q65" s="9">
        <v>24.901700000000002</v>
      </c>
      <c r="R65" s="9"/>
      <c r="S65" s="11"/>
    </row>
    <row r="66" spans="1:19" ht="15" customHeight="1">
      <c r="A66" s="13">
        <v>43132</v>
      </c>
      <c r="B66" s="8">
        <f>CHOOSE( CONTROL!$C$32, 4.2013, 4.201) * CHOOSE(CONTROL!$C$15, $D$11, 100%, $F$11)</f>
        <v>4.2012999999999998</v>
      </c>
      <c r="C66" s="8">
        <f>CHOOSE( CONTROL!$C$32, 4.2064, 4.2061) * CHOOSE(CONTROL!$C$15, $D$11, 100%, $F$11)</f>
        <v>4.2064000000000004</v>
      </c>
      <c r="D66" s="8">
        <f>CHOOSE( CONTROL!$C$32, 4.1863, 4.1861) * CHOOSE( CONTROL!$C$15, $D$11, 100%, $F$11)</f>
        <v>4.1863000000000001</v>
      </c>
      <c r="E66" s="12">
        <f>CHOOSE( CONTROL!$C$32, 4.1931, 4.1929) * CHOOSE( CONTROL!$C$15, $D$11, 100%, $F$11)</f>
        <v>4.1931000000000003</v>
      </c>
      <c r="F66" s="4">
        <f>CHOOSE( CONTROL!$C$32, 4.8666, 4.8663) * CHOOSE(CONTROL!$C$15, $D$11, 100%, $F$11)</f>
        <v>4.8666</v>
      </c>
      <c r="G66" s="8">
        <f>CHOOSE( CONTROL!$C$32, 4.1558, 4.1555) * CHOOSE( CONTROL!$C$15, $D$11, 100%, $F$11)</f>
        <v>4.1558000000000002</v>
      </c>
      <c r="H66" s="4">
        <f>CHOOSE( CONTROL!$C$32, 5.0562, 5.056) * CHOOSE(CONTROL!$C$15, $D$11, 100%, $F$11)</f>
        <v>5.0561999999999996</v>
      </c>
      <c r="I66" s="8">
        <f>CHOOSE( CONTROL!$C$32, 4.1847, 4.1844) * CHOOSE(CONTROL!$C$15, $D$11, 100%, $F$11)</f>
        <v>4.1847000000000003</v>
      </c>
      <c r="J66" s="4">
        <f>CHOOSE( CONTROL!$C$32, 4.0686, 4.0684) * CHOOSE(CONTROL!$C$15, $D$11, 100%, $F$11)</f>
        <v>4.0686</v>
      </c>
      <c r="K66" s="4"/>
      <c r="L66" s="9">
        <v>26.469899999999999</v>
      </c>
      <c r="M66" s="9">
        <v>10.8962</v>
      </c>
      <c r="N66" s="9">
        <v>4.4660000000000002</v>
      </c>
      <c r="O66" s="9">
        <v>0.33789999999999998</v>
      </c>
      <c r="P66" s="9">
        <v>1.1676</v>
      </c>
      <c r="Q66" s="9">
        <v>22.491800000000001</v>
      </c>
      <c r="R66" s="9"/>
      <c r="S66" s="11"/>
    </row>
    <row r="67" spans="1:19" ht="15" customHeight="1">
      <c r="A67" s="13">
        <v>43160</v>
      </c>
      <c r="B67" s="8">
        <f>CHOOSE( CONTROL!$C$32, 4.1121, 4.1118) * CHOOSE(CONTROL!$C$15, $D$11, 100%, $F$11)</f>
        <v>4.1120999999999999</v>
      </c>
      <c r="C67" s="8">
        <f>CHOOSE( CONTROL!$C$32, 4.1171, 4.1169) * CHOOSE(CONTROL!$C$15, $D$11, 100%, $F$11)</f>
        <v>4.1170999999999998</v>
      </c>
      <c r="D67" s="8">
        <f>CHOOSE( CONTROL!$C$32, 4.0872, 4.0869) * CHOOSE( CONTROL!$C$15, $D$11, 100%, $F$11)</f>
        <v>4.0872000000000002</v>
      </c>
      <c r="E67" s="12">
        <f>CHOOSE( CONTROL!$C$32, 4.0976, 4.0973) * CHOOSE( CONTROL!$C$15, $D$11, 100%, $F$11)</f>
        <v>4.0975999999999999</v>
      </c>
      <c r="F67" s="4">
        <f>CHOOSE( CONTROL!$C$32, 4.7774, 4.7771) * CHOOSE(CONTROL!$C$15, $D$11, 100%, $F$11)</f>
        <v>4.7774000000000001</v>
      </c>
      <c r="G67" s="8">
        <f>CHOOSE( CONTROL!$C$32, 4.0544, 4.0541) * CHOOSE( CONTROL!$C$15, $D$11, 100%, $F$11)</f>
        <v>4.0544000000000002</v>
      </c>
      <c r="H67" s="4">
        <f>CHOOSE( CONTROL!$C$32, 4.968, 4.9678) * CHOOSE(CONTROL!$C$15, $D$11, 100%, $F$11)</f>
        <v>4.968</v>
      </c>
      <c r="I67" s="8">
        <f>CHOOSE( CONTROL!$C$32, 4.0628, 4.0626) * CHOOSE(CONTROL!$C$15, $D$11, 100%, $F$11)</f>
        <v>4.0628000000000002</v>
      </c>
      <c r="J67" s="4">
        <f>CHOOSE( CONTROL!$C$32, 3.982, 3.9817) * CHOOSE(CONTROL!$C$15, $D$11, 100%, $F$11)</f>
        <v>3.9820000000000002</v>
      </c>
      <c r="K67" s="4"/>
      <c r="L67" s="9">
        <v>29.306000000000001</v>
      </c>
      <c r="M67" s="9">
        <v>12.063700000000001</v>
      </c>
      <c r="N67" s="9">
        <v>4.9444999999999997</v>
      </c>
      <c r="O67" s="9">
        <v>0.37409999999999999</v>
      </c>
      <c r="P67" s="9">
        <v>1.2927</v>
      </c>
      <c r="Q67" s="9">
        <v>24.901700000000002</v>
      </c>
      <c r="R67" s="9"/>
      <c r="S67" s="11"/>
    </row>
    <row r="68" spans="1:19" ht="15" customHeight="1">
      <c r="A68" s="13">
        <v>43191</v>
      </c>
      <c r="B68" s="8">
        <f>CHOOSE( CONTROL!$C$32, 4.1752, 4.1749) * CHOOSE(CONTROL!$C$15, $D$11, 100%, $F$11)</f>
        <v>4.1752000000000002</v>
      </c>
      <c r="C68" s="8">
        <f>CHOOSE( CONTROL!$C$32, 4.1797, 4.1794) * CHOOSE(CONTROL!$C$15, $D$11, 100%, $F$11)</f>
        <v>4.1797000000000004</v>
      </c>
      <c r="D68" s="8">
        <f>CHOOSE( CONTROL!$C$32, 4.1792, 4.1789) * CHOOSE( CONTROL!$C$15, $D$11, 100%, $F$11)</f>
        <v>4.1791999999999998</v>
      </c>
      <c r="E68" s="12">
        <f>CHOOSE( CONTROL!$C$32, 4.1789, 4.1786) * CHOOSE( CONTROL!$C$15, $D$11, 100%, $F$11)</f>
        <v>4.1788999999999996</v>
      </c>
      <c r="F68" s="4">
        <f>CHOOSE( CONTROL!$C$32, 4.8835, 4.8832) * CHOOSE(CONTROL!$C$15, $D$11, 100%, $F$11)</f>
        <v>4.8834999999999997</v>
      </c>
      <c r="G68" s="8">
        <f>CHOOSE( CONTROL!$C$32, 4.133, 4.1327) * CHOOSE( CONTROL!$C$15, $D$11, 100%, $F$11)</f>
        <v>4.133</v>
      </c>
      <c r="H68" s="4">
        <f>CHOOSE( CONTROL!$C$32, 5.073, 5.0727) * CHOOSE(CONTROL!$C$15, $D$11, 100%, $F$11)</f>
        <v>5.0730000000000004</v>
      </c>
      <c r="I68" s="8">
        <f>CHOOSE( CONTROL!$C$32, 4.1239, 4.1236) * CHOOSE(CONTROL!$C$15, $D$11, 100%, $F$11)</f>
        <v>4.1238999999999999</v>
      </c>
      <c r="J68" s="4">
        <f>CHOOSE( CONTROL!$C$32, 4.0425, 4.0423) * CHOOSE(CONTROL!$C$15, $D$11, 100%, $F$11)</f>
        <v>4.0425000000000004</v>
      </c>
      <c r="K68" s="4"/>
      <c r="L68" s="9">
        <v>30.092199999999998</v>
      </c>
      <c r="M68" s="9">
        <v>11.6745</v>
      </c>
      <c r="N68" s="9">
        <v>4.7850000000000001</v>
      </c>
      <c r="O68" s="9">
        <v>0.36199999999999999</v>
      </c>
      <c r="P68" s="9">
        <v>1.2509999999999999</v>
      </c>
      <c r="Q68" s="9">
        <v>24.098400000000002</v>
      </c>
      <c r="R68" s="9"/>
      <c r="S68" s="11"/>
    </row>
    <row r="69" spans="1:19" ht="15" customHeight="1">
      <c r="A69" s="13">
        <v>43221</v>
      </c>
      <c r="B69" s="8">
        <f>CHOOSE( CONTROL!$C$32, 4.2877, 4.2873) * CHOOSE(CONTROL!$C$15, $D$11, 100%, $F$11)</f>
        <v>4.2877000000000001</v>
      </c>
      <c r="C69" s="8">
        <f>CHOOSE( CONTROL!$C$32, 4.2957, 4.2952) * CHOOSE(CONTROL!$C$15, $D$11, 100%, $F$11)</f>
        <v>4.2957000000000001</v>
      </c>
      <c r="D69" s="8">
        <f>CHOOSE( CONTROL!$C$32, 4.29, 4.2895) * CHOOSE( CONTROL!$C$15, $D$11, 100%, $F$11)</f>
        <v>4.29</v>
      </c>
      <c r="E69" s="12">
        <f>CHOOSE( CONTROL!$C$32, 4.2908, 4.2904) * CHOOSE( CONTROL!$C$15, $D$11, 100%, $F$11)</f>
        <v>4.2907999999999999</v>
      </c>
      <c r="F69" s="4">
        <f>CHOOSE( CONTROL!$C$32, 4.9947, 4.9942) * CHOOSE(CONTROL!$C$15, $D$11, 100%, $F$11)</f>
        <v>4.9946999999999999</v>
      </c>
      <c r="G69" s="8">
        <f>CHOOSE( CONTROL!$C$32, 4.2432, 4.2428) * CHOOSE( CONTROL!$C$15, $D$11, 100%, $F$11)</f>
        <v>4.2431999999999999</v>
      </c>
      <c r="H69" s="4">
        <f>CHOOSE( CONTROL!$C$32, 5.1828, 5.1824) * CHOOSE(CONTROL!$C$15, $D$11, 100%, $F$11)</f>
        <v>5.1828000000000003</v>
      </c>
      <c r="I69" s="8">
        <f>CHOOSE( CONTROL!$C$32, 4.2324, 4.232) * CHOOSE(CONTROL!$C$15, $D$11, 100%, $F$11)</f>
        <v>4.2324000000000002</v>
      </c>
      <c r="J69" s="4">
        <f>CHOOSE( CONTROL!$C$32, 4.1504, 4.15) * CHOOSE(CONTROL!$C$15, $D$11, 100%, $F$11)</f>
        <v>4.1504000000000003</v>
      </c>
      <c r="K69" s="4"/>
      <c r="L69" s="9">
        <v>30.7165</v>
      </c>
      <c r="M69" s="9">
        <v>12.063700000000001</v>
      </c>
      <c r="N69" s="9">
        <v>4.9444999999999997</v>
      </c>
      <c r="O69" s="9">
        <v>0.37409999999999999</v>
      </c>
      <c r="P69" s="9">
        <v>1.2927</v>
      </c>
      <c r="Q69" s="9">
        <v>24.901700000000002</v>
      </c>
      <c r="R69" s="9"/>
      <c r="S69" s="11"/>
    </row>
    <row r="70" spans="1:19" ht="15" customHeight="1">
      <c r="A70" s="13">
        <v>43252</v>
      </c>
      <c r="B70" s="8">
        <f>CHOOSE( CONTROL!$C$32, 4.219, 4.2185) * CHOOSE(CONTROL!$C$15, $D$11, 100%, $F$11)</f>
        <v>4.2190000000000003</v>
      </c>
      <c r="C70" s="8">
        <f>CHOOSE( CONTROL!$C$32, 4.2269, 4.2265) * CHOOSE(CONTROL!$C$15, $D$11, 100%, $F$11)</f>
        <v>4.2268999999999997</v>
      </c>
      <c r="D70" s="8">
        <f>CHOOSE( CONTROL!$C$32, 4.2217, 4.2212) * CHOOSE( CONTROL!$C$15, $D$11, 100%, $F$11)</f>
        <v>4.2217000000000002</v>
      </c>
      <c r="E70" s="12">
        <f>CHOOSE( CONTROL!$C$32, 4.2224, 4.2219) * CHOOSE( CONTROL!$C$15, $D$11, 100%, $F$11)</f>
        <v>4.2224000000000004</v>
      </c>
      <c r="F70" s="4">
        <f>CHOOSE( CONTROL!$C$32, 4.9259, 4.9255) * CHOOSE(CONTROL!$C$15, $D$11, 100%, $F$11)</f>
        <v>4.9259000000000004</v>
      </c>
      <c r="G70" s="8">
        <f>CHOOSE( CONTROL!$C$32, 4.1756, 4.1751) * CHOOSE( CONTROL!$C$15, $D$11, 100%, $F$11)</f>
        <v>4.1756000000000002</v>
      </c>
      <c r="H70" s="4">
        <f>CHOOSE( CONTROL!$C$32, 5.1149, 5.1144) * CHOOSE(CONTROL!$C$15, $D$11, 100%, $F$11)</f>
        <v>5.1148999999999996</v>
      </c>
      <c r="I70" s="8">
        <f>CHOOSE( CONTROL!$C$32, 4.1671, 4.1666) * CHOOSE(CONTROL!$C$15, $D$11, 100%, $F$11)</f>
        <v>4.1670999999999996</v>
      </c>
      <c r="J70" s="4">
        <f>CHOOSE( CONTROL!$C$32, 4.0837, 4.0833) * CHOOSE(CONTROL!$C$15, $D$11, 100%, $F$11)</f>
        <v>4.0837000000000003</v>
      </c>
      <c r="K70" s="4"/>
      <c r="L70" s="9">
        <v>29.7257</v>
      </c>
      <c r="M70" s="9">
        <v>11.6745</v>
      </c>
      <c r="N70" s="9">
        <v>4.7850000000000001</v>
      </c>
      <c r="O70" s="9">
        <v>0.36199999999999999</v>
      </c>
      <c r="P70" s="9">
        <v>1.2509999999999999</v>
      </c>
      <c r="Q70" s="9">
        <v>24.098400000000002</v>
      </c>
      <c r="R70" s="9"/>
      <c r="S70" s="11"/>
    </row>
    <row r="71" spans="1:19" ht="15" customHeight="1">
      <c r="A71" s="13">
        <v>43282</v>
      </c>
      <c r="B71" s="8">
        <f>CHOOSE( CONTROL!$C$32, 4.4, 4.3996) * CHOOSE(CONTROL!$C$15, $D$11, 100%, $F$11)</f>
        <v>4.4000000000000004</v>
      </c>
      <c r="C71" s="8">
        <f>CHOOSE( CONTROL!$C$32, 4.408, 4.4075) * CHOOSE(CONTROL!$C$15, $D$11, 100%, $F$11)</f>
        <v>4.4080000000000004</v>
      </c>
      <c r="D71" s="8">
        <f>CHOOSE( CONTROL!$C$32, 4.4031, 4.4027) * CHOOSE( CONTROL!$C$15, $D$11, 100%, $F$11)</f>
        <v>4.4031000000000002</v>
      </c>
      <c r="E71" s="12">
        <f>CHOOSE( CONTROL!$C$32, 4.4037, 4.4032) * CHOOSE( CONTROL!$C$15, $D$11, 100%, $F$11)</f>
        <v>4.4036999999999997</v>
      </c>
      <c r="F71" s="4">
        <f>CHOOSE( CONTROL!$C$32, 5.107, 5.1065) * CHOOSE(CONTROL!$C$15, $D$11, 100%, $F$11)</f>
        <v>5.1070000000000002</v>
      </c>
      <c r="G71" s="8">
        <f>CHOOSE( CONTROL!$C$32, 4.3549, 4.3544) * CHOOSE( CONTROL!$C$15, $D$11, 100%, $F$11)</f>
        <v>4.3548999999999998</v>
      </c>
      <c r="H71" s="4">
        <f>CHOOSE( CONTROL!$C$32, 5.2938, 5.2933) * CHOOSE(CONTROL!$C$15, $D$11, 100%, $F$11)</f>
        <v>5.2938000000000001</v>
      </c>
      <c r="I71" s="8">
        <f>CHOOSE( CONTROL!$C$32, 4.3444, 4.344) * CHOOSE(CONTROL!$C$15, $D$11, 100%, $F$11)</f>
        <v>4.3444000000000003</v>
      </c>
      <c r="J71" s="4">
        <f>CHOOSE( CONTROL!$C$32, 4.2594, 4.259) * CHOOSE(CONTROL!$C$15, $D$11, 100%, $F$11)</f>
        <v>4.2594000000000003</v>
      </c>
      <c r="K71" s="4"/>
      <c r="L71" s="9">
        <v>30.7165</v>
      </c>
      <c r="M71" s="9">
        <v>12.063700000000001</v>
      </c>
      <c r="N71" s="9">
        <v>4.9444999999999997</v>
      </c>
      <c r="O71" s="9">
        <v>0.37409999999999999</v>
      </c>
      <c r="P71" s="9">
        <v>1.2927</v>
      </c>
      <c r="Q71" s="9">
        <v>24.901700000000002</v>
      </c>
      <c r="R71" s="9"/>
      <c r="S71" s="11"/>
    </row>
    <row r="72" spans="1:19" ht="15" customHeight="1">
      <c r="A72" s="13">
        <v>43313</v>
      </c>
      <c r="B72" s="8">
        <f>CHOOSE( CONTROL!$C$32, 4.0613, 4.0608) * CHOOSE(CONTROL!$C$15, $D$11, 100%, $F$11)</f>
        <v>4.0613000000000001</v>
      </c>
      <c r="C72" s="8">
        <f>CHOOSE( CONTROL!$C$32, 4.0692, 4.0688) * CHOOSE(CONTROL!$C$15, $D$11, 100%, $F$11)</f>
        <v>4.0692000000000004</v>
      </c>
      <c r="D72" s="8">
        <f>CHOOSE( CONTROL!$C$32, 4.0645, 4.0641) * CHOOSE( CONTROL!$C$15, $D$11, 100%, $F$11)</f>
        <v>4.0644999999999998</v>
      </c>
      <c r="E72" s="12">
        <f>CHOOSE( CONTROL!$C$32, 4.065, 4.0646) * CHOOSE( CONTROL!$C$15, $D$11, 100%, $F$11)</f>
        <v>4.0650000000000004</v>
      </c>
      <c r="F72" s="4">
        <f>CHOOSE( CONTROL!$C$32, 4.7682, 4.7678) * CHOOSE(CONTROL!$C$15, $D$11, 100%, $F$11)</f>
        <v>4.7682000000000002</v>
      </c>
      <c r="G72" s="8">
        <f>CHOOSE( CONTROL!$C$32, 4.0202, 4.0197) * CHOOSE( CONTROL!$C$15, $D$11, 100%, $F$11)</f>
        <v>4.0202</v>
      </c>
      <c r="H72" s="4">
        <f>CHOOSE( CONTROL!$C$32, 4.959, 4.9586) * CHOOSE(CONTROL!$C$15, $D$11, 100%, $F$11)</f>
        <v>4.9589999999999996</v>
      </c>
      <c r="I72" s="8">
        <f>CHOOSE( CONTROL!$C$32, 4.016, 4.0155) * CHOOSE(CONTROL!$C$15, $D$11, 100%, $F$11)</f>
        <v>4.016</v>
      </c>
      <c r="J72" s="4">
        <f>CHOOSE( CONTROL!$C$32, 3.9306, 3.9302) * CHOOSE(CONTROL!$C$15, $D$11, 100%, $F$11)</f>
        <v>3.9306000000000001</v>
      </c>
      <c r="K72" s="4"/>
      <c r="L72" s="9">
        <v>30.7165</v>
      </c>
      <c r="M72" s="9">
        <v>12.063700000000001</v>
      </c>
      <c r="N72" s="9">
        <v>4.9444999999999997</v>
      </c>
      <c r="O72" s="9">
        <v>0.37409999999999999</v>
      </c>
      <c r="P72" s="9">
        <v>1.2927</v>
      </c>
      <c r="Q72" s="9">
        <v>24.901700000000002</v>
      </c>
      <c r="R72" s="9"/>
      <c r="S72" s="11"/>
    </row>
    <row r="73" spans="1:19" ht="15" customHeight="1">
      <c r="A73" s="13">
        <v>43344</v>
      </c>
      <c r="B73" s="8">
        <f>CHOOSE( CONTROL!$C$32, 3.9764, 3.976) * CHOOSE(CONTROL!$C$15, $D$11, 100%, $F$11)</f>
        <v>3.9763999999999999</v>
      </c>
      <c r="C73" s="8">
        <f>CHOOSE( CONTROL!$C$32, 3.9844, 3.984) * CHOOSE(CONTROL!$C$15, $D$11, 100%, $F$11)</f>
        <v>3.9843999999999999</v>
      </c>
      <c r="D73" s="8">
        <f>CHOOSE( CONTROL!$C$32, 3.9795, 3.9791) * CHOOSE( CONTROL!$C$15, $D$11, 100%, $F$11)</f>
        <v>3.9794999999999998</v>
      </c>
      <c r="E73" s="12">
        <f>CHOOSE( CONTROL!$C$32, 3.9801, 3.9797) * CHOOSE( CONTROL!$C$15, $D$11, 100%, $F$11)</f>
        <v>3.9801000000000002</v>
      </c>
      <c r="F73" s="4">
        <f>CHOOSE( CONTROL!$C$32, 4.6834, 4.6829) * CHOOSE(CONTROL!$C$15, $D$11, 100%, $F$11)</f>
        <v>4.6833999999999998</v>
      </c>
      <c r="G73" s="8">
        <f>CHOOSE( CONTROL!$C$32, 3.9362, 3.9358) * CHOOSE( CONTROL!$C$15, $D$11, 100%, $F$11)</f>
        <v>3.9361999999999999</v>
      </c>
      <c r="H73" s="4">
        <f>CHOOSE( CONTROL!$C$32, 4.8752, 4.8747) * CHOOSE(CONTROL!$C$15, $D$11, 100%, $F$11)</f>
        <v>4.8752000000000004</v>
      </c>
      <c r="I73" s="8">
        <f>CHOOSE( CONTROL!$C$32, 3.9331, 3.9326) * CHOOSE(CONTROL!$C$15, $D$11, 100%, $F$11)</f>
        <v>3.9331</v>
      </c>
      <c r="J73" s="4">
        <f>CHOOSE( CONTROL!$C$32, 3.8483, 3.8479) * CHOOSE(CONTROL!$C$15, $D$11, 100%, $F$11)</f>
        <v>3.8483000000000001</v>
      </c>
      <c r="K73" s="4"/>
      <c r="L73" s="9">
        <v>29.7257</v>
      </c>
      <c r="M73" s="9">
        <v>11.6745</v>
      </c>
      <c r="N73" s="9">
        <v>4.7850000000000001</v>
      </c>
      <c r="O73" s="9">
        <v>0.36199999999999999</v>
      </c>
      <c r="P73" s="9">
        <v>1.2509999999999999</v>
      </c>
      <c r="Q73" s="9">
        <v>24.098400000000002</v>
      </c>
      <c r="R73" s="9"/>
      <c r="S73" s="11"/>
    </row>
    <row r="74" spans="1:19" ht="15" customHeight="1">
      <c r="A74" s="13">
        <v>43374</v>
      </c>
      <c r="B74" s="8">
        <f>CHOOSE( CONTROL!$C$32, 4.1507, 4.1504) * CHOOSE(CONTROL!$C$15, $D$11, 100%, $F$11)</f>
        <v>4.1506999999999996</v>
      </c>
      <c r="C74" s="8">
        <f>CHOOSE( CONTROL!$C$32, 4.156, 4.1557) * CHOOSE(CONTROL!$C$15, $D$11, 100%, $F$11)</f>
        <v>4.1559999999999997</v>
      </c>
      <c r="D74" s="8">
        <f>CHOOSE( CONTROL!$C$32, 4.1562, 4.1559) * CHOOSE( CONTROL!$C$15, $D$11, 100%, $F$11)</f>
        <v>4.1562000000000001</v>
      </c>
      <c r="E74" s="12">
        <f>CHOOSE( CONTROL!$C$32, 4.1556, 4.1553) * CHOOSE( CONTROL!$C$15, $D$11, 100%, $F$11)</f>
        <v>4.1555999999999997</v>
      </c>
      <c r="F74" s="4">
        <f>CHOOSE( CONTROL!$C$32, 4.8593, 4.8591) * CHOOSE(CONTROL!$C$15, $D$11, 100%, $F$11)</f>
        <v>4.8593000000000002</v>
      </c>
      <c r="G74" s="8">
        <f>CHOOSE( CONTROL!$C$32, 4.1101, 4.1098) * CHOOSE( CONTROL!$C$15, $D$11, 100%, $F$11)</f>
        <v>4.1101000000000001</v>
      </c>
      <c r="H74" s="4">
        <f>CHOOSE( CONTROL!$C$32, 5.0491, 5.0488) * CHOOSE(CONTROL!$C$15, $D$11, 100%, $F$11)</f>
        <v>5.0491000000000001</v>
      </c>
      <c r="I74" s="8">
        <f>CHOOSE( CONTROL!$C$32, 4.1046, 4.1043) * CHOOSE(CONTROL!$C$15, $D$11, 100%, $F$11)</f>
        <v>4.1045999999999996</v>
      </c>
      <c r="J74" s="4">
        <f>CHOOSE( CONTROL!$C$32, 4.0191, 4.0188) * CHOOSE(CONTROL!$C$15, $D$11, 100%, $F$11)</f>
        <v>4.0190999999999999</v>
      </c>
      <c r="K74" s="4"/>
      <c r="L74" s="9">
        <v>31.095300000000002</v>
      </c>
      <c r="M74" s="9">
        <v>12.063700000000001</v>
      </c>
      <c r="N74" s="9">
        <v>4.9444999999999997</v>
      </c>
      <c r="O74" s="9">
        <v>0.37409999999999999</v>
      </c>
      <c r="P74" s="9">
        <v>1.2927</v>
      </c>
      <c r="Q74" s="9">
        <v>24.901700000000002</v>
      </c>
      <c r="R74" s="9"/>
      <c r="S74" s="11"/>
    </row>
    <row r="75" spans="1:19" ht="15" customHeight="1">
      <c r="A75" s="13">
        <v>43405</v>
      </c>
      <c r="B75" s="8">
        <f>CHOOSE( CONTROL!$C$32, 4.4754, 4.4751) * CHOOSE(CONTROL!$C$15, $D$11, 100%, $F$11)</f>
        <v>4.4753999999999996</v>
      </c>
      <c r="C75" s="8">
        <f>CHOOSE( CONTROL!$C$32, 4.4804, 4.4802) * CHOOSE(CONTROL!$C$15, $D$11, 100%, $F$11)</f>
        <v>4.4804000000000004</v>
      </c>
      <c r="D75" s="8">
        <f>CHOOSE( CONTROL!$C$32, 4.4483, 4.448) * CHOOSE( CONTROL!$C$15, $D$11, 100%, $F$11)</f>
        <v>4.4482999999999997</v>
      </c>
      <c r="E75" s="12">
        <f>CHOOSE( CONTROL!$C$32, 4.4595, 4.4592) * CHOOSE( CONTROL!$C$15, $D$11, 100%, $F$11)</f>
        <v>4.4595000000000002</v>
      </c>
      <c r="F75" s="4">
        <f>CHOOSE( CONTROL!$C$32, 5.1406, 5.1404) * CHOOSE(CONTROL!$C$15, $D$11, 100%, $F$11)</f>
        <v>5.1406000000000001</v>
      </c>
      <c r="G75" s="8">
        <f>CHOOSE( CONTROL!$C$32, 4.4203, 4.42) * CHOOSE( CONTROL!$C$15, $D$11, 100%, $F$11)</f>
        <v>4.4203000000000001</v>
      </c>
      <c r="H75" s="4">
        <f>CHOOSE( CONTROL!$C$32, 5.3271, 5.3268) * CHOOSE(CONTROL!$C$15, $D$11, 100%, $F$11)</f>
        <v>5.3270999999999997</v>
      </c>
      <c r="I75" s="8">
        <f>CHOOSE( CONTROL!$C$32, 4.4711, 4.4709) * CHOOSE(CONTROL!$C$15, $D$11, 100%, $F$11)</f>
        <v>4.4710999999999999</v>
      </c>
      <c r="J75" s="4">
        <f>CHOOSE( CONTROL!$C$32, 4.3346, 4.3343) * CHOOSE(CONTROL!$C$15, $D$11, 100%, $F$11)</f>
        <v>4.3346</v>
      </c>
      <c r="K75" s="4"/>
      <c r="L75" s="9">
        <v>28.360600000000002</v>
      </c>
      <c r="M75" s="9">
        <v>11.6745</v>
      </c>
      <c r="N75" s="9">
        <v>4.7850000000000001</v>
      </c>
      <c r="O75" s="9">
        <v>0.36199999999999999</v>
      </c>
      <c r="P75" s="9">
        <v>1.2509999999999999</v>
      </c>
      <c r="Q75" s="9">
        <v>24.098400000000002</v>
      </c>
      <c r="R75" s="9"/>
      <c r="S75" s="11"/>
    </row>
    <row r="76" spans="1:19" ht="15" customHeight="1">
      <c r="A76" s="13">
        <v>43435</v>
      </c>
      <c r="B76" s="8">
        <f>CHOOSE( CONTROL!$C$32, 4.4672, 4.467) * CHOOSE(CONTROL!$C$15, $D$11, 100%, $F$11)</f>
        <v>4.4672000000000001</v>
      </c>
      <c r="C76" s="8">
        <f>CHOOSE( CONTROL!$C$32, 4.4723, 4.472) * CHOOSE(CONTROL!$C$15, $D$11, 100%, $F$11)</f>
        <v>4.4722999999999997</v>
      </c>
      <c r="D76" s="8">
        <f>CHOOSE( CONTROL!$C$32, 4.442, 4.4417) * CHOOSE( CONTROL!$C$15, $D$11, 100%, $F$11)</f>
        <v>4.4420000000000002</v>
      </c>
      <c r="E76" s="12">
        <f>CHOOSE( CONTROL!$C$32, 4.4525, 4.4522) * CHOOSE( CONTROL!$C$15, $D$11, 100%, $F$11)</f>
        <v>4.4524999999999997</v>
      </c>
      <c r="F76" s="4">
        <f>CHOOSE( CONTROL!$C$32, 5.1325, 5.1322) * CHOOSE(CONTROL!$C$15, $D$11, 100%, $F$11)</f>
        <v>5.1325000000000003</v>
      </c>
      <c r="G76" s="8">
        <f>CHOOSE( CONTROL!$C$32, 4.4136, 4.4133) * CHOOSE( CONTROL!$C$15, $D$11, 100%, $F$11)</f>
        <v>4.4135999999999997</v>
      </c>
      <c r="H76" s="4">
        <f>CHOOSE( CONTROL!$C$32, 5.3191, 5.3188) * CHOOSE(CONTROL!$C$15, $D$11, 100%, $F$11)</f>
        <v>5.3190999999999997</v>
      </c>
      <c r="I76" s="8">
        <f>CHOOSE( CONTROL!$C$32, 4.4689, 4.4687) * CHOOSE(CONTROL!$C$15, $D$11, 100%, $F$11)</f>
        <v>4.4688999999999997</v>
      </c>
      <c r="J76" s="4">
        <f>CHOOSE( CONTROL!$C$32, 4.3267, 4.3264) * CHOOSE(CONTROL!$C$15, $D$11, 100%, $F$11)</f>
        <v>4.3266999999999998</v>
      </c>
      <c r="K76" s="4"/>
      <c r="L76" s="9">
        <v>29.306000000000001</v>
      </c>
      <c r="M76" s="9">
        <v>12.063700000000001</v>
      </c>
      <c r="N76" s="9">
        <v>4.9444999999999997</v>
      </c>
      <c r="O76" s="9">
        <v>0.37409999999999999</v>
      </c>
      <c r="P76" s="9">
        <v>1.2927</v>
      </c>
      <c r="Q76" s="9">
        <v>24.901700000000002</v>
      </c>
      <c r="R76" s="9"/>
      <c r="S76" s="11"/>
    </row>
    <row r="77" spans="1:19" ht="15" customHeight="1">
      <c r="A77" s="13">
        <v>43466</v>
      </c>
      <c r="B77" s="8">
        <f>CHOOSE( CONTROL!$C$32, 4.7877, 4.7874) * CHOOSE(CONTROL!$C$15, $D$11, 100%, $F$11)</f>
        <v>4.7877000000000001</v>
      </c>
      <c r="C77" s="8">
        <f>CHOOSE( CONTROL!$C$32, 4.7928, 4.7925) * CHOOSE(CONTROL!$C$15, $D$11, 100%, $F$11)</f>
        <v>4.7927999999999997</v>
      </c>
      <c r="D77" s="8">
        <f>CHOOSE( CONTROL!$C$32, 4.7904, 4.7901) * CHOOSE( CONTROL!$C$15, $D$11, 100%, $F$11)</f>
        <v>4.7904</v>
      </c>
      <c r="E77" s="12">
        <f>CHOOSE( CONTROL!$C$32, 4.7907, 4.7904) * CHOOSE( CONTROL!$C$15, $D$11, 100%, $F$11)</f>
        <v>4.7907000000000002</v>
      </c>
      <c r="F77" s="4">
        <f>CHOOSE( CONTROL!$C$32, 5.453, 5.4527) * CHOOSE(CONTROL!$C$15, $D$11, 100%, $F$11)</f>
        <v>5.4530000000000003</v>
      </c>
      <c r="G77" s="8">
        <f>CHOOSE( CONTROL!$C$32, 4.7465, 4.7462) * CHOOSE( CONTROL!$C$15, $D$11, 100%, $F$11)</f>
        <v>4.7465000000000002</v>
      </c>
      <c r="H77" s="4">
        <f>CHOOSE( CONTROL!$C$32, 5.6358, 5.6355) * CHOOSE(CONTROL!$C$15, $D$11, 100%, $F$11)</f>
        <v>5.6357999999999997</v>
      </c>
      <c r="I77" s="8">
        <f>CHOOSE( CONTROL!$C$32, 4.7536, 4.7534) * CHOOSE(CONTROL!$C$15, $D$11, 100%, $F$11)</f>
        <v>4.7535999999999996</v>
      </c>
      <c r="J77" s="4">
        <f>CHOOSE( CONTROL!$C$32, 4.6377, 4.6374) * CHOOSE(CONTROL!$C$15, $D$11, 100%, $F$11)</f>
        <v>4.6376999999999997</v>
      </c>
      <c r="K77" s="4"/>
      <c r="L77" s="9">
        <v>29.306000000000001</v>
      </c>
      <c r="M77" s="9">
        <v>12.063700000000001</v>
      </c>
      <c r="N77" s="9">
        <v>4.9444999999999997</v>
      </c>
      <c r="O77" s="9">
        <v>0.37409999999999999</v>
      </c>
      <c r="P77" s="9">
        <v>1.2927</v>
      </c>
      <c r="Q77" s="9">
        <v>24.651199999999999</v>
      </c>
      <c r="R77" s="9"/>
      <c r="S77" s="11"/>
    </row>
    <row r="78" spans="1:19" ht="15" customHeight="1">
      <c r="A78" s="13">
        <v>43497</v>
      </c>
      <c r="B78" s="8">
        <f>CHOOSE( CONTROL!$C$32, 4.4788, 4.4785) * CHOOSE(CONTROL!$C$15, $D$11, 100%, $F$11)</f>
        <v>4.4787999999999997</v>
      </c>
      <c r="C78" s="8">
        <f>CHOOSE( CONTROL!$C$32, 4.4839, 4.4836) * CHOOSE(CONTROL!$C$15, $D$11, 100%, $F$11)</f>
        <v>4.4839000000000002</v>
      </c>
      <c r="D78" s="8">
        <f>CHOOSE( CONTROL!$C$32, 4.4638, 4.4636) * CHOOSE( CONTROL!$C$15, $D$11, 100%, $F$11)</f>
        <v>4.4638</v>
      </c>
      <c r="E78" s="12">
        <f>CHOOSE( CONTROL!$C$32, 4.4706, 4.4704) * CHOOSE( CONTROL!$C$15, $D$11, 100%, $F$11)</f>
        <v>4.4706000000000001</v>
      </c>
      <c r="F78" s="4">
        <f>CHOOSE( CONTROL!$C$32, 5.1441, 5.1438) * CHOOSE(CONTROL!$C$15, $D$11, 100%, $F$11)</f>
        <v>5.1440999999999999</v>
      </c>
      <c r="G78" s="8">
        <f>CHOOSE( CONTROL!$C$32, 4.43, 4.4297) * CHOOSE( CONTROL!$C$15, $D$11, 100%, $F$11)</f>
        <v>4.43</v>
      </c>
      <c r="H78" s="4">
        <f>CHOOSE( CONTROL!$C$32, 5.3305, 5.3302) * CHOOSE(CONTROL!$C$15, $D$11, 100%, $F$11)</f>
        <v>5.3304999999999998</v>
      </c>
      <c r="I78" s="8">
        <f>CHOOSE( CONTROL!$C$32, 4.4541, 4.4538) * CHOOSE(CONTROL!$C$15, $D$11, 100%, $F$11)</f>
        <v>4.4541000000000004</v>
      </c>
      <c r="J78" s="4">
        <f>CHOOSE( CONTROL!$C$32, 4.3379, 4.3376) * CHOOSE(CONTROL!$C$15, $D$11, 100%, $F$11)</f>
        <v>4.3379000000000003</v>
      </c>
      <c r="K78" s="4"/>
      <c r="L78" s="9">
        <v>26.469899999999999</v>
      </c>
      <c r="M78" s="9">
        <v>10.8962</v>
      </c>
      <c r="N78" s="9">
        <v>4.4660000000000002</v>
      </c>
      <c r="O78" s="9">
        <v>0.33789999999999998</v>
      </c>
      <c r="P78" s="9">
        <v>1.1676</v>
      </c>
      <c r="Q78" s="9">
        <v>22.265599999999999</v>
      </c>
      <c r="R78" s="9"/>
      <c r="S78" s="11"/>
    </row>
    <row r="79" spans="1:19" ht="15" customHeight="1">
      <c r="A79" s="13">
        <v>43525</v>
      </c>
      <c r="B79" s="8">
        <f>CHOOSE( CONTROL!$C$32, 4.3836, 4.3834) * CHOOSE(CONTROL!$C$15, $D$11, 100%, $F$11)</f>
        <v>4.3836000000000004</v>
      </c>
      <c r="C79" s="8">
        <f>CHOOSE( CONTROL!$C$32, 4.3887, 4.3884) * CHOOSE(CONTROL!$C$15, $D$11, 100%, $F$11)</f>
        <v>4.3887</v>
      </c>
      <c r="D79" s="8">
        <f>CHOOSE( CONTROL!$C$32, 4.3587, 4.3585) * CHOOSE( CONTROL!$C$15, $D$11, 100%, $F$11)</f>
        <v>4.3586999999999998</v>
      </c>
      <c r="E79" s="12">
        <f>CHOOSE( CONTROL!$C$32, 4.3691, 4.3689) * CHOOSE( CONTROL!$C$15, $D$11, 100%, $F$11)</f>
        <v>4.3691000000000004</v>
      </c>
      <c r="F79" s="4">
        <f>CHOOSE( CONTROL!$C$32, 5.0489, 5.0486) * CHOOSE(CONTROL!$C$15, $D$11, 100%, $F$11)</f>
        <v>5.0488999999999997</v>
      </c>
      <c r="G79" s="8">
        <f>CHOOSE( CONTROL!$C$32, 4.3228, 4.3225) * CHOOSE( CONTROL!$C$15, $D$11, 100%, $F$11)</f>
        <v>4.3228</v>
      </c>
      <c r="H79" s="4">
        <f>CHOOSE( CONTROL!$C$32, 5.2364, 5.2362) * CHOOSE(CONTROL!$C$15, $D$11, 100%, $F$11)</f>
        <v>5.2363999999999997</v>
      </c>
      <c r="I79" s="8">
        <f>CHOOSE( CONTROL!$C$32, 4.3265, 4.3262) * CHOOSE(CONTROL!$C$15, $D$11, 100%, $F$11)</f>
        <v>4.3265000000000002</v>
      </c>
      <c r="J79" s="4">
        <f>CHOOSE( CONTROL!$C$32, 4.2456, 4.2453) * CHOOSE(CONTROL!$C$15, $D$11, 100%, $F$11)</f>
        <v>4.2455999999999996</v>
      </c>
      <c r="K79" s="4"/>
      <c r="L79" s="9">
        <v>29.306000000000001</v>
      </c>
      <c r="M79" s="9">
        <v>12.063700000000001</v>
      </c>
      <c r="N79" s="9">
        <v>4.9444999999999997</v>
      </c>
      <c r="O79" s="9">
        <v>0.37409999999999999</v>
      </c>
      <c r="P79" s="9">
        <v>1.2927</v>
      </c>
      <c r="Q79" s="9">
        <v>24.651199999999999</v>
      </c>
      <c r="R79" s="9"/>
      <c r="S79" s="11"/>
    </row>
    <row r="80" spans="1:19" ht="15" customHeight="1">
      <c r="A80" s="13">
        <v>43556</v>
      </c>
      <c r="B80" s="8">
        <f>CHOOSE( CONTROL!$C$32, 4.4509, 4.4506) * CHOOSE(CONTROL!$C$15, $D$11, 100%, $F$11)</f>
        <v>4.4508999999999999</v>
      </c>
      <c r="C80" s="8">
        <f>CHOOSE( CONTROL!$C$32, 4.4554, 4.4551) * CHOOSE(CONTROL!$C$15, $D$11, 100%, $F$11)</f>
        <v>4.4554</v>
      </c>
      <c r="D80" s="8">
        <f>CHOOSE( CONTROL!$C$32, 4.4549, 4.4546) * CHOOSE( CONTROL!$C$15, $D$11, 100%, $F$11)</f>
        <v>4.4549000000000003</v>
      </c>
      <c r="E80" s="12">
        <f>CHOOSE( CONTROL!$C$32, 4.4546, 4.4543) * CHOOSE( CONTROL!$C$15, $D$11, 100%, $F$11)</f>
        <v>4.4546000000000001</v>
      </c>
      <c r="F80" s="4">
        <f>CHOOSE( CONTROL!$C$32, 5.1592, 5.1589) * CHOOSE(CONTROL!$C$15, $D$11, 100%, $F$11)</f>
        <v>5.1592000000000002</v>
      </c>
      <c r="G80" s="8">
        <f>CHOOSE( CONTROL!$C$32, 4.4055, 4.4052) * CHOOSE( CONTROL!$C$15, $D$11, 100%, $F$11)</f>
        <v>4.4055</v>
      </c>
      <c r="H80" s="4">
        <f>CHOOSE( CONTROL!$C$32, 5.3454, 5.3452) * CHOOSE(CONTROL!$C$15, $D$11, 100%, $F$11)</f>
        <v>5.3453999999999997</v>
      </c>
      <c r="I80" s="8">
        <f>CHOOSE( CONTROL!$C$32, 4.3916, 4.3913) * CHOOSE(CONTROL!$C$15, $D$11, 100%, $F$11)</f>
        <v>4.3916000000000004</v>
      </c>
      <c r="J80" s="4">
        <f>CHOOSE( CONTROL!$C$32, 4.3101, 4.3098) * CHOOSE(CONTROL!$C$15, $D$11, 100%, $F$11)</f>
        <v>4.3101000000000003</v>
      </c>
      <c r="K80" s="4"/>
      <c r="L80" s="9">
        <v>30.092199999999998</v>
      </c>
      <c r="M80" s="9">
        <v>11.6745</v>
      </c>
      <c r="N80" s="9">
        <v>4.7850000000000001</v>
      </c>
      <c r="O80" s="9">
        <v>0.36199999999999999</v>
      </c>
      <c r="P80" s="9">
        <v>1.2509999999999999</v>
      </c>
      <c r="Q80" s="9">
        <v>23.856000000000002</v>
      </c>
      <c r="R80" s="9"/>
      <c r="S80" s="11"/>
    </row>
    <row r="81" spans="1:19" ht="15" customHeight="1">
      <c r="A81" s="13">
        <v>43586</v>
      </c>
      <c r="B81" s="8">
        <f>CHOOSE( CONTROL!$C$32, 4.5708, 4.5703) * CHOOSE(CONTROL!$C$15, $D$11, 100%, $F$11)</f>
        <v>4.5708000000000002</v>
      </c>
      <c r="C81" s="8">
        <f>CHOOSE( CONTROL!$C$32, 4.5787, 4.5783) * CHOOSE(CONTROL!$C$15, $D$11, 100%, $F$11)</f>
        <v>4.5787000000000004</v>
      </c>
      <c r="D81" s="8">
        <f>CHOOSE( CONTROL!$C$32, 4.573, 4.5726) * CHOOSE( CONTROL!$C$15, $D$11, 100%, $F$11)</f>
        <v>4.5730000000000004</v>
      </c>
      <c r="E81" s="12">
        <f>CHOOSE( CONTROL!$C$32, 4.5739, 4.5734) * CHOOSE( CONTROL!$C$15, $D$11, 100%, $F$11)</f>
        <v>4.5739000000000001</v>
      </c>
      <c r="F81" s="4">
        <f>CHOOSE( CONTROL!$C$32, 5.2777, 5.2773) * CHOOSE(CONTROL!$C$15, $D$11, 100%, $F$11)</f>
        <v>5.2777000000000003</v>
      </c>
      <c r="G81" s="8">
        <f>CHOOSE( CONTROL!$C$32, 4.5229, 4.5225) * CHOOSE( CONTROL!$C$15, $D$11, 100%, $F$11)</f>
        <v>4.5228999999999999</v>
      </c>
      <c r="H81" s="4">
        <f>CHOOSE( CONTROL!$C$32, 5.4625, 5.4621) * CHOOSE(CONTROL!$C$15, $D$11, 100%, $F$11)</f>
        <v>5.4625000000000004</v>
      </c>
      <c r="I81" s="8">
        <f>CHOOSE( CONTROL!$C$32, 4.5073, 4.5068) * CHOOSE(CONTROL!$C$15, $D$11, 100%, $F$11)</f>
        <v>4.5072999999999999</v>
      </c>
      <c r="J81" s="4">
        <f>CHOOSE( CONTROL!$C$32, 4.4251, 4.4247) * CHOOSE(CONTROL!$C$15, $D$11, 100%, $F$11)</f>
        <v>4.4250999999999996</v>
      </c>
      <c r="K81" s="4"/>
      <c r="L81" s="9">
        <v>30.7165</v>
      </c>
      <c r="M81" s="9">
        <v>12.063700000000001</v>
      </c>
      <c r="N81" s="9">
        <v>4.9444999999999997</v>
      </c>
      <c r="O81" s="9">
        <v>0.37409999999999999</v>
      </c>
      <c r="P81" s="9">
        <v>1.2927</v>
      </c>
      <c r="Q81" s="9">
        <v>24.651199999999999</v>
      </c>
      <c r="R81" s="9"/>
      <c r="S81" s="11"/>
    </row>
    <row r="82" spans="1:19" ht="15" customHeight="1">
      <c r="A82" s="13">
        <v>43617</v>
      </c>
      <c r="B82" s="8">
        <f>CHOOSE( CONTROL!$C$32, 4.4975, 4.497) * CHOOSE(CONTROL!$C$15, $D$11, 100%, $F$11)</f>
        <v>4.4974999999999996</v>
      </c>
      <c r="C82" s="8">
        <f>CHOOSE( CONTROL!$C$32, 4.5054, 4.505) * CHOOSE(CONTROL!$C$15, $D$11, 100%, $F$11)</f>
        <v>4.5053999999999998</v>
      </c>
      <c r="D82" s="8">
        <f>CHOOSE( CONTROL!$C$32, 4.5001, 4.4997) * CHOOSE( CONTROL!$C$15, $D$11, 100%, $F$11)</f>
        <v>4.5000999999999998</v>
      </c>
      <c r="E82" s="12">
        <f>CHOOSE( CONTROL!$C$32, 4.5008, 4.5004) * CHOOSE( CONTROL!$C$15, $D$11, 100%, $F$11)</f>
        <v>4.5007999999999999</v>
      </c>
      <c r="F82" s="4">
        <f>CHOOSE( CONTROL!$C$32, 5.2044, 5.204) * CHOOSE(CONTROL!$C$15, $D$11, 100%, $F$11)</f>
        <v>5.2043999999999997</v>
      </c>
      <c r="G82" s="8">
        <f>CHOOSE( CONTROL!$C$32, 4.4508, 4.4504) * CHOOSE( CONTROL!$C$15, $D$11, 100%, $F$11)</f>
        <v>4.4508000000000001</v>
      </c>
      <c r="H82" s="4">
        <f>CHOOSE( CONTROL!$C$32, 5.3901, 5.3897) * CHOOSE(CONTROL!$C$15, $D$11, 100%, $F$11)</f>
        <v>5.3901000000000003</v>
      </c>
      <c r="I82" s="8">
        <f>CHOOSE( CONTROL!$C$32, 4.4375, 4.437) * CHOOSE(CONTROL!$C$15, $D$11, 100%, $F$11)</f>
        <v>4.4375</v>
      </c>
      <c r="J82" s="4">
        <f>CHOOSE( CONTROL!$C$32, 4.354, 4.3535) * CHOOSE(CONTROL!$C$15, $D$11, 100%, $F$11)</f>
        <v>4.3540000000000001</v>
      </c>
      <c r="K82" s="4"/>
      <c r="L82" s="9">
        <v>29.7257</v>
      </c>
      <c r="M82" s="9">
        <v>11.6745</v>
      </c>
      <c r="N82" s="9">
        <v>4.7850000000000001</v>
      </c>
      <c r="O82" s="9">
        <v>0.36199999999999999</v>
      </c>
      <c r="P82" s="9">
        <v>1.2509999999999999</v>
      </c>
      <c r="Q82" s="9">
        <v>23.856000000000002</v>
      </c>
      <c r="R82" s="9"/>
      <c r="S82" s="11"/>
    </row>
    <row r="83" spans="1:19" ht="15" customHeight="1">
      <c r="A83" s="13">
        <v>43647</v>
      </c>
      <c r="B83" s="8">
        <f>CHOOSE( CONTROL!$C$32, 4.6905, 4.69) * CHOOSE(CONTROL!$C$15, $D$11, 100%, $F$11)</f>
        <v>4.6905000000000001</v>
      </c>
      <c r="C83" s="8">
        <f>CHOOSE( CONTROL!$C$32, 4.6985, 4.698) * CHOOSE(CONTROL!$C$15, $D$11, 100%, $F$11)</f>
        <v>4.6985000000000001</v>
      </c>
      <c r="D83" s="8">
        <f>CHOOSE( CONTROL!$C$32, 4.6936, 4.6932) * CHOOSE( CONTROL!$C$15, $D$11, 100%, $F$11)</f>
        <v>4.6936</v>
      </c>
      <c r="E83" s="12">
        <f>CHOOSE( CONTROL!$C$32, 4.6942, 4.6937) * CHOOSE( CONTROL!$C$15, $D$11, 100%, $F$11)</f>
        <v>4.6942000000000004</v>
      </c>
      <c r="F83" s="4">
        <f>CHOOSE( CONTROL!$C$32, 5.3974, 5.397) * CHOOSE(CONTROL!$C$15, $D$11, 100%, $F$11)</f>
        <v>5.3974000000000002</v>
      </c>
      <c r="G83" s="8">
        <f>CHOOSE( CONTROL!$C$32, 4.6419, 4.6415) * CHOOSE( CONTROL!$C$15, $D$11, 100%, $F$11)</f>
        <v>4.6418999999999997</v>
      </c>
      <c r="H83" s="4">
        <f>CHOOSE( CONTROL!$C$32, 5.5809, 5.5804) * CHOOSE(CONTROL!$C$15, $D$11, 100%, $F$11)</f>
        <v>5.5808999999999997</v>
      </c>
      <c r="I83" s="8">
        <f>CHOOSE( CONTROL!$C$32, 4.6265, 4.626) * CHOOSE(CONTROL!$C$15, $D$11, 100%, $F$11)</f>
        <v>4.6265000000000001</v>
      </c>
      <c r="J83" s="4">
        <f>CHOOSE( CONTROL!$C$32, 4.5413, 4.5409) * CHOOSE(CONTROL!$C$15, $D$11, 100%, $F$11)</f>
        <v>4.5412999999999997</v>
      </c>
      <c r="K83" s="4"/>
      <c r="L83" s="9">
        <v>30.7165</v>
      </c>
      <c r="M83" s="9">
        <v>12.063700000000001</v>
      </c>
      <c r="N83" s="9">
        <v>4.9444999999999997</v>
      </c>
      <c r="O83" s="9">
        <v>0.37409999999999999</v>
      </c>
      <c r="P83" s="9">
        <v>1.2927</v>
      </c>
      <c r="Q83" s="9">
        <v>24.651199999999999</v>
      </c>
      <c r="R83" s="9"/>
      <c r="S83" s="11"/>
    </row>
    <row r="84" spans="1:19" ht="15" customHeight="1">
      <c r="A84" s="13">
        <v>43678</v>
      </c>
      <c r="B84" s="8">
        <f>CHOOSE( CONTROL!$C$32, 4.3293, 4.3289) * CHOOSE(CONTROL!$C$15, $D$11, 100%, $F$11)</f>
        <v>4.3292999999999999</v>
      </c>
      <c r="C84" s="8">
        <f>CHOOSE( CONTROL!$C$32, 4.3373, 4.3368) * CHOOSE(CONTROL!$C$15, $D$11, 100%, $F$11)</f>
        <v>4.3372999999999999</v>
      </c>
      <c r="D84" s="8">
        <f>CHOOSE( CONTROL!$C$32, 4.3326, 4.3321) * CHOOSE( CONTROL!$C$15, $D$11, 100%, $F$11)</f>
        <v>4.3326000000000002</v>
      </c>
      <c r="E84" s="12">
        <f>CHOOSE( CONTROL!$C$32, 4.3331, 4.3326) * CHOOSE( CONTROL!$C$15, $D$11, 100%, $F$11)</f>
        <v>4.3331</v>
      </c>
      <c r="F84" s="4">
        <f>CHOOSE( CONTROL!$C$32, 5.0363, 5.0358) * CHOOSE(CONTROL!$C$15, $D$11, 100%, $F$11)</f>
        <v>5.0362999999999998</v>
      </c>
      <c r="G84" s="8">
        <f>CHOOSE( CONTROL!$C$32, 4.2851, 4.2847) * CHOOSE( CONTROL!$C$15, $D$11, 100%, $F$11)</f>
        <v>4.2850999999999999</v>
      </c>
      <c r="H84" s="4">
        <f>CHOOSE( CONTROL!$C$32, 5.2239, 5.2235) * CHOOSE(CONTROL!$C$15, $D$11, 100%, $F$11)</f>
        <v>5.2239000000000004</v>
      </c>
      <c r="I84" s="8">
        <f>CHOOSE( CONTROL!$C$32, 4.2762, 4.2758) * CHOOSE(CONTROL!$C$15, $D$11, 100%, $F$11)</f>
        <v>4.2762000000000002</v>
      </c>
      <c r="J84" s="4">
        <f>CHOOSE( CONTROL!$C$32, 4.1908, 4.1903) * CHOOSE(CONTROL!$C$15, $D$11, 100%, $F$11)</f>
        <v>4.1908000000000003</v>
      </c>
      <c r="K84" s="4"/>
      <c r="L84" s="9">
        <v>30.7165</v>
      </c>
      <c r="M84" s="9">
        <v>12.063700000000001</v>
      </c>
      <c r="N84" s="9">
        <v>4.9444999999999997</v>
      </c>
      <c r="O84" s="9">
        <v>0.37409999999999999</v>
      </c>
      <c r="P84" s="9">
        <v>1.2927</v>
      </c>
      <c r="Q84" s="9">
        <v>24.651199999999999</v>
      </c>
      <c r="R84" s="9"/>
      <c r="S84" s="11"/>
    </row>
    <row r="85" spans="1:19" ht="15" customHeight="1">
      <c r="A85" s="13">
        <v>43709</v>
      </c>
      <c r="B85" s="8">
        <f>CHOOSE( CONTROL!$C$32, 4.2389, 4.2384) * CHOOSE(CONTROL!$C$15, $D$11, 100%, $F$11)</f>
        <v>4.2389000000000001</v>
      </c>
      <c r="C85" s="8">
        <f>CHOOSE( CONTROL!$C$32, 4.2468, 4.2464) * CHOOSE(CONTROL!$C$15, $D$11, 100%, $F$11)</f>
        <v>4.2468000000000004</v>
      </c>
      <c r="D85" s="8">
        <f>CHOOSE( CONTROL!$C$32, 4.242, 4.2415) * CHOOSE( CONTROL!$C$15, $D$11, 100%, $F$11)</f>
        <v>4.242</v>
      </c>
      <c r="E85" s="12">
        <f>CHOOSE( CONTROL!$C$32, 4.2425, 4.2421) * CHOOSE( CONTROL!$C$15, $D$11, 100%, $F$11)</f>
        <v>4.2424999999999997</v>
      </c>
      <c r="F85" s="4">
        <f>CHOOSE( CONTROL!$C$32, 4.9458, 4.9454) * CHOOSE(CONTROL!$C$15, $D$11, 100%, $F$11)</f>
        <v>4.9458000000000002</v>
      </c>
      <c r="G85" s="8">
        <f>CHOOSE( CONTROL!$C$32, 4.1956, 4.1951) * CHOOSE( CONTROL!$C$15, $D$11, 100%, $F$11)</f>
        <v>4.1955999999999998</v>
      </c>
      <c r="H85" s="4">
        <f>CHOOSE( CONTROL!$C$32, 5.1345, 5.1341) * CHOOSE(CONTROL!$C$15, $D$11, 100%, $F$11)</f>
        <v>5.1345000000000001</v>
      </c>
      <c r="I85" s="8">
        <f>CHOOSE( CONTROL!$C$32, 4.1879, 4.1875) * CHOOSE(CONTROL!$C$15, $D$11, 100%, $F$11)</f>
        <v>4.1879</v>
      </c>
      <c r="J85" s="4">
        <f>CHOOSE( CONTROL!$C$32, 4.103, 4.1026) * CHOOSE(CONTROL!$C$15, $D$11, 100%, $F$11)</f>
        <v>4.1029999999999998</v>
      </c>
      <c r="K85" s="4"/>
      <c r="L85" s="9">
        <v>29.7257</v>
      </c>
      <c r="M85" s="9">
        <v>11.6745</v>
      </c>
      <c r="N85" s="9">
        <v>4.7850000000000001</v>
      </c>
      <c r="O85" s="9">
        <v>0.36199999999999999</v>
      </c>
      <c r="P85" s="9">
        <v>1.2509999999999999</v>
      </c>
      <c r="Q85" s="9">
        <v>23.856000000000002</v>
      </c>
      <c r="R85" s="9"/>
      <c r="S85" s="11"/>
    </row>
    <row r="86" spans="1:19" ht="15" customHeight="1">
      <c r="A86" s="13">
        <v>43739</v>
      </c>
      <c r="B86" s="8">
        <f>CHOOSE( CONTROL!$C$32, 4.4248, 4.4245) * CHOOSE(CONTROL!$C$15, $D$11, 100%, $F$11)</f>
        <v>4.4248000000000003</v>
      </c>
      <c r="C86" s="8">
        <f>CHOOSE( CONTROL!$C$32, 4.4301, 4.4298) * CHOOSE(CONTROL!$C$15, $D$11, 100%, $F$11)</f>
        <v>4.4301000000000004</v>
      </c>
      <c r="D86" s="8">
        <f>CHOOSE( CONTROL!$C$32, 4.4303, 4.43) * CHOOSE( CONTROL!$C$15, $D$11, 100%, $F$11)</f>
        <v>4.4302999999999999</v>
      </c>
      <c r="E86" s="12">
        <f>CHOOSE( CONTROL!$C$32, 4.4297, 4.4294) * CHOOSE( CONTROL!$C$15, $D$11, 100%, $F$11)</f>
        <v>4.4297000000000004</v>
      </c>
      <c r="F86" s="4">
        <f>CHOOSE( CONTROL!$C$32, 5.1334, 5.1332) * CHOOSE(CONTROL!$C$15, $D$11, 100%, $F$11)</f>
        <v>5.1334</v>
      </c>
      <c r="G86" s="8">
        <f>CHOOSE( CONTROL!$C$32, 4.381, 4.3807) * CHOOSE( CONTROL!$C$15, $D$11, 100%, $F$11)</f>
        <v>4.3810000000000002</v>
      </c>
      <c r="H86" s="4">
        <f>CHOOSE( CONTROL!$C$32, 5.3199, 5.3197) * CHOOSE(CONTROL!$C$15, $D$11, 100%, $F$11)</f>
        <v>5.3198999999999996</v>
      </c>
      <c r="I86" s="8">
        <f>CHOOSE( CONTROL!$C$32, 4.3708, 4.3705) * CHOOSE(CONTROL!$C$15, $D$11, 100%, $F$11)</f>
        <v>4.3708</v>
      </c>
      <c r="J86" s="4">
        <f>CHOOSE( CONTROL!$C$32, 4.2851, 4.2848) * CHOOSE(CONTROL!$C$15, $D$11, 100%, $F$11)</f>
        <v>4.2850999999999999</v>
      </c>
      <c r="K86" s="4"/>
      <c r="L86" s="9">
        <v>31.095300000000002</v>
      </c>
      <c r="M86" s="9">
        <v>12.063700000000001</v>
      </c>
      <c r="N86" s="9">
        <v>4.9444999999999997</v>
      </c>
      <c r="O86" s="9">
        <v>0.37409999999999999</v>
      </c>
      <c r="P86" s="9">
        <v>1.2927</v>
      </c>
      <c r="Q86" s="9">
        <v>24.651199999999999</v>
      </c>
      <c r="R86" s="9"/>
      <c r="S86" s="11"/>
    </row>
    <row r="87" spans="1:19" ht="15" customHeight="1">
      <c r="A87" s="13">
        <v>43770</v>
      </c>
      <c r="B87" s="8">
        <f>CHOOSE( CONTROL!$C$32, 4.771, 4.7707) * CHOOSE(CONTROL!$C$15, $D$11, 100%, $F$11)</f>
        <v>4.7709999999999999</v>
      </c>
      <c r="C87" s="8">
        <f>CHOOSE( CONTROL!$C$32, 4.776, 4.7758) * CHOOSE(CONTROL!$C$15, $D$11, 100%, $F$11)</f>
        <v>4.7759999999999998</v>
      </c>
      <c r="D87" s="8">
        <f>CHOOSE( CONTROL!$C$32, 4.7439, 4.7436) * CHOOSE( CONTROL!$C$15, $D$11, 100%, $F$11)</f>
        <v>4.7439</v>
      </c>
      <c r="E87" s="12">
        <f>CHOOSE( CONTROL!$C$32, 4.7551, 4.7548) * CHOOSE( CONTROL!$C$15, $D$11, 100%, $F$11)</f>
        <v>4.7550999999999997</v>
      </c>
      <c r="F87" s="4">
        <f>CHOOSE( CONTROL!$C$32, 5.4363, 5.436) * CHOOSE(CONTROL!$C$15, $D$11, 100%, $F$11)</f>
        <v>5.4363000000000001</v>
      </c>
      <c r="G87" s="8">
        <f>CHOOSE( CONTROL!$C$32, 4.7125, 4.7122) * CHOOSE( CONTROL!$C$15, $D$11, 100%, $F$11)</f>
        <v>4.7125000000000004</v>
      </c>
      <c r="H87" s="4">
        <f>CHOOSE( CONTROL!$C$32, 5.6192, 5.619) * CHOOSE(CONTROL!$C$15, $D$11, 100%, $F$11)</f>
        <v>5.6192000000000002</v>
      </c>
      <c r="I87" s="8">
        <f>CHOOSE( CONTROL!$C$32, 4.7582, 4.7579) * CHOOSE(CONTROL!$C$15, $D$11, 100%, $F$11)</f>
        <v>4.7582000000000004</v>
      </c>
      <c r="J87" s="4">
        <f>CHOOSE( CONTROL!$C$32, 4.6215, 4.6212) * CHOOSE(CONTROL!$C$15, $D$11, 100%, $F$11)</f>
        <v>4.6215000000000002</v>
      </c>
      <c r="K87" s="4"/>
      <c r="L87" s="9">
        <v>28.360600000000002</v>
      </c>
      <c r="M87" s="9">
        <v>11.6745</v>
      </c>
      <c r="N87" s="9">
        <v>4.7850000000000001</v>
      </c>
      <c r="O87" s="9">
        <v>0.36199999999999999</v>
      </c>
      <c r="P87" s="9">
        <v>1.2509999999999999</v>
      </c>
      <c r="Q87" s="9">
        <v>23.856000000000002</v>
      </c>
      <c r="R87" s="9"/>
      <c r="S87" s="11"/>
    </row>
    <row r="88" spans="1:19" ht="15.75">
      <c r="A88" s="13">
        <v>43800</v>
      </c>
      <c r="B88" s="8">
        <f>CHOOSE( CONTROL!$C$32, 4.7623, 4.762) * CHOOSE(CONTROL!$C$15, $D$11, 100%, $F$11)</f>
        <v>4.7622999999999998</v>
      </c>
      <c r="C88" s="8">
        <f>CHOOSE( CONTROL!$C$32, 4.7674, 4.7671) * CHOOSE(CONTROL!$C$15, $D$11, 100%, $F$11)</f>
        <v>4.7674000000000003</v>
      </c>
      <c r="D88" s="8">
        <f>CHOOSE( CONTROL!$C$32, 4.7371, 4.7368) * CHOOSE( CONTROL!$C$15, $D$11, 100%, $F$11)</f>
        <v>4.7370999999999999</v>
      </c>
      <c r="E88" s="12">
        <f>CHOOSE( CONTROL!$C$32, 4.7476, 4.7473) * CHOOSE( CONTROL!$C$15, $D$11, 100%, $F$11)</f>
        <v>4.7476000000000003</v>
      </c>
      <c r="F88" s="4">
        <f>CHOOSE( CONTROL!$C$32, 5.4276, 5.4273) * CHOOSE(CONTROL!$C$15, $D$11, 100%, $F$11)</f>
        <v>5.4276</v>
      </c>
      <c r="G88" s="8">
        <f>CHOOSE( CONTROL!$C$32, 4.7052, 4.705) * CHOOSE( CONTROL!$C$15, $D$11, 100%, $F$11)</f>
        <v>4.7051999999999996</v>
      </c>
      <c r="H88" s="4">
        <f>CHOOSE( CONTROL!$C$32, 5.6107, 5.6104) * CHOOSE(CONTROL!$C$15, $D$11, 100%, $F$11)</f>
        <v>5.6106999999999996</v>
      </c>
      <c r="I88" s="8">
        <f>CHOOSE( CONTROL!$C$32, 4.7555, 4.7552) * CHOOSE(CONTROL!$C$15, $D$11, 100%, $F$11)</f>
        <v>4.7554999999999996</v>
      </c>
      <c r="J88" s="4">
        <f>CHOOSE( CONTROL!$C$32, 4.6131, 4.6128) * CHOOSE(CONTROL!$C$15, $D$11, 100%, $F$11)</f>
        <v>4.6131000000000002</v>
      </c>
      <c r="K88" s="4"/>
      <c r="L88" s="9">
        <v>29.306000000000001</v>
      </c>
      <c r="M88" s="9">
        <v>12.063700000000001</v>
      </c>
      <c r="N88" s="9">
        <v>4.9444999999999997</v>
      </c>
      <c r="O88" s="9">
        <v>0.37409999999999999</v>
      </c>
      <c r="P88" s="9">
        <v>1.2927</v>
      </c>
      <c r="Q88" s="9">
        <v>24.651199999999999</v>
      </c>
      <c r="R88" s="9"/>
      <c r="S88" s="11"/>
    </row>
    <row r="89" spans="1:19" ht="15.75">
      <c r="A89" s="13">
        <v>43831</v>
      </c>
      <c r="B89" s="8">
        <f>CHOOSE( CONTROL!$C$32, 5.6952, 5.695) * CHOOSE(CONTROL!$C$15, $D$11, 100%, $F$11)</f>
        <v>5.6951999999999998</v>
      </c>
      <c r="C89" s="8">
        <f>CHOOSE( CONTROL!$C$32, 5.7003, 5.7) * CHOOSE(CONTROL!$C$15, $D$11, 100%, $F$11)</f>
        <v>5.7003000000000004</v>
      </c>
      <c r="D89" s="8">
        <f>CHOOSE( CONTROL!$C$32, 5.6979, 5.6977) * CHOOSE( CONTROL!$C$15, $D$11, 100%, $F$11)</f>
        <v>5.6978999999999997</v>
      </c>
      <c r="E89" s="12">
        <f>CHOOSE( CONTROL!$C$32, 5.6982, 5.698) * CHOOSE( CONTROL!$C$15, $D$11, 100%, $F$11)</f>
        <v>5.6981999999999999</v>
      </c>
      <c r="F89" s="4">
        <f>CHOOSE( CONTROL!$C$32, 6.3605, 6.3602) * CHOOSE(CONTROL!$C$15, $D$11, 100%, $F$11)</f>
        <v>6.3605</v>
      </c>
      <c r="G89" s="8">
        <f>CHOOSE( CONTROL!$C$32, 5.6434, 5.6431) * CHOOSE( CONTROL!$C$15, $D$11, 100%, $F$11)</f>
        <v>5.6433999999999997</v>
      </c>
      <c r="H89" s="4">
        <f>CHOOSE( CONTROL!$C$32, 6.5327, 6.5324) * CHOOSE(CONTROL!$C$15, $D$11, 100%, $F$11)</f>
        <v>6.5327000000000002</v>
      </c>
      <c r="I89" s="8">
        <f>CHOOSE( CONTROL!$C$32, 5.6348, 5.6346) * CHOOSE(CONTROL!$C$15, $D$11, 100%, $F$11)</f>
        <v>5.6348000000000003</v>
      </c>
      <c r="J89" s="4">
        <f>CHOOSE( CONTROL!$C$32, 5.5185, 5.5182) * CHOOSE(CONTROL!$C$15, $D$11, 100%, $F$11)</f>
        <v>5.5185000000000004</v>
      </c>
      <c r="K89" s="4"/>
      <c r="L89" s="9">
        <v>29.306000000000001</v>
      </c>
      <c r="M89" s="9">
        <v>12.063700000000001</v>
      </c>
      <c r="N89" s="9">
        <v>4.9444999999999997</v>
      </c>
      <c r="O89" s="9">
        <v>0.37409999999999999</v>
      </c>
      <c r="P89" s="9">
        <v>1.2927</v>
      </c>
      <c r="Q89" s="9">
        <v>22.150099999999998</v>
      </c>
      <c r="R89" s="9"/>
      <c r="S89" s="11"/>
    </row>
    <row r="90" spans="1:19" ht="15.75">
      <c r="A90" s="13">
        <v>43862</v>
      </c>
      <c r="B90" s="8">
        <f>CHOOSE( CONTROL!$C$32, 5.3276, 5.3274) * CHOOSE(CONTROL!$C$15, $D$11, 100%, $F$11)</f>
        <v>5.3276000000000003</v>
      </c>
      <c r="C90" s="8">
        <f>CHOOSE( CONTROL!$C$32, 5.3327, 5.3324) * CHOOSE(CONTROL!$C$15, $D$11, 100%, $F$11)</f>
        <v>5.3327</v>
      </c>
      <c r="D90" s="8">
        <f>CHOOSE( CONTROL!$C$32, 5.3127, 5.3124) * CHOOSE( CONTROL!$C$15, $D$11, 100%, $F$11)</f>
        <v>5.3127000000000004</v>
      </c>
      <c r="E90" s="12">
        <f>CHOOSE( CONTROL!$C$32, 5.3195, 5.3192) * CHOOSE( CONTROL!$C$15, $D$11, 100%, $F$11)</f>
        <v>5.3194999999999997</v>
      </c>
      <c r="F90" s="4">
        <f>CHOOSE( CONTROL!$C$32, 5.9929, 5.9926) * CHOOSE(CONTROL!$C$15, $D$11, 100%, $F$11)</f>
        <v>5.9928999999999997</v>
      </c>
      <c r="G90" s="8">
        <f>CHOOSE( CONTROL!$C$32, 5.2689, 5.2687) * CHOOSE( CONTROL!$C$15, $D$11, 100%, $F$11)</f>
        <v>5.2689000000000004</v>
      </c>
      <c r="H90" s="4">
        <f>CHOOSE( CONTROL!$C$32, 6.1694, 6.1691) * CHOOSE(CONTROL!$C$15, $D$11, 100%, $F$11)</f>
        <v>6.1694000000000004</v>
      </c>
      <c r="I90" s="8">
        <f>CHOOSE( CONTROL!$C$32, 5.2783, 5.2781) * CHOOSE(CONTROL!$C$15, $D$11, 100%, $F$11)</f>
        <v>5.2782999999999998</v>
      </c>
      <c r="J90" s="4">
        <f>CHOOSE( CONTROL!$C$32, 5.1617, 5.1615) * CHOOSE(CONTROL!$C$15, $D$11, 100%, $F$11)</f>
        <v>5.1616999999999997</v>
      </c>
      <c r="K90" s="4"/>
      <c r="L90" s="9">
        <v>27.415299999999998</v>
      </c>
      <c r="M90" s="9">
        <v>11.285299999999999</v>
      </c>
      <c r="N90" s="9">
        <v>4.6254999999999997</v>
      </c>
      <c r="O90" s="9">
        <v>0.34989999999999999</v>
      </c>
      <c r="P90" s="9">
        <v>1.2093</v>
      </c>
      <c r="Q90" s="9">
        <v>20.7211</v>
      </c>
      <c r="R90" s="9"/>
      <c r="S90" s="11"/>
    </row>
    <row r="91" spans="1:19" ht="15.75">
      <c r="A91" s="13">
        <v>43891</v>
      </c>
      <c r="B91" s="8">
        <f>CHOOSE( CONTROL!$C$32, 5.2144, 5.2142) * CHOOSE(CONTROL!$C$15, $D$11, 100%, $F$11)</f>
        <v>5.2144000000000004</v>
      </c>
      <c r="C91" s="8">
        <f>CHOOSE( CONTROL!$C$32, 5.2195, 5.2192) * CHOOSE(CONTROL!$C$15, $D$11, 100%, $F$11)</f>
        <v>5.2195</v>
      </c>
      <c r="D91" s="8">
        <f>CHOOSE( CONTROL!$C$32, 5.1895, 5.1892) * CHOOSE( CONTROL!$C$15, $D$11, 100%, $F$11)</f>
        <v>5.1894999999999998</v>
      </c>
      <c r="E91" s="12">
        <f>CHOOSE( CONTROL!$C$32, 5.1999, 5.1996) * CHOOSE( CONTROL!$C$15, $D$11, 100%, $F$11)</f>
        <v>5.1999000000000004</v>
      </c>
      <c r="F91" s="4">
        <f>CHOOSE( CONTROL!$C$32, 5.8797, 5.8794) * CHOOSE(CONTROL!$C$15, $D$11, 100%, $F$11)</f>
        <v>5.8796999999999997</v>
      </c>
      <c r="G91" s="8">
        <f>CHOOSE( CONTROL!$C$32, 5.1438, 5.1435) * CHOOSE( CONTROL!$C$15, $D$11, 100%, $F$11)</f>
        <v>5.1437999999999997</v>
      </c>
      <c r="H91" s="4">
        <f>CHOOSE( CONTROL!$C$32, 6.0575, 6.0572) * CHOOSE(CONTROL!$C$15, $D$11, 100%, $F$11)</f>
        <v>6.0575000000000001</v>
      </c>
      <c r="I91" s="8">
        <f>CHOOSE( CONTROL!$C$32, 5.1332, 5.1329) * CHOOSE(CONTROL!$C$15, $D$11, 100%, $F$11)</f>
        <v>5.1332000000000004</v>
      </c>
      <c r="J91" s="4">
        <f>CHOOSE( CONTROL!$C$32, 5.0518, 5.0516) * CHOOSE(CONTROL!$C$15, $D$11, 100%, $F$11)</f>
        <v>5.0518000000000001</v>
      </c>
      <c r="K91" s="4"/>
      <c r="L91" s="9">
        <v>29.306000000000001</v>
      </c>
      <c r="M91" s="9">
        <v>12.063700000000001</v>
      </c>
      <c r="N91" s="9">
        <v>4.9444999999999997</v>
      </c>
      <c r="O91" s="9">
        <v>0.37409999999999999</v>
      </c>
      <c r="P91" s="9">
        <v>1.2927</v>
      </c>
      <c r="Q91" s="9">
        <v>22.150099999999998</v>
      </c>
      <c r="R91" s="9"/>
      <c r="S91" s="11"/>
    </row>
    <row r="92" spans="1:19" ht="15.75">
      <c r="A92" s="13">
        <v>43922</v>
      </c>
      <c r="B92" s="8">
        <f>CHOOSE( CONTROL!$C$32, 5.2943, 5.294) * CHOOSE(CONTROL!$C$15, $D$11, 100%, $F$11)</f>
        <v>5.2942999999999998</v>
      </c>
      <c r="C92" s="8">
        <f>CHOOSE( CONTROL!$C$32, 5.2988, 5.2985) * CHOOSE(CONTROL!$C$15, $D$11, 100%, $F$11)</f>
        <v>5.2988</v>
      </c>
      <c r="D92" s="8">
        <f>CHOOSE( CONTROL!$C$32, 5.2983, 5.298) * CHOOSE( CONTROL!$C$15, $D$11, 100%, $F$11)</f>
        <v>5.2983000000000002</v>
      </c>
      <c r="E92" s="12">
        <f>CHOOSE( CONTROL!$C$32, 5.298, 5.2977) * CHOOSE( CONTROL!$C$15, $D$11, 100%, $F$11)</f>
        <v>5.298</v>
      </c>
      <c r="F92" s="4">
        <f>CHOOSE( CONTROL!$C$32, 6.0026, 6.0023) * CHOOSE(CONTROL!$C$15, $D$11, 100%, $F$11)</f>
        <v>6.0026000000000002</v>
      </c>
      <c r="G92" s="8">
        <f>CHOOSE( CONTROL!$C$32, 5.239, 5.2387) * CHOOSE( CONTROL!$C$15, $D$11, 100%, $F$11)</f>
        <v>5.2389999999999999</v>
      </c>
      <c r="H92" s="4">
        <f>CHOOSE( CONTROL!$C$32, 6.179, 6.1787) * CHOOSE(CONTROL!$C$15, $D$11, 100%, $F$11)</f>
        <v>6.1790000000000003</v>
      </c>
      <c r="I92" s="8">
        <f>CHOOSE( CONTROL!$C$32, 5.2105, 5.2103) * CHOOSE(CONTROL!$C$15, $D$11, 100%, $F$11)</f>
        <v>5.2104999999999997</v>
      </c>
      <c r="J92" s="4">
        <f>CHOOSE( CONTROL!$C$32, 5.1286, 5.1284) * CHOOSE(CONTROL!$C$15, $D$11, 100%, $F$11)</f>
        <v>5.1285999999999996</v>
      </c>
      <c r="K92" s="4"/>
      <c r="L92" s="9">
        <v>30.092199999999998</v>
      </c>
      <c r="M92" s="9">
        <v>11.6745</v>
      </c>
      <c r="N92" s="9">
        <v>4.7850000000000001</v>
      </c>
      <c r="O92" s="9">
        <v>0.36199999999999999</v>
      </c>
      <c r="P92" s="9">
        <v>1.2509999999999999</v>
      </c>
      <c r="Q92" s="9">
        <v>21.435600000000001</v>
      </c>
      <c r="R92" s="9"/>
      <c r="S92" s="11"/>
    </row>
    <row r="93" spans="1:19" ht="15.75">
      <c r="A93" s="13">
        <v>43952</v>
      </c>
      <c r="B93" s="8">
        <f>CHOOSE( CONTROL!$C$32, 5.4367, 5.4362) * CHOOSE(CONTROL!$C$15, $D$11, 100%, $F$11)</f>
        <v>5.4367000000000001</v>
      </c>
      <c r="C93" s="8">
        <f>CHOOSE( CONTROL!$C$32, 5.4446, 5.4442) * CHOOSE(CONTROL!$C$15, $D$11, 100%, $F$11)</f>
        <v>5.4446000000000003</v>
      </c>
      <c r="D93" s="8">
        <f>CHOOSE( CONTROL!$C$32, 5.4389, 5.4385) * CHOOSE( CONTROL!$C$15, $D$11, 100%, $F$11)</f>
        <v>5.4389000000000003</v>
      </c>
      <c r="E93" s="12">
        <f>CHOOSE( CONTROL!$C$32, 5.4398, 5.4393) * CHOOSE( CONTROL!$C$15, $D$11, 100%, $F$11)</f>
        <v>5.4398</v>
      </c>
      <c r="F93" s="4">
        <f>CHOOSE( CONTROL!$C$32, 6.1436, 6.1431) * CHOOSE(CONTROL!$C$15, $D$11, 100%, $F$11)</f>
        <v>6.1436000000000002</v>
      </c>
      <c r="G93" s="8">
        <f>CHOOSE( CONTROL!$C$32, 5.3787, 5.3782) * CHOOSE( CONTROL!$C$15, $D$11, 100%, $F$11)</f>
        <v>5.3787000000000003</v>
      </c>
      <c r="H93" s="4">
        <f>CHOOSE( CONTROL!$C$32, 6.3183, 6.3178) * CHOOSE(CONTROL!$C$15, $D$11, 100%, $F$11)</f>
        <v>6.3182999999999998</v>
      </c>
      <c r="I93" s="8">
        <f>CHOOSE( CONTROL!$C$32, 5.348, 5.3476) * CHOOSE(CONTROL!$C$15, $D$11, 100%, $F$11)</f>
        <v>5.3479999999999999</v>
      </c>
      <c r="J93" s="4">
        <f>CHOOSE( CONTROL!$C$32, 5.2655, 5.265) * CHOOSE(CONTROL!$C$15, $D$11, 100%, $F$11)</f>
        <v>5.2655000000000003</v>
      </c>
      <c r="K93" s="4"/>
      <c r="L93" s="9">
        <v>30.7165</v>
      </c>
      <c r="M93" s="9">
        <v>12.063700000000001</v>
      </c>
      <c r="N93" s="9">
        <v>4.9444999999999997</v>
      </c>
      <c r="O93" s="9">
        <v>0.37409999999999999</v>
      </c>
      <c r="P93" s="9">
        <v>1.2927</v>
      </c>
      <c r="Q93" s="9">
        <v>33.225200000000001</v>
      </c>
      <c r="R93" s="9"/>
      <c r="S93" s="11"/>
    </row>
    <row r="94" spans="1:19" ht="15.75">
      <c r="A94" s="13">
        <v>43983</v>
      </c>
      <c r="B94" s="8">
        <f>CHOOSE( CONTROL!$C$32, 5.3494, 5.349) * CHOOSE(CONTROL!$C$15, $D$11, 100%, $F$11)</f>
        <v>5.3494000000000002</v>
      </c>
      <c r="C94" s="8">
        <f>CHOOSE( CONTROL!$C$32, 5.3574, 5.357) * CHOOSE(CONTROL!$C$15, $D$11, 100%, $F$11)</f>
        <v>5.3574000000000002</v>
      </c>
      <c r="D94" s="8">
        <f>CHOOSE( CONTROL!$C$32, 5.3521, 5.3517) * CHOOSE( CONTROL!$C$15, $D$11, 100%, $F$11)</f>
        <v>5.3521000000000001</v>
      </c>
      <c r="E94" s="12">
        <f>CHOOSE( CONTROL!$C$32, 5.3528, 5.3524) * CHOOSE( CONTROL!$C$15, $D$11, 100%, $F$11)</f>
        <v>5.3528000000000002</v>
      </c>
      <c r="F94" s="4">
        <f>CHOOSE( CONTROL!$C$32, 6.0564, 6.0559) * CHOOSE(CONTROL!$C$15, $D$11, 100%, $F$11)</f>
        <v>6.0564</v>
      </c>
      <c r="G94" s="8">
        <f>CHOOSE( CONTROL!$C$32, 5.2928, 5.2924) * CHOOSE( CONTROL!$C$15, $D$11, 100%, $F$11)</f>
        <v>5.2927999999999997</v>
      </c>
      <c r="H94" s="4">
        <f>CHOOSE( CONTROL!$C$32, 6.2321, 6.2316) * CHOOSE(CONTROL!$C$15, $D$11, 100%, $F$11)</f>
        <v>6.2321</v>
      </c>
      <c r="I94" s="8">
        <f>CHOOSE( CONTROL!$C$32, 5.2647, 5.2643) * CHOOSE(CONTROL!$C$15, $D$11, 100%, $F$11)</f>
        <v>5.2647000000000004</v>
      </c>
      <c r="J94" s="4">
        <f>CHOOSE( CONTROL!$C$32, 5.1808, 5.1804) * CHOOSE(CONTROL!$C$15, $D$11, 100%, $F$11)</f>
        <v>5.1807999999999996</v>
      </c>
      <c r="K94" s="4"/>
      <c r="L94" s="9">
        <v>29.7257</v>
      </c>
      <c r="M94" s="9">
        <v>11.6745</v>
      </c>
      <c r="N94" s="9">
        <v>4.7850000000000001</v>
      </c>
      <c r="O94" s="9">
        <v>0.36199999999999999</v>
      </c>
      <c r="P94" s="9">
        <v>1.2509999999999999</v>
      </c>
      <c r="Q94" s="9">
        <v>32.153399999999998</v>
      </c>
      <c r="R94" s="9"/>
      <c r="S94" s="11"/>
    </row>
    <row r="95" spans="1:19" ht="15.75">
      <c r="A95" s="13">
        <v>44013</v>
      </c>
      <c r="B95" s="8">
        <f>CHOOSE( CONTROL!$C$32, 5.5791, 5.5787) * CHOOSE(CONTROL!$C$15, $D$11, 100%, $F$11)</f>
        <v>5.5791000000000004</v>
      </c>
      <c r="C95" s="8">
        <f>CHOOSE( CONTROL!$C$32, 5.5871, 5.5866) * CHOOSE(CONTROL!$C$15, $D$11, 100%, $F$11)</f>
        <v>5.5871000000000004</v>
      </c>
      <c r="D95" s="8">
        <f>CHOOSE( CONTROL!$C$32, 5.5822, 5.5818) * CHOOSE( CONTROL!$C$15, $D$11, 100%, $F$11)</f>
        <v>5.5822000000000003</v>
      </c>
      <c r="E95" s="12">
        <f>CHOOSE( CONTROL!$C$32, 5.5828, 5.5823) * CHOOSE( CONTROL!$C$15, $D$11, 100%, $F$11)</f>
        <v>5.5827999999999998</v>
      </c>
      <c r="F95" s="4">
        <f>CHOOSE( CONTROL!$C$32, 6.2861, 6.2856) * CHOOSE(CONTROL!$C$15, $D$11, 100%, $F$11)</f>
        <v>6.2861000000000002</v>
      </c>
      <c r="G95" s="8">
        <f>CHOOSE( CONTROL!$C$32, 5.5202, 5.5197) * CHOOSE( CONTROL!$C$15, $D$11, 100%, $F$11)</f>
        <v>5.5202</v>
      </c>
      <c r="H95" s="4">
        <f>CHOOSE( CONTROL!$C$32, 6.4591, 6.4586) * CHOOSE(CONTROL!$C$15, $D$11, 100%, $F$11)</f>
        <v>6.4591000000000003</v>
      </c>
      <c r="I95" s="8">
        <f>CHOOSE( CONTROL!$C$32, 5.4893, 5.4889) * CHOOSE(CONTROL!$C$15, $D$11, 100%, $F$11)</f>
        <v>5.4893000000000001</v>
      </c>
      <c r="J95" s="4">
        <f>CHOOSE( CONTROL!$C$32, 5.4037, 5.4033) * CHOOSE(CONTROL!$C$15, $D$11, 100%, $F$11)</f>
        <v>5.4036999999999997</v>
      </c>
      <c r="K95" s="4"/>
      <c r="L95" s="9">
        <v>30.7165</v>
      </c>
      <c r="M95" s="9">
        <v>12.063700000000001</v>
      </c>
      <c r="N95" s="9">
        <v>4.9444999999999997</v>
      </c>
      <c r="O95" s="9">
        <v>0.37409999999999999</v>
      </c>
      <c r="P95" s="9">
        <v>1.2927</v>
      </c>
      <c r="Q95" s="9">
        <v>33.225200000000001</v>
      </c>
      <c r="R95" s="9"/>
      <c r="S95" s="11"/>
    </row>
    <row r="96" spans="1:19" ht="15.75">
      <c r="A96" s="13">
        <v>44044</v>
      </c>
      <c r="B96" s="8">
        <f>CHOOSE( CONTROL!$C$32, 5.1493, 5.1489) * CHOOSE(CONTROL!$C$15, $D$11, 100%, $F$11)</f>
        <v>5.1493000000000002</v>
      </c>
      <c r="C96" s="8">
        <f>CHOOSE( CONTROL!$C$32, 5.1573, 5.1569) * CHOOSE(CONTROL!$C$15, $D$11, 100%, $F$11)</f>
        <v>5.1573000000000002</v>
      </c>
      <c r="D96" s="8">
        <f>CHOOSE( CONTROL!$C$32, 5.1526, 5.1522) * CHOOSE( CONTROL!$C$15, $D$11, 100%, $F$11)</f>
        <v>5.1525999999999996</v>
      </c>
      <c r="E96" s="12">
        <f>CHOOSE( CONTROL!$C$32, 5.1531, 5.1527) * CHOOSE( CONTROL!$C$15, $D$11, 100%, $F$11)</f>
        <v>5.1531000000000002</v>
      </c>
      <c r="F96" s="4">
        <f>CHOOSE( CONTROL!$C$32, 5.8563, 5.8558) * CHOOSE(CONTROL!$C$15, $D$11, 100%, $F$11)</f>
        <v>5.8563000000000001</v>
      </c>
      <c r="G96" s="8">
        <f>CHOOSE( CONTROL!$C$32, 5.0955, 5.0951) * CHOOSE( CONTROL!$C$15, $D$11, 100%, $F$11)</f>
        <v>5.0955000000000004</v>
      </c>
      <c r="H96" s="4">
        <f>CHOOSE( CONTROL!$C$32, 6.0344, 6.0339) * CHOOSE(CONTROL!$C$15, $D$11, 100%, $F$11)</f>
        <v>6.0343999999999998</v>
      </c>
      <c r="I96" s="8">
        <f>CHOOSE( CONTROL!$C$32, 5.0725, 5.072) * CHOOSE(CONTROL!$C$15, $D$11, 100%, $F$11)</f>
        <v>5.0724999999999998</v>
      </c>
      <c r="J96" s="4">
        <f>CHOOSE( CONTROL!$C$32, 4.9866, 4.9862) * CHOOSE(CONTROL!$C$15, $D$11, 100%, $F$11)</f>
        <v>4.9866000000000001</v>
      </c>
      <c r="K96" s="4"/>
      <c r="L96" s="9">
        <v>30.7165</v>
      </c>
      <c r="M96" s="9">
        <v>12.063700000000001</v>
      </c>
      <c r="N96" s="9">
        <v>4.9444999999999997</v>
      </c>
      <c r="O96" s="9">
        <v>0.37409999999999999</v>
      </c>
      <c r="P96" s="9">
        <v>1.2927</v>
      </c>
      <c r="Q96" s="9">
        <v>33.225200000000001</v>
      </c>
      <c r="R96" s="9"/>
      <c r="S96" s="11"/>
    </row>
    <row r="97" spans="1:19" ht="15.75">
      <c r="A97" s="13">
        <v>44075</v>
      </c>
      <c r="B97" s="8">
        <f>CHOOSE( CONTROL!$C$32, 5.0417, 5.0413) * CHOOSE(CONTROL!$C$15, $D$11, 100%, $F$11)</f>
        <v>5.0416999999999996</v>
      </c>
      <c r="C97" s="8">
        <f>CHOOSE( CONTROL!$C$32, 5.0497, 5.0492) * CHOOSE(CONTROL!$C$15, $D$11, 100%, $F$11)</f>
        <v>5.0496999999999996</v>
      </c>
      <c r="D97" s="8">
        <f>CHOOSE( CONTROL!$C$32, 5.0448, 5.0444) * CHOOSE( CONTROL!$C$15, $D$11, 100%, $F$11)</f>
        <v>5.0448000000000004</v>
      </c>
      <c r="E97" s="12">
        <f>CHOOSE( CONTROL!$C$32, 5.0454, 5.0449) * CHOOSE( CONTROL!$C$15, $D$11, 100%, $F$11)</f>
        <v>5.0453999999999999</v>
      </c>
      <c r="F97" s="4">
        <f>CHOOSE( CONTROL!$C$32, 5.7487, 5.7482) * CHOOSE(CONTROL!$C$15, $D$11, 100%, $F$11)</f>
        <v>5.7487000000000004</v>
      </c>
      <c r="G97" s="8">
        <f>CHOOSE( CONTROL!$C$32, 4.989, 4.9886) * CHOOSE( CONTROL!$C$15, $D$11, 100%, $F$11)</f>
        <v>4.9889999999999999</v>
      </c>
      <c r="H97" s="4">
        <f>CHOOSE( CONTROL!$C$32, 5.928, 5.9275) * CHOOSE(CONTROL!$C$15, $D$11, 100%, $F$11)</f>
        <v>5.9279999999999999</v>
      </c>
      <c r="I97" s="8">
        <f>CHOOSE( CONTROL!$C$32, 4.9675, 4.967) * CHOOSE(CONTROL!$C$15, $D$11, 100%, $F$11)</f>
        <v>4.9675000000000002</v>
      </c>
      <c r="J97" s="4">
        <f>CHOOSE( CONTROL!$C$32, 4.8822, 4.8817) * CHOOSE(CONTROL!$C$15, $D$11, 100%, $F$11)</f>
        <v>4.8822000000000001</v>
      </c>
      <c r="K97" s="4"/>
      <c r="L97" s="9">
        <v>29.7257</v>
      </c>
      <c r="M97" s="9">
        <v>11.6745</v>
      </c>
      <c r="N97" s="9">
        <v>4.7850000000000001</v>
      </c>
      <c r="O97" s="9">
        <v>0.36199999999999999</v>
      </c>
      <c r="P97" s="9">
        <v>1.2509999999999999</v>
      </c>
      <c r="Q97" s="9">
        <v>32.153399999999998</v>
      </c>
      <c r="R97" s="9"/>
      <c r="S97" s="11"/>
    </row>
    <row r="98" spans="1:19" ht="15.75">
      <c r="A98" s="13">
        <v>44105</v>
      </c>
      <c r="B98" s="8">
        <f>CHOOSE( CONTROL!$C$32, 5.2633, 5.263) * CHOOSE(CONTROL!$C$15, $D$11, 100%, $F$11)</f>
        <v>5.2633000000000001</v>
      </c>
      <c r="C98" s="8">
        <f>CHOOSE( CONTROL!$C$32, 5.2686, 5.2683) * CHOOSE(CONTROL!$C$15, $D$11, 100%, $F$11)</f>
        <v>5.2686000000000002</v>
      </c>
      <c r="D98" s="8">
        <f>CHOOSE( CONTROL!$C$32, 5.2688, 5.2685) * CHOOSE( CONTROL!$C$15, $D$11, 100%, $F$11)</f>
        <v>5.2687999999999997</v>
      </c>
      <c r="E98" s="12">
        <f>CHOOSE( CONTROL!$C$32, 5.2682, 5.2679) * CHOOSE( CONTROL!$C$15, $D$11, 100%, $F$11)</f>
        <v>5.2682000000000002</v>
      </c>
      <c r="F98" s="4">
        <f>CHOOSE( CONTROL!$C$32, 5.9719, 5.9717) * CHOOSE(CONTROL!$C$15, $D$11, 100%, $F$11)</f>
        <v>5.9718999999999998</v>
      </c>
      <c r="G98" s="8">
        <f>CHOOSE( CONTROL!$C$32, 5.2097, 5.2094) * CHOOSE( CONTROL!$C$15, $D$11, 100%, $F$11)</f>
        <v>5.2096999999999998</v>
      </c>
      <c r="H98" s="4">
        <f>CHOOSE( CONTROL!$C$32, 6.1487, 6.1484) * CHOOSE(CONTROL!$C$15, $D$11, 100%, $F$11)</f>
        <v>6.1486999999999998</v>
      </c>
      <c r="I98" s="8">
        <f>CHOOSE( CONTROL!$C$32, 5.185, 5.1847) * CHOOSE(CONTROL!$C$15, $D$11, 100%, $F$11)</f>
        <v>5.1849999999999996</v>
      </c>
      <c r="J98" s="4">
        <f>CHOOSE( CONTROL!$C$32, 5.0989, 5.0986) * CHOOSE(CONTROL!$C$15, $D$11, 100%, $F$11)</f>
        <v>5.0989000000000004</v>
      </c>
      <c r="K98" s="4"/>
      <c r="L98" s="9">
        <v>31.095300000000002</v>
      </c>
      <c r="M98" s="9">
        <v>12.063700000000001</v>
      </c>
      <c r="N98" s="9">
        <v>4.9444999999999997</v>
      </c>
      <c r="O98" s="9">
        <v>0.37409999999999999</v>
      </c>
      <c r="P98" s="9">
        <v>1.2927</v>
      </c>
      <c r="Q98" s="9">
        <v>33.225200000000001</v>
      </c>
      <c r="R98" s="9"/>
      <c r="S98" s="11"/>
    </row>
    <row r="99" spans="1:19" ht="15.75">
      <c r="A99" s="13">
        <v>44136</v>
      </c>
      <c r="B99" s="8">
        <f>CHOOSE( CONTROL!$C$32, 5.6753, 5.6751) * CHOOSE(CONTROL!$C$15, $D$11, 100%, $F$11)</f>
        <v>5.6753</v>
      </c>
      <c r="C99" s="8">
        <f>CHOOSE( CONTROL!$C$32, 5.6804, 5.6801) * CHOOSE(CONTROL!$C$15, $D$11, 100%, $F$11)</f>
        <v>5.6803999999999997</v>
      </c>
      <c r="D99" s="8">
        <f>CHOOSE( CONTROL!$C$32, 5.6483, 5.648) * CHOOSE( CONTROL!$C$15, $D$11, 100%, $F$11)</f>
        <v>5.6482999999999999</v>
      </c>
      <c r="E99" s="12">
        <f>CHOOSE( CONTROL!$C$32, 5.6595, 5.6592) * CHOOSE( CONTROL!$C$15, $D$11, 100%, $F$11)</f>
        <v>5.6595000000000004</v>
      </c>
      <c r="F99" s="4">
        <f>CHOOSE( CONTROL!$C$32, 6.3406, 6.3403) * CHOOSE(CONTROL!$C$15, $D$11, 100%, $F$11)</f>
        <v>6.3406000000000002</v>
      </c>
      <c r="G99" s="8">
        <f>CHOOSE( CONTROL!$C$32, 5.6062, 5.606) * CHOOSE( CONTROL!$C$15, $D$11, 100%, $F$11)</f>
        <v>5.6062000000000003</v>
      </c>
      <c r="H99" s="4">
        <f>CHOOSE( CONTROL!$C$32, 6.513, 6.5127) * CHOOSE(CONTROL!$C$15, $D$11, 100%, $F$11)</f>
        <v>6.5129999999999999</v>
      </c>
      <c r="I99" s="8">
        <f>CHOOSE( CONTROL!$C$32, 5.6363, 5.636) * CHOOSE(CONTROL!$C$15, $D$11, 100%, $F$11)</f>
        <v>5.6363000000000003</v>
      </c>
      <c r="J99" s="4">
        <f>CHOOSE( CONTROL!$C$32, 5.4992, 5.4989) * CHOOSE(CONTROL!$C$15, $D$11, 100%, $F$11)</f>
        <v>5.4992000000000001</v>
      </c>
      <c r="K99" s="4"/>
      <c r="L99" s="9">
        <v>28.360600000000002</v>
      </c>
      <c r="M99" s="9">
        <v>11.6745</v>
      </c>
      <c r="N99" s="9">
        <v>4.7850000000000001</v>
      </c>
      <c r="O99" s="9">
        <v>0.36199999999999999</v>
      </c>
      <c r="P99" s="9">
        <v>1.2509999999999999</v>
      </c>
      <c r="Q99" s="9">
        <v>32.153399999999998</v>
      </c>
      <c r="R99" s="9"/>
      <c r="S99" s="11"/>
    </row>
    <row r="100" spans="1:19" ht="15.75">
      <c r="A100" s="13">
        <v>44166</v>
      </c>
      <c r="B100" s="8">
        <f>CHOOSE( CONTROL!$C$32, 5.665, 5.6647) * CHOOSE(CONTROL!$C$15, $D$11, 100%, $F$11)</f>
        <v>5.665</v>
      </c>
      <c r="C100" s="8">
        <f>CHOOSE( CONTROL!$C$32, 5.6701, 5.6698) * CHOOSE(CONTROL!$C$15, $D$11, 100%, $F$11)</f>
        <v>5.6700999999999997</v>
      </c>
      <c r="D100" s="8">
        <f>CHOOSE( CONTROL!$C$32, 5.6398, 5.6395) * CHOOSE( CONTROL!$C$15, $D$11, 100%, $F$11)</f>
        <v>5.6398000000000001</v>
      </c>
      <c r="E100" s="12">
        <f>CHOOSE( CONTROL!$C$32, 5.6503, 5.65) * CHOOSE( CONTROL!$C$15, $D$11, 100%, $F$11)</f>
        <v>5.6502999999999997</v>
      </c>
      <c r="F100" s="4">
        <f>CHOOSE( CONTROL!$C$32, 6.3303, 6.33) * CHOOSE(CONTROL!$C$15, $D$11, 100%, $F$11)</f>
        <v>6.3303000000000003</v>
      </c>
      <c r="G100" s="8">
        <f>CHOOSE( CONTROL!$C$32, 5.5974, 5.5971) * CHOOSE( CONTROL!$C$15, $D$11, 100%, $F$11)</f>
        <v>5.5974000000000004</v>
      </c>
      <c r="H100" s="4">
        <f>CHOOSE( CONTROL!$C$32, 6.5028, 6.5025) * CHOOSE(CONTROL!$C$15, $D$11, 100%, $F$11)</f>
        <v>6.5027999999999997</v>
      </c>
      <c r="I100" s="8">
        <f>CHOOSE( CONTROL!$C$32, 5.632, 5.6317) * CHOOSE(CONTROL!$C$15, $D$11, 100%, $F$11)</f>
        <v>5.6319999999999997</v>
      </c>
      <c r="J100" s="4">
        <f>CHOOSE( CONTROL!$C$32, 5.4891, 5.4889) * CHOOSE(CONTROL!$C$15, $D$11, 100%, $F$11)</f>
        <v>5.4890999999999996</v>
      </c>
      <c r="K100" s="4"/>
      <c r="L100" s="9">
        <v>29.306000000000001</v>
      </c>
      <c r="M100" s="9">
        <v>12.063700000000001</v>
      </c>
      <c r="N100" s="9">
        <v>4.9444999999999997</v>
      </c>
      <c r="O100" s="9">
        <v>0.37409999999999999</v>
      </c>
      <c r="P100" s="9">
        <v>1.2927</v>
      </c>
      <c r="Q100" s="9">
        <v>33.225200000000001</v>
      </c>
      <c r="R100" s="9"/>
      <c r="S100" s="11"/>
    </row>
    <row r="101" spans="1:19" ht="15.75">
      <c r="A101" s="13">
        <v>44197</v>
      </c>
      <c r="B101" s="8">
        <f>CHOOSE( CONTROL!$C$32, 6.2446, 6.2444) * CHOOSE(CONTROL!$C$15, $D$11, 100%, $F$11)</f>
        <v>6.2446000000000002</v>
      </c>
      <c r="C101" s="8">
        <f>CHOOSE( CONTROL!$C$32, 6.2497, 6.2494) * CHOOSE(CONTROL!$C$15, $D$11, 100%, $F$11)</f>
        <v>6.2496999999999998</v>
      </c>
      <c r="D101" s="8">
        <f>CHOOSE( CONTROL!$C$32, 6.2473, 6.2471) * CHOOSE( CONTROL!$C$15, $D$11, 100%, $F$11)</f>
        <v>6.2473000000000001</v>
      </c>
      <c r="E101" s="12">
        <f>CHOOSE( CONTROL!$C$32, 6.2476, 6.2474) * CHOOSE( CONTROL!$C$15, $D$11, 100%, $F$11)</f>
        <v>6.2476000000000003</v>
      </c>
      <c r="F101" s="4">
        <f>CHOOSE( CONTROL!$C$32, 6.9099, 6.9096) * CHOOSE(CONTROL!$C$15, $D$11, 100%, $F$11)</f>
        <v>6.9099000000000004</v>
      </c>
      <c r="G101" s="8">
        <f>CHOOSE( CONTROL!$C$32, 6.1863, 6.1861) * CHOOSE( CONTROL!$C$15, $D$11, 100%, $F$11)</f>
        <v>6.1863000000000001</v>
      </c>
      <c r="H101" s="4">
        <f>CHOOSE( CONTROL!$C$32, 7.0756, 7.0754) * CHOOSE(CONTROL!$C$15, $D$11, 100%, $F$11)</f>
        <v>7.0755999999999997</v>
      </c>
      <c r="I101" s="8">
        <f>CHOOSE( CONTROL!$C$32, 6.1683, 6.168) * CHOOSE(CONTROL!$C$15, $D$11, 100%, $F$11)</f>
        <v>6.1683000000000003</v>
      </c>
      <c r="J101" s="4">
        <f>CHOOSE( CONTROL!$C$32, 6.0517, 6.0514) * CHOOSE(CONTROL!$C$15, $D$11, 100%, $F$11)</f>
        <v>6.0517000000000003</v>
      </c>
      <c r="K101" s="4"/>
      <c r="L101" s="9">
        <v>29.306000000000001</v>
      </c>
      <c r="M101" s="9">
        <v>12.063700000000001</v>
      </c>
      <c r="N101" s="9">
        <v>4.9444999999999997</v>
      </c>
      <c r="O101" s="9">
        <v>0.37409999999999999</v>
      </c>
      <c r="P101" s="9">
        <v>1.2927</v>
      </c>
      <c r="Q101" s="9">
        <v>33.011299999999999</v>
      </c>
      <c r="R101" s="9"/>
      <c r="S101" s="11"/>
    </row>
    <row r="102" spans="1:19" ht="15.75">
      <c r="A102" s="13">
        <v>44228</v>
      </c>
      <c r="B102" s="8">
        <f>CHOOSE( CONTROL!$C$32, 5.8415, 5.8413) * CHOOSE(CONTROL!$C$15, $D$11, 100%, $F$11)</f>
        <v>5.8414999999999999</v>
      </c>
      <c r="C102" s="8">
        <f>CHOOSE( CONTROL!$C$32, 5.8466, 5.8463) * CHOOSE(CONTROL!$C$15, $D$11, 100%, $F$11)</f>
        <v>5.8465999999999996</v>
      </c>
      <c r="D102" s="8">
        <f>CHOOSE( CONTROL!$C$32, 5.8266, 5.8263) * CHOOSE( CONTROL!$C$15, $D$11, 100%, $F$11)</f>
        <v>5.8266</v>
      </c>
      <c r="E102" s="12">
        <f>CHOOSE( CONTROL!$C$32, 5.8334, 5.8331) * CHOOSE( CONTROL!$C$15, $D$11, 100%, $F$11)</f>
        <v>5.8334000000000001</v>
      </c>
      <c r="F102" s="4">
        <f>CHOOSE( CONTROL!$C$32, 6.5068, 6.5065) * CHOOSE(CONTROL!$C$15, $D$11, 100%, $F$11)</f>
        <v>6.5068000000000001</v>
      </c>
      <c r="G102" s="8">
        <f>CHOOSE( CONTROL!$C$32, 5.7768, 5.7765) * CHOOSE( CONTROL!$C$15, $D$11, 100%, $F$11)</f>
        <v>5.7767999999999997</v>
      </c>
      <c r="H102" s="4">
        <f>CHOOSE( CONTROL!$C$32, 6.6773, 6.677) * CHOOSE(CONTROL!$C$15, $D$11, 100%, $F$11)</f>
        <v>6.6772999999999998</v>
      </c>
      <c r="I102" s="8">
        <f>CHOOSE( CONTROL!$C$32, 5.7773, 5.777) * CHOOSE(CONTROL!$C$15, $D$11, 100%, $F$11)</f>
        <v>5.7773000000000003</v>
      </c>
      <c r="J102" s="4">
        <f>CHOOSE( CONTROL!$C$32, 5.6604, 5.6602) * CHOOSE(CONTROL!$C$15, $D$11, 100%, $F$11)</f>
        <v>5.6604000000000001</v>
      </c>
      <c r="K102" s="4"/>
      <c r="L102" s="9">
        <v>26.469899999999999</v>
      </c>
      <c r="M102" s="9">
        <v>10.8962</v>
      </c>
      <c r="N102" s="9">
        <v>4.4660000000000002</v>
      </c>
      <c r="O102" s="9">
        <v>0.33789999999999998</v>
      </c>
      <c r="P102" s="9">
        <v>1.1676</v>
      </c>
      <c r="Q102" s="9">
        <v>29.816600000000001</v>
      </c>
      <c r="R102" s="9"/>
      <c r="S102" s="11"/>
    </row>
    <row r="103" spans="1:19" ht="15.75">
      <c r="A103" s="13">
        <v>44256</v>
      </c>
      <c r="B103" s="8">
        <f>CHOOSE( CONTROL!$C$32, 5.7174, 5.7171) * CHOOSE(CONTROL!$C$15, $D$11, 100%, $F$11)</f>
        <v>5.7173999999999996</v>
      </c>
      <c r="C103" s="8">
        <f>CHOOSE( CONTROL!$C$32, 5.7224, 5.7222) * CHOOSE(CONTROL!$C$15, $D$11, 100%, $F$11)</f>
        <v>5.7224000000000004</v>
      </c>
      <c r="D103" s="8">
        <f>CHOOSE( CONTROL!$C$32, 5.6925, 5.6922) * CHOOSE( CONTROL!$C$15, $D$11, 100%, $F$11)</f>
        <v>5.6924999999999999</v>
      </c>
      <c r="E103" s="12">
        <f>CHOOSE( CONTROL!$C$32, 5.7029, 5.7026) * CHOOSE( CONTROL!$C$15, $D$11, 100%, $F$11)</f>
        <v>5.7028999999999996</v>
      </c>
      <c r="F103" s="4">
        <f>CHOOSE( CONTROL!$C$32, 6.3827, 6.3824) * CHOOSE(CONTROL!$C$15, $D$11, 100%, $F$11)</f>
        <v>6.3826999999999998</v>
      </c>
      <c r="G103" s="8">
        <f>CHOOSE( CONTROL!$C$32, 5.6409, 5.6406) * CHOOSE( CONTROL!$C$15, $D$11, 100%, $F$11)</f>
        <v>5.6409000000000002</v>
      </c>
      <c r="H103" s="4">
        <f>CHOOSE( CONTROL!$C$32, 6.5546, 6.5543) * CHOOSE(CONTROL!$C$15, $D$11, 100%, $F$11)</f>
        <v>6.5545999999999998</v>
      </c>
      <c r="I103" s="8">
        <f>CHOOSE( CONTROL!$C$32, 5.6216, 5.6213) * CHOOSE(CONTROL!$C$15, $D$11, 100%, $F$11)</f>
        <v>5.6215999999999999</v>
      </c>
      <c r="J103" s="4">
        <f>CHOOSE( CONTROL!$C$32, 5.54, 5.5397) * CHOOSE(CONTROL!$C$15, $D$11, 100%, $F$11)</f>
        <v>5.54</v>
      </c>
      <c r="K103" s="4"/>
      <c r="L103" s="9">
        <v>29.306000000000001</v>
      </c>
      <c r="M103" s="9">
        <v>12.063700000000001</v>
      </c>
      <c r="N103" s="9">
        <v>4.9444999999999997</v>
      </c>
      <c r="O103" s="9">
        <v>0.37409999999999999</v>
      </c>
      <c r="P103" s="9">
        <v>1.2927</v>
      </c>
      <c r="Q103" s="9">
        <v>33.011299999999999</v>
      </c>
      <c r="R103" s="9"/>
      <c r="S103" s="11"/>
    </row>
    <row r="104" spans="1:19" ht="15.75">
      <c r="A104" s="13">
        <v>44287</v>
      </c>
      <c r="B104" s="8">
        <f>CHOOSE( CONTROL!$C$32, 5.8049, 5.8046) * CHOOSE(CONTROL!$C$15, $D$11, 100%, $F$11)</f>
        <v>5.8048999999999999</v>
      </c>
      <c r="C104" s="8">
        <f>CHOOSE( CONTROL!$C$32, 5.8094, 5.8091) * CHOOSE(CONTROL!$C$15, $D$11, 100%, $F$11)</f>
        <v>5.8094000000000001</v>
      </c>
      <c r="D104" s="8">
        <f>CHOOSE( CONTROL!$C$32, 5.8089, 5.8086) * CHOOSE( CONTROL!$C$15, $D$11, 100%, $F$11)</f>
        <v>5.8089000000000004</v>
      </c>
      <c r="E104" s="12">
        <f>CHOOSE( CONTROL!$C$32, 5.8086, 5.8083) * CHOOSE( CONTROL!$C$15, $D$11, 100%, $F$11)</f>
        <v>5.8086000000000002</v>
      </c>
      <c r="F104" s="4">
        <f>CHOOSE( CONTROL!$C$32, 6.5132, 6.5129) * CHOOSE(CONTROL!$C$15, $D$11, 100%, $F$11)</f>
        <v>6.5132000000000003</v>
      </c>
      <c r="G104" s="8">
        <f>CHOOSE( CONTROL!$C$32, 5.7436, 5.7433) * CHOOSE( CONTROL!$C$15, $D$11, 100%, $F$11)</f>
        <v>5.7435999999999998</v>
      </c>
      <c r="H104" s="4">
        <f>CHOOSE( CONTROL!$C$32, 6.6836, 6.6833) * CHOOSE(CONTROL!$C$15, $D$11, 100%, $F$11)</f>
        <v>6.6836000000000002</v>
      </c>
      <c r="I104" s="8">
        <f>CHOOSE( CONTROL!$C$32, 5.7063, 5.7061) * CHOOSE(CONTROL!$C$15, $D$11, 100%, $F$11)</f>
        <v>5.7062999999999997</v>
      </c>
      <c r="J104" s="4">
        <f>CHOOSE( CONTROL!$C$32, 5.6242, 5.6239) * CHOOSE(CONTROL!$C$15, $D$11, 100%, $F$11)</f>
        <v>5.6242000000000001</v>
      </c>
      <c r="K104" s="4"/>
      <c r="L104" s="9">
        <v>30.092199999999998</v>
      </c>
      <c r="M104" s="9">
        <v>11.6745</v>
      </c>
      <c r="N104" s="9">
        <v>4.7850000000000001</v>
      </c>
      <c r="O104" s="9">
        <v>0.36199999999999999</v>
      </c>
      <c r="P104" s="9">
        <v>1.2509999999999999</v>
      </c>
      <c r="Q104" s="9">
        <v>31.946400000000001</v>
      </c>
      <c r="R104" s="9"/>
      <c r="S104" s="11"/>
    </row>
    <row r="105" spans="1:19" ht="15.75">
      <c r="A105" s="13">
        <v>44317</v>
      </c>
      <c r="B105" s="8">
        <f>CHOOSE( CONTROL!$C$32, 5.9608, 5.9604) * CHOOSE(CONTROL!$C$15, $D$11, 100%, $F$11)</f>
        <v>5.9607999999999999</v>
      </c>
      <c r="C105" s="8">
        <f>CHOOSE( CONTROL!$C$32, 5.9688, 5.9684) * CHOOSE(CONTROL!$C$15, $D$11, 100%, $F$11)</f>
        <v>5.9687999999999999</v>
      </c>
      <c r="D105" s="8">
        <f>CHOOSE( CONTROL!$C$32, 5.9631, 5.9627) * CHOOSE( CONTROL!$C$15, $D$11, 100%, $F$11)</f>
        <v>5.9630999999999998</v>
      </c>
      <c r="E105" s="12">
        <f>CHOOSE( CONTROL!$C$32, 5.9639, 5.9635) * CHOOSE( CONTROL!$C$15, $D$11, 100%, $F$11)</f>
        <v>5.9638999999999998</v>
      </c>
      <c r="F105" s="4">
        <f>CHOOSE( CONTROL!$C$32, 6.6678, 6.6673) * CHOOSE(CONTROL!$C$15, $D$11, 100%, $F$11)</f>
        <v>6.6677999999999997</v>
      </c>
      <c r="G105" s="8">
        <f>CHOOSE( CONTROL!$C$32, 5.8967, 5.8963) * CHOOSE( CONTROL!$C$15, $D$11, 100%, $F$11)</f>
        <v>5.8967000000000001</v>
      </c>
      <c r="H105" s="4">
        <f>CHOOSE( CONTROL!$C$32, 6.8363, 6.8359) * CHOOSE(CONTROL!$C$15, $D$11, 100%, $F$11)</f>
        <v>6.8362999999999996</v>
      </c>
      <c r="I105" s="8">
        <f>CHOOSE( CONTROL!$C$32, 5.857, 5.8566) * CHOOSE(CONTROL!$C$15, $D$11, 100%, $F$11)</f>
        <v>5.8570000000000002</v>
      </c>
      <c r="J105" s="4">
        <f>CHOOSE( CONTROL!$C$32, 5.7742, 5.7737) * CHOOSE(CONTROL!$C$15, $D$11, 100%, $F$11)</f>
        <v>5.7742000000000004</v>
      </c>
      <c r="K105" s="4"/>
      <c r="L105" s="9">
        <v>30.7165</v>
      </c>
      <c r="M105" s="9">
        <v>12.063700000000001</v>
      </c>
      <c r="N105" s="9">
        <v>4.9444999999999997</v>
      </c>
      <c r="O105" s="9">
        <v>0.37409999999999999</v>
      </c>
      <c r="P105" s="9">
        <v>1.2927</v>
      </c>
      <c r="Q105" s="9">
        <v>33.011299999999999</v>
      </c>
      <c r="R105" s="9"/>
      <c r="S105" s="11"/>
    </row>
    <row r="106" spans="1:19" ht="15.75">
      <c r="A106" s="13">
        <v>44348</v>
      </c>
      <c r="B106" s="8">
        <f>CHOOSE( CONTROL!$C$32, 5.8652, 5.8647) * CHOOSE(CONTROL!$C$15, $D$11, 100%, $F$11)</f>
        <v>5.8651999999999997</v>
      </c>
      <c r="C106" s="8">
        <f>CHOOSE( CONTROL!$C$32, 5.8732, 5.8727) * CHOOSE(CONTROL!$C$15, $D$11, 100%, $F$11)</f>
        <v>5.8731999999999998</v>
      </c>
      <c r="D106" s="8">
        <f>CHOOSE( CONTROL!$C$32, 5.8679, 5.8674) * CHOOSE( CONTROL!$C$15, $D$11, 100%, $F$11)</f>
        <v>5.8678999999999997</v>
      </c>
      <c r="E106" s="12">
        <f>CHOOSE( CONTROL!$C$32, 5.8686, 5.8681) * CHOOSE( CONTROL!$C$15, $D$11, 100%, $F$11)</f>
        <v>5.8685999999999998</v>
      </c>
      <c r="F106" s="4">
        <f>CHOOSE( CONTROL!$C$32, 6.5721, 6.5717) * CHOOSE(CONTROL!$C$15, $D$11, 100%, $F$11)</f>
        <v>6.5720999999999998</v>
      </c>
      <c r="G106" s="8">
        <f>CHOOSE( CONTROL!$C$32, 5.8025, 5.8021) * CHOOSE( CONTROL!$C$15, $D$11, 100%, $F$11)</f>
        <v>5.8025000000000002</v>
      </c>
      <c r="H106" s="4">
        <f>CHOOSE( CONTROL!$C$32, 6.7418, 6.7414) * CHOOSE(CONTROL!$C$15, $D$11, 100%, $F$11)</f>
        <v>6.7417999999999996</v>
      </c>
      <c r="I106" s="8">
        <f>CHOOSE( CONTROL!$C$32, 5.7655, 5.7651) * CHOOSE(CONTROL!$C$15, $D$11, 100%, $F$11)</f>
        <v>5.7655000000000003</v>
      </c>
      <c r="J106" s="4">
        <f>CHOOSE( CONTROL!$C$32, 5.6814, 5.6809) * CHOOSE(CONTROL!$C$15, $D$11, 100%, $F$11)</f>
        <v>5.6814</v>
      </c>
      <c r="K106" s="4"/>
      <c r="L106" s="9">
        <v>29.7257</v>
      </c>
      <c r="M106" s="9">
        <v>11.6745</v>
      </c>
      <c r="N106" s="9">
        <v>4.7850000000000001</v>
      </c>
      <c r="O106" s="9">
        <v>0.36199999999999999</v>
      </c>
      <c r="P106" s="9">
        <v>1.2509999999999999</v>
      </c>
      <c r="Q106" s="9">
        <v>31.946400000000001</v>
      </c>
      <c r="R106" s="9"/>
      <c r="S106" s="11"/>
    </row>
    <row r="107" spans="1:19" ht="15.75">
      <c r="A107" s="13">
        <v>44378</v>
      </c>
      <c r="B107" s="8">
        <f>CHOOSE( CONTROL!$C$32, 6.1171, 6.1166) * CHOOSE(CONTROL!$C$15, $D$11, 100%, $F$11)</f>
        <v>6.1170999999999998</v>
      </c>
      <c r="C107" s="8">
        <f>CHOOSE( CONTROL!$C$32, 6.1251, 6.1246) * CHOOSE(CONTROL!$C$15, $D$11, 100%, $F$11)</f>
        <v>6.1250999999999998</v>
      </c>
      <c r="D107" s="8">
        <f>CHOOSE( CONTROL!$C$32, 6.1202, 6.1198) * CHOOSE( CONTROL!$C$15, $D$11, 100%, $F$11)</f>
        <v>6.1201999999999996</v>
      </c>
      <c r="E107" s="12">
        <f>CHOOSE( CONTROL!$C$32, 6.1208, 6.1203) * CHOOSE( CONTROL!$C$15, $D$11, 100%, $F$11)</f>
        <v>6.1208</v>
      </c>
      <c r="F107" s="4">
        <f>CHOOSE( CONTROL!$C$32, 6.824, 6.8236) * CHOOSE(CONTROL!$C$15, $D$11, 100%, $F$11)</f>
        <v>6.8239999999999998</v>
      </c>
      <c r="G107" s="8">
        <f>CHOOSE( CONTROL!$C$32, 6.0518, 6.0514) * CHOOSE( CONTROL!$C$15, $D$11, 100%, $F$11)</f>
        <v>6.0518000000000001</v>
      </c>
      <c r="H107" s="4">
        <f>CHOOSE( CONTROL!$C$32, 6.9908, 6.9903) * CHOOSE(CONTROL!$C$15, $D$11, 100%, $F$11)</f>
        <v>6.9908000000000001</v>
      </c>
      <c r="I107" s="8">
        <f>CHOOSE( CONTROL!$C$32, 6.0117, 6.0112) * CHOOSE(CONTROL!$C$15, $D$11, 100%, $F$11)</f>
        <v>6.0117000000000003</v>
      </c>
      <c r="J107" s="4">
        <f>CHOOSE( CONTROL!$C$32, 5.9258, 5.9254) * CHOOSE(CONTROL!$C$15, $D$11, 100%, $F$11)</f>
        <v>5.9257999999999997</v>
      </c>
      <c r="K107" s="4"/>
      <c r="L107" s="9">
        <v>30.7165</v>
      </c>
      <c r="M107" s="9">
        <v>12.063700000000001</v>
      </c>
      <c r="N107" s="9">
        <v>4.9444999999999997</v>
      </c>
      <c r="O107" s="9">
        <v>0.37409999999999999</v>
      </c>
      <c r="P107" s="9">
        <v>1.2927</v>
      </c>
      <c r="Q107" s="9">
        <v>33.011299999999999</v>
      </c>
      <c r="R107" s="9"/>
      <c r="S107" s="11"/>
    </row>
    <row r="108" spans="1:19" ht="15.75">
      <c r="A108" s="13">
        <v>44409</v>
      </c>
      <c r="B108" s="8">
        <f>CHOOSE( CONTROL!$C$32, 5.6458, 5.6453) * CHOOSE(CONTROL!$C$15, $D$11, 100%, $F$11)</f>
        <v>5.6458000000000004</v>
      </c>
      <c r="C108" s="8">
        <f>CHOOSE( CONTROL!$C$32, 5.6538, 5.6533) * CHOOSE(CONTROL!$C$15, $D$11, 100%, $F$11)</f>
        <v>5.6538000000000004</v>
      </c>
      <c r="D108" s="8">
        <f>CHOOSE( CONTROL!$C$32, 5.649, 5.6486) * CHOOSE( CONTROL!$C$15, $D$11, 100%, $F$11)</f>
        <v>5.649</v>
      </c>
      <c r="E108" s="12">
        <f>CHOOSE( CONTROL!$C$32, 5.6495, 5.6491) * CHOOSE( CONTROL!$C$15, $D$11, 100%, $F$11)</f>
        <v>5.6494999999999997</v>
      </c>
      <c r="F108" s="4">
        <f>CHOOSE( CONTROL!$C$32, 6.3527, 6.3523) * CHOOSE(CONTROL!$C$15, $D$11, 100%, $F$11)</f>
        <v>6.3526999999999996</v>
      </c>
      <c r="G108" s="8">
        <f>CHOOSE( CONTROL!$C$32, 5.5862, 5.5857) * CHOOSE( CONTROL!$C$15, $D$11, 100%, $F$11)</f>
        <v>5.5861999999999998</v>
      </c>
      <c r="H108" s="4">
        <f>CHOOSE( CONTROL!$C$32, 6.525, 6.5245) * CHOOSE(CONTROL!$C$15, $D$11, 100%, $F$11)</f>
        <v>6.5250000000000004</v>
      </c>
      <c r="I108" s="8">
        <f>CHOOSE( CONTROL!$C$32, 5.5545, 5.5541) * CHOOSE(CONTROL!$C$15, $D$11, 100%, $F$11)</f>
        <v>5.5545</v>
      </c>
      <c r="J108" s="4">
        <f>CHOOSE( CONTROL!$C$32, 5.4684, 5.468) * CHOOSE(CONTROL!$C$15, $D$11, 100%, $F$11)</f>
        <v>5.4683999999999999</v>
      </c>
      <c r="K108" s="4"/>
      <c r="L108" s="9">
        <v>30.7165</v>
      </c>
      <c r="M108" s="9">
        <v>12.063700000000001</v>
      </c>
      <c r="N108" s="9">
        <v>4.9444999999999997</v>
      </c>
      <c r="O108" s="9">
        <v>0.37409999999999999</v>
      </c>
      <c r="P108" s="9">
        <v>1.2927</v>
      </c>
      <c r="Q108" s="9">
        <v>33.011299999999999</v>
      </c>
      <c r="R108" s="9"/>
      <c r="S108" s="11"/>
    </row>
    <row r="109" spans="1:19" ht="15.75">
      <c r="A109" s="13">
        <v>44440</v>
      </c>
      <c r="B109" s="8">
        <f>CHOOSE( CONTROL!$C$32, 5.5278, 5.5273) * CHOOSE(CONTROL!$C$15, $D$11, 100%, $F$11)</f>
        <v>5.5278</v>
      </c>
      <c r="C109" s="8">
        <f>CHOOSE( CONTROL!$C$32, 5.5357, 5.5353) * CHOOSE(CONTROL!$C$15, $D$11, 100%, $F$11)</f>
        <v>5.5357000000000003</v>
      </c>
      <c r="D109" s="8">
        <f>CHOOSE( CONTROL!$C$32, 5.5309, 5.5304) * CHOOSE( CONTROL!$C$15, $D$11, 100%, $F$11)</f>
        <v>5.5308999999999999</v>
      </c>
      <c r="E109" s="12">
        <f>CHOOSE( CONTROL!$C$32, 5.5314, 5.531) * CHOOSE( CONTROL!$C$15, $D$11, 100%, $F$11)</f>
        <v>5.5313999999999997</v>
      </c>
      <c r="F109" s="4">
        <f>CHOOSE( CONTROL!$C$32, 6.2347, 6.2343) * CHOOSE(CONTROL!$C$15, $D$11, 100%, $F$11)</f>
        <v>6.2347000000000001</v>
      </c>
      <c r="G109" s="8">
        <f>CHOOSE( CONTROL!$C$32, 5.4694, 5.4689) * CHOOSE( CONTROL!$C$15, $D$11, 100%, $F$11)</f>
        <v>5.4694000000000003</v>
      </c>
      <c r="H109" s="4">
        <f>CHOOSE( CONTROL!$C$32, 6.4083, 6.4079) * CHOOSE(CONTROL!$C$15, $D$11, 100%, $F$11)</f>
        <v>6.4082999999999997</v>
      </c>
      <c r="I109" s="8">
        <f>CHOOSE( CONTROL!$C$32, 5.4394, 5.439) * CHOOSE(CONTROL!$C$15, $D$11, 100%, $F$11)</f>
        <v>5.4394</v>
      </c>
      <c r="J109" s="4">
        <f>CHOOSE( CONTROL!$C$32, 5.3539, 5.3534) * CHOOSE(CONTROL!$C$15, $D$11, 100%, $F$11)</f>
        <v>5.3539000000000003</v>
      </c>
      <c r="K109" s="4"/>
      <c r="L109" s="9">
        <v>29.7257</v>
      </c>
      <c r="M109" s="9">
        <v>11.6745</v>
      </c>
      <c r="N109" s="9">
        <v>4.7850000000000001</v>
      </c>
      <c r="O109" s="9">
        <v>0.36199999999999999</v>
      </c>
      <c r="P109" s="9">
        <v>1.2509999999999999</v>
      </c>
      <c r="Q109" s="9">
        <v>31.946400000000001</v>
      </c>
      <c r="R109" s="9"/>
      <c r="S109" s="11"/>
    </row>
    <row r="110" spans="1:19" ht="15.75">
      <c r="A110" s="13">
        <v>44470</v>
      </c>
      <c r="B110" s="8">
        <f>CHOOSE( CONTROL!$C$32, 5.7709, 5.7706) * CHOOSE(CONTROL!$C$15, $D$11, 100%, $F$11)</f>
        <v>5.7709000000000001</v>
      </c>
      <c r="C110" s="8">
        <f>CHOOSE( CONTROL!$C$32, 5.7762, 5.776) * CHOOSE(CONTROL!$C$15, $D$11, 100%, $F$11)</f>
        <v>5.7762000000000002</v>
      </c>
      <c r="D110" s="8">
        <f>CHOOSE( CONTROL!$C$32, 5.7764, 5.7762) * CHOOSE( CONTROL!$C$15, $D$11, 100%, $F$11)</f>
        <v>5.7763999999999998</v>
      </c>
      <c r="E110" s="12">
        <f>CHOOSE( CONTROL!$C$32, 5.7758, 5.7756) * CHOOSE( CONTROL!$C$15, $D$11, 100%, $F$11)</f>
        <v>5.7758000000000003</v>
      </c>
      <c r="F110" s="4">
        <f>CHOOSE( CONTROL!$C$32, 6.4796, 6.4793) * CHOOSE(CONTROL!$C$15, $D$11, 100%, $F$11)</f>
        <v>6.4795999999999996</v>
      </c>
      <c r="G110" s="8">
        <f>CHOOSE( CONTROL!$C$32, 5.7113, 5.7111) * CHOOSE( CONTROL!$C$15, $D$11, 100%, $F$11)</f>
        <v>5.7112999999999996</v>
      </c>
      <c r="H110" s="4">
        <f>CHOOSE( CONTROL!$C$32, 6.6503, 6.6501) * CHOOSE(CONTROL!$C$15, $D$11, 100%, $F$11)</f>
        <v>6.6502999999999997</v>
      </c>
      <c r="I110" s="8">
        <f>CHOOSE( CONTROL!$C$32, 5.6778, 5.6776) * CHOOSE(CONTROL!$C$15, $D$11, 100%, $F$11)</f>
        <v>5.6778000000000004</v>
      </c>
      <c r="J110" s="4">
        <f>CHOOSE( CONTROL!$C$32, 5.5915, 5.5913) * CHOOSE(CONTROL!$C$15, $D$11, 100%, $F$11)</f>
        <v>5.5914999999999999</v>
      </c>
      <c r="K110" s="4"/>
      <c r="L110" s="9">
        <v>31.095300000000002</v>
      </c>
      <c r="M110" s="9">
        <v>12.063700000000001</v>
      </c>
      <c r="N110" s="9">
        <v>4.9444999999999997</v>
      </c>
      <c r="O110" s="9">
        <v>0.37409999999999999</v>
      </c>
      <c r="P110" s="9">
        <v>1.2927</v>
      </c>
      <c r="Q110" s="9">
        <v>33.011299999999999</v>
      </c>
      <c r="R110" s="9"/>
      <c r="S110" s="11"/>
    </row>
    <row r="111" spans="1:19" ht="15.75">
      <c r="A111" s="13">
        <v>44501</v>
      </c>
      <c r="B111" s="8">
        <f>CHOOSE( CONTROL!$C$32, 6.2228, 6.2225) * CHOOSE(CONTROL!$C$15, $D$11, 100%, $F$11)</f>
        <v>6.2228000000000003</v>
      </c>
      <c r="C111" s="8">
        <f>CHOOSE( CONTROL!$C$32, 6.2279, 6.2276) * CHOOSE(CONTROL!$C$15, $D$11, 100%, $F$11)</f>
        <v>6.2279</v>
      </c>
      <c r="D111" s="8">
        <f>CHOOSE( CONTROL!$C$32, 6.1958, 6.1955) * CHOOSE( CONTROL!$C$15, $D$11, 100%, $F$11)</f>
        <v>6.1958000000000002</v>
      </c>
      <c r="E111" s="12">
        <f>CHOOSE( CONTROL!$C$32, 6.207, 6.2067) * CHOOSE( CONTROL!$C$15, $D$11, 100%, $F$11)</f>
        <v>6.2069999999999999</v>
      </c>
      <c r="F111" s="4">
        <f>CHOOSE( CONTROL!$C$32, 6.8881, 6.8878) * CHOOSE(CONTROL!$C$15, $D$11, 100%, $F$11)</f>
        <v>6.8880999999999997</v>
      </c>
      <c r="G111" s="8">
        <f>CHOOSE( CONTROL!$C$32, 6.1473, 6.147) * CHOOSE( CONTROL!$C$15, $D$11, 100%, $F$11)</f>
        <v>6.1473000000000004</v>
      </c>
      <c r="H111" s="4">
        <f>CHOOSE( CONTROL!$C$32, 7.0541, 7.0538) * CHOOSE(CONTROL!$C$15, $D$11, 100%, $F$11)</f>
        <v>7.0541</v>
      </c>
      <c r="I111" s="8">
        <f>CHOOSE( CONTROL!$C$32, 6.1679, 6.1676) * CHOOSE(CONTROL!$C$15, $D$11, 100%, $F$11)</f>
        <v>6.1679000000000004</v>
      </c>
      <c r="J111" s="4">
        <f>CHOOSE( CONTROL!$C$32, 6.0305, 6.0302) * CHOOSE(CONTROL!$C$15, $D$11, 100%, $F$11)</f>
        <v>6.0305</v>
      </c>
      <c r="K111" s="4"/>
      <c r="L111" s="9">
        <v>28.360600000000002</v>
      </c>
      <c r="M111" s="9">
        <v>11.6745</v>
      </c>
      <c r="N111" s="9">
        <v>4.7850000000000001</v>
      </c>
      <c r="O111" s="9">
        <v>0.36199999999999999</v>
      </c>
      <c r="P111" s="9">
        <v>1.2509999999999999</v>
      </c>
      <c r="Q111" s="9">
        <v>31.946400000000001</v>
      </c>
      <c r="R111" s="9"/>
      <c r="S111" s="11"/>
    </row>
    <row r="112" spans="1:19" ht="15.75">
      <c r="A112" s="13">
        <v>44531</v>
      </c>
      <c r="B112" s="8">
        <f>CHOOSE( CONTROL!$C$32, 6.2115, 6.2112) * CHOOSE(CONTROL!$C$15, $D$11, 100%, $F$11)</f>
        <v>6.2115</v>
      </c>
      <c r="C112" s="8">
        <f>CHOOSE( CONTROL!$C$32, 6.2166, 6.2163) * CHOOSE(CONTROL!$C$15, $D$11, 100%, $F$11)</f>
        <v>6.2165999999999997</v>
      </c>
      <c r="D112" s="8">
        <f>CHOOSE( CONTROL!$C$32, 6.1863, 6.186) * CHOOSE( CONTROL!$C$15, $D$11, 100%, $F$11)</f>
        <v>6.1863000000000001</v>
      </c>
      <c r="E112" s="12">
        <f>CHOOSE( CONTROL!$C$32, 6.1968, 6.1965) * CHOOSE( CONTROL!$C$15, $D$11, 100%, $F$11)</f>
        <v>6.1967999999999996</v>
      </c>
      <c r="F112" s="4">
        <f>CHOOSE( CONTROL!$C$32, 6.8768, 6.8765) * CHOOSE(CONTROL!$C$15, $D$11, 100%, $F$11)</f>
        <v>6.8768000000000002</v>
      </c>
      <c r="G112" s="8">
        <f>CHOOSE( CONTROL!$C$32, 6.1375, 6.1372) * CHOOSE( CONTROL!$C$15, $D$11, 100%, $F$11)</f>
        <v>6.1375000000000002</v>
      </c>
      <c r="H112" s="4">
        <f>CHOOSE( CONTROL!$C$32, 7.0429, 7.0426) * CHOOSE(CONTROL!$C$15, $D$11, 100%, $F$11)</f>
        <v>7.0429000000000004</v>
      </c>
      <c r="I112" s="8">
        <f>CHOOSE( CONTROL!$C$32, 6.1626, 6.1623) * CHOOSE(CONTROL!$C$15, $D$11, 100%, $F$11)</f>
        <v>6.1626000000000003</v>
      </c>
      <c r="J112" s="4">
        <f>CHOOSE( CONTROL!$C$32, 6.0195, 6.0192) * CHOOSE(CONTROL!$C$15, $D$11, 100%, $F$11)</f>
        <v>6.0194999999999999</v>
      </c>
      <c r="K112" s="4"/>
      <c r="L112" s="9">
        <v>29.306000000000001</v>
      </c>
      <c r="M112" s="9">
        <v>12.063700000000001</v>
      </c>
      <c r="N112" s="9">
        <v>4.9444999999999997</v>
      </c>
      <c r="O112" s="9">
        <v>0.37409999999999999</v>
      </c>
      <c r="P112" s="9">
        <v>1.2927</v>
      </c>
      <c r="Q112" s="9">
        <v>33.011299999999999</v>
      </c>
      <c r="R112" s="9"/>
      <c r="S112" s="11"/>
    </row>
    <row r="113" spans="1:19" ht="15.75">
      <c r="A113" s="13">
        <v>44562</v>
      </c>
      <c r="B113" s="8">
        <f>CHOOSE( CONTROL!$C$32, 6.583, 6.5828) * CHOOSE(CONTROL!$C$15, $D$11, 100%, $F$11)</f>
        <v>6.5830000000000002</v>
      </c>
      <c r="C113" s="8">
        <f>CHOOSE( CONTROL!$C$32, 6.5881, 6.5878) * CHOOSE(CONTROL!$C$15, $D$11, 100%, $F$11)</f>
        <v>6.5880999999999998</v>
      </c>
      <c r="D113" s="8">
        <f>CHOOSE( CONTROL!$C$32, 6.5857, 6.5855) * CHOOSE( CONTROL!$C$15, $D$11, 100%, $F$11)</f>
        <v>6.5857000000000001</v>
      </c>
      <c r="E113" s="12">
        <f>CHOOSE( CONTROL!$C$32, 6.586, 6.5858) * CHOOSE( CONTROL!$C$15, $D$11, 100%, $F$11)</f>
        <v>6.5860000000000003</v>
      </c>
      <c r="F113" s="4">
        <f>CHOOSE( CONTROL!$C$32, 7.2483, 7.248) * CHOOSE(CONTROL!$C$15, $D$11, 100%, $F$11)</f>
        <v>7.2483000000000004</v>
      </c>
      <c r="G113" s="8">
        <f>CHOOSE( CONTROL!$C$32, 6.5208, 6.5205) * CHOOSE( CONTROL!$C$15, $D$11, 100%, $F$11)</f>
        <v>6.5208000000000004</v>
      </c>
      <c r="H113" s="4">
        <f>CHOOSE( CONTROL!$C$32, 7.4101, 7.4098) * CHOOSE(CONTROL!$C$15, $D$11, 100%, $F$11)</f>
        <v>7.4100999999999999</v>
      </c>
      <c r="I113" s="8">
        <f>CHOOSE( CONTROL!$C$32, 6.4969, 6.4966) * CHOOSE(CONTROL!$C$15, $D$11, 100%, $F$11)</f>
        <v>6.4969000000000001</v>
      </c>
      <c r="J113" s="4">
        <f>CHOOSE( CONTROL!$C$32, 6.3801, 6.3798) * CHOOSE(CONTROL!$C$15, $D$11, 100%, $F$11)</f>
        <v>6.3800999999999997</v>
      </c>
      <c r="K113" s="4"/>
      <c r="L113" s="9">
        <v>29.306000000000001</v>
      </c>
      <c r="M113" s="9">
        <v>12.063700000000001</v>
      </c>
      <c r="N113" s="9">
        <v>4.9444999999999997</v>
      </c>
      <c r="O113" s="9">
        <v>0.37409999999999999</v>
      </c>
      <c r="P113" s="9">
        <v>1.2927</v>
      </c>
      <c r="Q113" s="9">
        <v>32.8123</v>
      </c>
      <c r="R113" s="9"/>
      <c r="S113" s="11"/>
    </row>
    <row r="114" spans="1:19" ht="15.75">
      <c r="A114" s="13">
        <v>44593</v>
      </c>
      <c r="B114" s="8">
        <f>CHOOSE( CONTROL!$C$32, 6.158, 6.1578) * CHOOSE(CONTROL!$C$15, $D$11, 100%, $F$11)</f>
        <v>6.1580000000000004</v>
      </c>
      <c r="C114" s="8">
        <f>CHOOSE( CONTROL!$C$32, 6.1631, 6.1628) * CHOOSE(CONTROL!$C$15, $D$11, 100%, $F$11)</f>
        <v>6.1631</v>
      </c>
      <c r="D114" s="8">
        <f>CHOOSE( CONTROL!$C$32, 6.1431, 6.1428) * CHOOSE( CONTROL!$C$15, $D$11, 100%, $F$11)</f>
        <v>6.1430999999999996</v>
      </c>
      <c r="E114" s="12">
        <f>CHOOSE( CONTROL!$C$32, 6.1499, 6.1496) * CHOOSE( CONTROL!$C$15, $D$11, 100%, $F$11)</f>
        <v>6.1498999999999997</v>
      </c>
      <c r="F114" s="4">
        <f>CHOOSE( CONTROL!$C$32, 6.8233, 6.8231) * CHOOSE(CONTROL!$C$15, $D$11, 100%, $F$11)</f>
        <v>6.8232999999999997</v>
      </c>
      <c r="G114" s="8">
        <f>CHOOSE( CONTROL!$C$32, 6.0896, 6.0893) * CHOOSE( CONTROL!$C$15, $D$11, 100%, $F$11)</f>
        <v>6.0895999999999999</v>
      </c>
      <c r="H114" s="4">
        <f>CHOOSE( CONTROL!$C$32, 6.9901, 6.9898) * CHOOSE(CONTROL!$C$15, $D$11, 100%, $F$11)</f>
        <v>6.9901</v>
      </c>
      <c r="I114" s="8">
        <f>CHOOSE( CONTROL!$C$32, 6.0846, 6.0844) * CHOOSE(CONTROL!$C$15, $D$11, 100%, $F$11)</f>
        <v>6.0846</v>
      </c>
      <c r="J114" s="4">
        <f>CHOOSE( CONTROL!$C$32, 5.9676, 5.9674) * CHOOSE(CONTROL!$C$15, $D$11, 100%, $F$11)</f>
        <v>5.9676</v>
      </c>
      <c r="K114" s="4"/>
      <c r="L114" s="9">
        <v>26.469899999999999</v>
      </c>
      <c r="M114" s="9">
        <v>10.8962</v>
      </c>
      <c r="N114" s="9">
        <v>4.4660000000000002</v>
      </c>
      <c r="O114" s="9">
        <v>0.33789999999999998</v>
      </c>
      <c r="P114" s="9">
        <v>1.1676</v>
      </c>
      <c r="Q114" s="9">
        <v>29.636900000000001</v>
      </c>
      <c r="R114" s="9"/>
      <c r="S114" s="11"/>
    </row>
    <row r="115" spans="1:19" ht="15.75">
      <c r="A115" s="13">
        <v>44621</v>
      </c>
      <c r="B115" s="8">
        <f>CHOOSE( CONTROL!$C$32, 6.0272, 6.0269) * CHOOSE(CONTROL!$C$15, $D$11, 100%, $F$11)</f>
        <v>6.0271999999999997</v>
      </c>
      <c r="C115" s="8">
        <f>CHOOSE( CONTROL!$C$32, 6.0322, 6.032) * CHOOSE(CONTROL!$C$15, $D$11, 100%, $F$11)</f>
        <v>6.0321999999999996</v>
      </c>
      <c r="D115" s="8">
        <f>CHOOSE( CONTROL!$C$32, 6.0022, 6.002) * CHOOSE( CONTROL!$C$15, $D$11, 100%, $F$11)</f>
        <v>6.0022000000000002</v>
      </c>
      <c r="E115" s="12">
        <f>CHOOSE( CONTROL!$C$32, 6.0126, 6.0124) * CHOOSE( CONTROL!$C$15, $D$11, 100%, $F$11)</f>
        <v>6.0125999999999999</v>
      </c>
      <c r="F115" s="4">
        <f>CHOOSE( CONTROL!$C$32, 6.6924, 6.6922) * CHOOSE(CONTROL!$C$15, $D$11, 100%, $F$11)</f>
        <v>6.6924000000000001</v>
      </c>
      <c r="G115" s="8">
        <f>CHOOSE( CONTROL!$C$32, 5.947, 5.9467) * CHOOSE( CONTROL!$C$15, $D$11, 100%, $F$11)</f>
        <v>5.9470000000000001</v>
      </c>
      <c r="H115" s="4">
        <f>CHOOSE( CONTROL!$C$32, 6.8607, 6.8604) * CHOOSE(CONTROL!$C$15, $D$11, 100%, $F$11)</f>
        <v>6.8606999999999996</v>
      </c>
      <c r="I115" s="8">
        <f>CHOOSE( CONTROL!$C$32, 5.9223, 5.9221) * CHOOSE(CONTROL!$C$15, $D$11, 100%, $F$11)</f>
        <v>5.9222999999999999</v>
      </c>
      <c r="J115" s="4">
        <f>CHOOSE( CONTROL!$C$32, 5.8406, 5.8403) * CHOOSE(CONTROL!$C$15, $D$11, 100%, $F$11)</f>
        <v>5.8406000000000002</v>
      </c>
      <c r="K115" s="4"/>
      <c r="L115" s="9">
        <v>29.306000000000001</v>
      </c>
      <c r="M115" s="9">
        <v>12.063700000000001</v>
      </c>
      <c r="N115" s="9">
        <v>4.9444999999999997</v>
      </c>
      <c r="O115" s="9">
        <v>0.37409999999999999</v>
      </c>
      <c r="P115" s="9">
        <v>1.2927</v>
      </c>
      <c r="Q115" s="9">
        <v>32.8123</v>
      </c>
      <c r="R115" s="9"/>
      <c r="S115" s="11"/>
    </row>
    <row r="116" spans="1:19" ht="15.75">
      <c r="A116" s="13">
        <v>44652</v>
      </c>
      <c r="B116" s="8">
        <f>CHOOSE( CONTROL!$C$32, 6.1194, 6.1191) * CHOOSE(CONTROL!$C$15, $D$11, 100%, $F$11)</f>
        <v>6.1193999999999997</v>
      </c>
      <c r="C116" s="8">
        <f>CHOOSE( CONTROL!$C$32, 6.1239, 6.1236) * CHOOSE(CONTROL!$C$15, $D$11, 100%, $F$11)</f>
        <v>6.1238999999999999</v>
      </c>
      <c r="D116" s="8">
        <f>CHOOSE( CONTROL!$C$32, 6.1234, 6.1231) * CHOOSE( CONTROL!$C$15, $D$11, 100%, $F$11)</f>
        <v>6.1234000000000002</v>
      </c>
      <c r="E116" s="12">
        <f>CHOOSE( CONTROL!$C$32, 6.1231, 6.1228) * CHOOSE( CONTROL!$C$15, $D$11, 100%, $F$11)</f>
        <v>6.1231</v>
      </c>
      <c r="F116" s="4">
        <f>CHOOSE( CONTROL!$C$32, 6.8277, 6.8274) * CHOOSE(CONTROL!$C$15, $D$11, 100%, $F$11)</f>
        <v>6.8277000000000001</v>
      </c>
      <c r="G116" s="8">
        <f>CHOOSE( CONTROL!$C$32, 6.0544, 6.0541) * CHOOSE( CONTROL!$C$15, $D$11, 100%, $F$11)</f>
        <v>6.0544000000000002</v>
      </c>
      <c r="H116" s="4">
        <f>CHOOSE( CONTROL!$C$32, 6.9944, 6.9941) * CHOOSE(CONTROL!$C$15, $D$11, 100%, $F$11)</f>
        <v>6.9943999999999997</v>
      </c>
      <c r="I116" s="8">
        <f>CHOOSE( CONTROL!$C$32, 6.0117, 6.0114) * CHOOSE(CONTROL!$C$15, $D$11, 100%, $F$11)</f>
        <v>6.0117000000000003</v>
      </c>
      <c r="J116" s="4">
        <f>CHOOSE( CONTROL!$C$32, 5.9294, 5.9291) * CHOOSE(CONTROL!$C$15, $D$11, 100%, $F$11)</f>
        <v>5.9294000000000002</v>
      </c>
      <c r="K116" s="4"/>
      <c r="L116" s="9">
        <v>30.092199999999998</v>
      </c>
      <c r="M116" s="9">
        <v>11.6745</v>
      </c>
      <c r="N116" s="9">
        <v>4.7850000000000001</v>
      </c>
      <c r="O116" s="9">
        <v>0.36199999999999999</v>
      </c>
      <c r="P116" s="9">
        <v>1.2509999999999999</v>
      </c>
      <c r="Q116" s="9">
        <v>31.753799999999998</v>
      </c>
      <c r="R116" s="9"/>
      <c r="S116" s="11"/>
    </row>
    <row r="117" spans="1:19" ht="15.75">
      <c r="A117" s="13">
        <v>44682</v>
      </c>
      <c r="B117" s="8">
        <f>CHOOSE( CONTROL!$C$32, 6.2837, 6.2833) * CHOOSE(CONTROL!$C$15, $D$11, 100%, $F$11)</f>
        <v>6.2836999999999996</v>
      </c>
      <c r="C117" s="8">
        <f>CHOOSE( CONTROL!$C$32, 6.2917, 6.2912) * CHOOSE(CONTROL!$C$15, $D$11, 100%, $F$11)</f>
        <v>6.2916999999999996</v>
      </c>
      <c r="D117" s="8">
        <f>CHOOSE( CONTROL!$C$32, 6.286, 6.2855) * CHOOSE( CONTROL!$C$15, $D$11, 100%, $F$11)</f>
        <v>6.2859999999999996</v>
      </c>
      <c r="E117" s="12">
        <f>CHOOSE( CONTROL!$C$32, 6.2868, 6.2864) * CHOOSE( CONTROL!$C$15, $D$11, 100%, $F$11)</f>
        <v>6.2868000000000004</v>
      </c>
      <c r="F117" s="4">
        <f>CHOOSE( CONTROL!$C$32, 6.9907, 6.9902) * CHOOSE(CONTROL!$C$15, $D$11, 100%, $F$11)</f>
        <v>6.9907000000000004</v>
      </c>
      <c r="G117" s="8">
        <f>CHOOSE( CONTROL!$C$32, 6.2158, 6.2154) * CHOOSE( CONTROL!$C$15, $D$11, 100%, $F$11)</f>
        <v>6.2157999999999998</v>
      </c>
      <c r="H117" s="4">
        <f>CHOOSE( CONTROL!$C$32, 7.1554, 7.155) * CHOOSE(CONTROL!$C$15, $D$11, 100%, $F$11)</f>
        <v>7.1554000000000002</v>
      </c>
      <c r="I117" s="8">
        <f>CHOOSE( CONTROL!$C$32, 6.1705, 6.1701) * CHOOSE(CONTROL!$C$15, $D$11, 100%, $F$11)</f>
        <v>6.1704999999999997</v>
      </c>
      <c r="J117" s="4">
        <f>CHOOSE( CONTROL!$C$32, 6.0875, 6.0871) * CHOOSE(CONTROL!$C$15, $D$11, 100%, $F$11)</f>
        <v>6.0875000000000004</v>
      </c>
      <c r="K117" s="4"/>
      <c r="L117" s="9">
        <v>30.7165</v>
      </c>
      <c r="M117" s="9">
        <v>12.063700000000001</v>
      </c>
      <c r="N117" s="9">
        <v>4.9444999999999997</v>
      </c>
      <c r="O117" s="9">
        <v>0.37409999999999999</v>
      </c>
      <c r="P117" s="9">
        <v>1.2927</v>
      </c>
      <c r="Q117" s="9">
        <v>32.8123</v>
      </c>
      <c r="R117" s="9"/>
      <c r="S117" s="11"/>
    </row>
    <row r="118" spans="1:19" ht="15.75">
      <c r="A118" s="13">
        <v>44713</v>
      </c>
      <c r="B118" s="8">
        <f>CHOOSE( CONTROL!$C$32, 6.1829, 6.1824) * CHOOSE(CONTROL!$C$15, $D$11, 100%, $F$11)</f>
        <v>6.1829000000000001</v>
      </c>
      <c r="C118" s="8">
        <f>CHOOSE( CONTROL!$C$32, 6.1908, 6.1904) * CHOOSE(CONTROL!$C$15, $D$11, 100%, $F$11)</f>
        <v>6.1908000000000003</v>
      </c>
      <c r="D118" s="8">
        <f>CHOOSE( CONTROL!$C$32, 6.1856, 6.1851) * CHOOSE( CONTROL!$C$15, $D$11, 100%, $F$11)</f>
        <v>6.1856</v>
      </c>
      <c r="E118" s="12">
        <f>CHOOSE( CONTROL!$C$32, 6.1863, 6.1858) * CHOOSE( CONTROL!$C$15, $D$11, 100%, $F$11)</f>
        <v>6.1863000000000001</v>
      </c>
      <c r="F118" s="4">
        <f>CHOOSE( CONTROL!$C$32, 6.8898, 6.8894) * CHOOSE(CONTROL!$C$15, $D$11, 100%, $F$11)</f>
        <v>6.8898000000000001</v>
      </c>
      <c r="G118" s="8">
        <f>CHOOSE( CONTROL!$C$32, 6.1165, 6.116) * CHOOSE( CONTROL!$C$15, $D$11, 100%, $F$11)</f>
        <v>6.1165000000000003</v>
      </c>
      <c r="H118" s="4">
        <f>CHOOSE( CONTROL!$C$32, 7.0558, 7.0553) * CHOOSE(CONTROL!$C$15, $D$11, 100%, $F$11)</f>
        <v>7.0557999999999996</v>
      </c>
      <c r="I118" s="8">
        <f>CHOOSE( CONTROL!$C$32, 6.074, 6.0736) * CHOOSE(CONTROL!$C$15, $D$11, 100%, $F$11)</f>
        <v>6.0739999999999998</v>
      </c>
      <c r="J118" s="4">
        <f>CHOOSE( CONTROL!$C$32, 5.9897, 5.9892) * CHOOSE(CONTROL!$C$15, $D$11, 100%, $F$11)</f>
        <v>5.9897</v>
      </c>
      <c r="K118" s="4"/>
      <c r="L118" s="9">
        <v>29.7257</v>
      </c>
      <c r="M118" s="9">
        <v>11.6745</v>
      </c>
      <c r="N118" s="9">
        <v>4.7850000000000001</v>
      </c>
      <c r="O118" s="9">
        <v>0.36199999999999999</v>
      </c>
      <c r="P118" s="9">
        <v>1.2509999999999999</v>
      </c>
      <c r="Q118" s="9">
        <v>31.753799999999998</v>
      </c>
      <c r="R118" s="9"/>
      <c r="S118" s="11"/>
    </row>
    <row r="119" spans="1:19" ht="15.75">
      <c r="A119" s="13">
        <v>44743</v>
      </c>
      <c r="B119" s="8">
        <f>CHOOSE( CONTROL!$C$32, 6.4484, 6.448) * CHOOSE(CONTROL!$C$15, $D$11, 100%, $F$11)</f>
        <v>6.4484000000000004</v>
      </c>
      <c r="C119" s="8">
        <f>CHOOSE( CONTROL!$C$32, 6.4564, 6.4559) * CHOOSE(CONTROL!$C$15, $D$11, 100%, $F$11)</f>
        <v>6.4564000000000004</v>
      </c>
      <c r="D119" s="8">
        <f>CHOOSE( CONTROL!$C$32, 6.4516, 6.4511) * CHOOSE( CONTROL!$C$15, $D$11, 100%, $F$11)</f>
        <v>6.4516</v>
      </c>
      <c r="E119" s="12">
        <f>CHOOSE( CONTROL!$C$32, 6.4521, 6.4516) * CHOOSE( CONTROL!$C$15, $D$11, 100%, $F$11)</f>
        <v>6.4520999999999997</v>
      </c>
      <c r="F119" s="4">
        <f>CHOOSE( CONTROL!$C$32, 7.1554, 7.1549) * CHOOSE(CONTROL!$C$15, $D$11, 100%, $F$11)</f>
        <v>7.1554000000000002</v>
      </c>
      <c r="G119" s="8">
        <f>CHOOSE( CONTROL!$C$32, 6.3793, 6.3788) * CHOOSE( CONTROL!$C$15, $D$11, 100%, $F$11)</f>
        <v>6.3792999999999997</v>
      </c>
      <c r="H119" s="4">
        <f>CHOOSE( CONTROL!$C$32, 7.3182, 7.3178) * CHOOSE(CONTROL!$C$15, $D$11, 100%, $F$11)</f>
        <v>7.3182</v>
      </c>
      <c r="I119" s="8">
        <f>CHOOSE( CONTROL!$C$32, 6.3334, 6.333) * CHOOSE(CONTROL!$C$15, $D$11, 100%, $F$11)</f>
        <v>6.3334000000000001</v>
      </c>
      <c r="J119" s="4">
        <f>CHOOSE( CONTROL!$C$32, 6.2474, 6.2469) * CHOOSE(CONTROL!$C$15, $D$11, 100%, $F$11)</f>
        <v>6.2473999999999998</v>
      </c>
      <c r="K119" s="4"/>
      <c r="L119" s="9">
        <v>30.7165</v>
      </c>
      <c r="M119" s="9">
        <v>12.063700000000001</v>
      </c>
      <c r="N119" s="9">
        <v>4.9444999999999997</v>
      </c>
      <c r="O119" s="9">
        <v>0.37409999999999999</v>
      </c>
      <c r="P119" s="9">
        <v>1.2927</v>
      </c>
      <c r="Q119" s="9">
        <v>32.8123</v>
      </c>
      <c r="R119" s="9"/>
      <c r="S119" s="11"/>
    </row>
    <row r="120" spans="1:19" ht="15.75">
      <c r="A120" s="13">
        <v>44774</v>
      </c>
      <c r="B120" s="8">
        <f>CHOOSE( CONTROL!$C$32, 5.9516, 5.9511) * CHOOSE(CONTROL!$C$15, $D$11, 100%, $F$11)</f>
        <v>5.9516</v>
      </c>
      <c r="C120" s="8">
        <f>CHOOSE( CONTROL!$C$32, 5.9595, 5.9591) * CHOOSE(CONTROL!$C$15, $D$11, 100%, $F$11)</f>
        <v>5.9595000000000002</v>
      </c>
      <c r="D120" s="8">
        <f>CHOOSE( CONTROL!$C$32, 5.9548, 5.9544) * CHOOSE( CONTROL!$C$15, $D$11, 100%, $F$11)</f>
        <v>5.9547999999999996</v>
      </c>
      <c r="E120" s="12">
        <f>CHOOSE( CONTROL!$C$32, 5.9553, 5.9549) * CHOOSE( CONTROL!$C$15, $D$11, 100%, $F$11)</f>
        <v>5.9553000000000003</v>
      </c>
      <c r="F120" s="4">
        <f>CHOOSE( CONTROL!$C$32, 6.6585, 6.658) * CHOOSE(CONTROL!$C$15, $D$11, 100%, $F$11)</f>
        <v>6.6585000000000001</v>
      </c>
      <c r="G120" s="8">
        <f>CHOOSE( CONTROL!$C$32, 5.8883, 5.8879) * CHOOSE( CONTROL!$C$15, $D$11, 100%, $F$11)</f>
        <v>5.8883000000000001</v>
      </c>
      <c r="H120" s="4">
        <f>CHOOSE( CONTROL!$C$32, 6.8272, 6.8267) * CHOOSE(CONTROL!$C$15, $D$11, 100%, $F$11)</f>
        <v>6.8272000000000004</v>
      </c>
      <c r="I120" s="8">
        <f>CHOOSE( CONTROL!$C$32, 5.8514, 5.851) * CHOOSE(CONTROL!$C$15, $D$11, 100%, $F$11)</f>
        <v>5.8513999999999999</v>
      </c>
      <c r="J120" s="4">
        <f>CHOOSE( CONTROL!$C$32, 5.7652, 5.7647) * CHOOSE(CONTROL!$C$15, $D$11, 100%, $F$11)</f>
        <v>5.7652000000000001</v>
      </c>
      <c r="K120" s="4"/>
      <c r="L120" s="9">
        <v>30.7165</v>
      </c>
      <c r="M120" s="9">
        <v>12.063700000000001</v>
      </c>
      <c r="N120" s="9">
        <v>4.9444999999999997</v>
      </c>
      <c r="O120" s="9">
        <v>0.37409999999999999</v>
      </c>
      <c r="P120" s="9">
        <v>1.2927</v>
      </c>
      <c r="Q120" s="9">
        <v>32.8123</v>
      </c>
      <c r="R120" s="9"/>
      <c r="S120" s="11"/>
    </row>
    <row r="121" spans="1:19" ht="15.75">
      <c r="A121" s="13">
        <v>44805</v>
      </c>
      <c r="B121" s="8">
        <f>CHOOSE( CONTROL!$C$32, 5.8271, 5.8267) * CHOOSE(CONTROL!$C$15, $D$11, 100%, $F$11)</f>
        <v>5.8270999999999997</v>
      </c>
      <c r="C121" s="8">
        <f>CHOOSE( CONTROL!$C$32, 5.8351, 5.8346) * CHOOSE(CONTROL!$C$15, $D$11, 100%, $F$11)</f>
        <v>5.8350999999999997</v>
      </c>
      <c r="D121" s="8">
        <f>CHOOSE( CONTROL!$C$32, 5.8302, 5.8298) * CHOOSE( CONTROL!$C$15, $D$11, 100%, $F$11)</f>
        <v>5.8301999999999996</v>
      </c>
      <c r="E121" s="12">
        <f>CHOOSE( CONTROL!$C$32, 5.8308, 5.8303) * CHOOSE( CONTROL!$C$15, $D$11, 100%, $F$11)</f>
        <v>5.8308</v>
      </c>
      <c r="F121" s="4">
        <f>CHOOSE( CONTROL!$C$32, 6.5341, 6.5336) * CHOOSE(CONTROL!$C$15, $D$11, 100%, $F$11)</f>
        <v>6.5340999999999996</v>
      </c>
      <c r="G121" s="8">
        <f>CHOOSE( CONTROL!$C$32, 5.7653, 5.7648) * CHOOSE( CONTROL!$C$15, $D$11, 100%, $F$11)</f>
        <v>5.7652999999999999</v>
      </c>
      <c r="H121" s="4">
        <f>CHOOSE( CONTROL!$C$32, 6.7042, 6.7037) * CHOOSE(CONTROL!$C$15, $D$11, 100%, $F$11)</f>
        <v>6.7042000000000002</v>
      </c>
      <c r="I121" s="8">
        <f>CHOOSE( CONTROL!$C$32, 5.7301, 5.7296) * CHOOSE(CONTROL!$C$15, $D$11, 100%, $F$11)</f>
        <v>5.7301000000000002</v>
      </c>
      <c r="J121" s="4">
        <f>CHOOSE( CONTROL!$C$32, 5.6444, 5.644) * CHOOSE(CONTROL!$C$15, $D$11, 100%, $F$11)</f>
        <v>5.6444000000000001</v>
      </c>
      <c r="K121" s="4"/>
      <c r="L121" s="9">
        <v>29.7257</v>
      </c>
      <c r="M121" s="9">
        <v>11.6745</v>
      </c>
      <c r="N121" s="9">
        <v>4.7850000000000001</v>
      </c>
      <c r="O121" s="9">
        <v>0.36199999999999999</v>
      </c>
      <c r="P121" s="9">
        <v>1.2509999999999999</v>
      </c>
      <c r="Q121" s="9">
        <v>31.753799999999998</v>
      </c>
      <c r="R121" s="9"/>
      <c r="S121" s="11"/>
    </row>
    <row r="122" spans="1:19" ht="15.75">
      <c r="A122" s="13">
        <v>44835</v>
      </c>
      <c r="B122" s="8">
        <f>CHOOSE( CONTROL!$C$32, 6.0836, 6.0833) * CHOOSE(CONTROL!$C$15, $D$11, 100%, $F$11)</f>
        <v>6.0835999999999997</v>
      </c>
      <c r="C122" s="8">
        <f>CHOOSE( CONTROL!$C$32, 6.0889, 6.0886) * CHOOSE(CONTROL!$C$15, $D$11, 100%, $F$11)</f>
        <v>6.0888999999999998</v>
      </c>
      <c r="D122" s="8">
        <f>CHOOSE( CONTROL!$C$32, 6.0891, 6.0888) * CHOOSE( CONTROL!$C$15, $D$11, 100%, $F$11)</f>
        <v>6.0891000000000002</v>
      </c>
      <c r="E122" s="12">
        <f>CHOOSE( CONTROL!$C$32, 6.0885, 6.0882) * CHOOSE( CONTROL!$C$15, $D$11, 100%, $F$11)</f>
        <v>6.0884999999999998</v>
      </c>
      <c r="F122" s="4">
        <f>CHOOSE( CONTROL!$C$32, 6.7922, 6.792) * CHOOSE(CONTROL!$C$15, $D$11, 100%, $F$11)</f>
        <v>6.7922000000000002</v>
      </c>
      <c r="G122" s="8">
        <f>CHOOSE( CONTROL!$C$32, 6.0203, 6.0201) * CHOOSE( CONTROL!$C$15, $D$11, 100%, $F$11)</f>
        <v>6.0202999999999998</v>
      </c>
      <c r="H122" s="4">
        <f>CHOOSE( CONTROL!$C$32, 6.9593, 6.9591) * CHOOSE(CONTROL!$C$15, $D$11, 100%, $F$11)</f>
        <v>6.9592999999999998</v>
      </c>
      <c r="I122" s="8">
        <f>CHOOSE( CONTROL!$C$32, 5.9814, 5.9812) * CHOOSE(CONTROL!$C$15, $D$11, 100%, $F$11)</f>
        <v>5.9813999999999998</v>
      </c>
      <c r="J122" s="4">
        <f>CHOOSE( CONTROL!$C$32, 5.895, 5.8947) * CHOOSE(CONTROL!$C$15, $D$11, 100%, $F$11)</f>
        <v>5.8949999999999996</v>
      </c>
      <c r="K122" s="4"/>
      <c r="L122" s="9">
        <v>31.095300000000002</v>
      </c>
      <c r="M122" s="9">
        <v>12.063700000000001</v>
      </c>
      <c r="N122" s="9">
        <v>4.9444999999999997</v>
      </c>
      <c r="O122" s="9">
        <v>0.37409999999999999</v>
      </c>
      <c r="P122" s="9">
        <v>1.2927</v>
      </c>
      <c r="Q122" s="9">
        <v>32.8123</v>
      </c>
      <c r="R122" s="9"/>
      <c r="S122" s="11"/>
    </row>
    <row r="123" spans="1:19" ht="15.75">
      <c r="A123" s="13">
        <v>44866</v>
      </c>
      <c r="B123" s="8">
        <f>CHOOSE( CONTROL!$C$32, 6.56, 6.5597) * CHOOSE(CONTROL!$C$15, $D$11, 100%, $F$11)</f>
        <v>6.56</v>
      </c>
      <c r="C123" s="8">
        <f>CHOOSE( CONTROL!$C$32, 6.5651, 6.5648) * CHOOSE(CONTROL!$C$15, $D$11, 100%, $F$11)</f>
        <v>6.5651000000000002</v>
      </c>
      <c r="D123" s="8">
        <f>CHOOSE( CONTROL!$C$32, 6.533, 6.5327) * CHOOSE( CONTROL!$C$15, $D$11, 100%, $F$11)</f>
        <v>6.5330000000000004</v>
      </c>
      <c r="E123" s="12">
        <f>CHOOSE( CONTROL!$C$32, 6.5442, 6.5439) * CHOOSE( CONTROL!$C$15, $D$11, 100%, $F$11)</f>
        <v>6.5442</v>
      </c>
      <c r="F123" s="4">
        <f>CHOOSE( CONTROL!$C$32, 7.2253, 7.225) * CHOOSE(CONTROL!$C$15, $D$11, 100%, $F$11)</f>
        <v>7.2252999999999998</v>
      </c>
      <c r="G123" s="8">
        <f>CHOOSE( CONTROL!$C$32, 6.4806, 6.4803) * CHOOSE( CONTROL!$C$15, $D$11, 100%, $F$11)</f>
        <v>6.4805999999999999</v>
      </c>
      <c r="H123" s="4">
        <f>CHOOSE( CONTROL!$C$32, 7.3873, 7.3871) * CHOOSE(CONTROL!$C$15, $D$11, 100%, $F$11)</f>
        <v>7.3872999999999998</v>
      </c>
      <c r="I123" s="8">
        <f>CHOOSE( CONTROL!$C$32, 6.4953, 6.495) * CHOOSE(CONTROL!$C$15, $D$11, 100%, $F$11)</f>
        <v>6.4953000000000003</v>
      </c>
      <c r="J123" s="4">
        <f>CHOOSE( CONTROL!$C$32, 6.3577, 6.3575) * CHOOSE(CONTROL!$C$15, $D$11, 100%, $F$11)</f>
        <v>6.3577000000000004</v>
      </c>
      <c r="K123" s="4"/>
      <c r="L123" s="9">
        <v>28.360600000000002</v>
      </c>
      <c r="M123" s="9">
        <v>11.6745</v>
      </c>
      <c r="N123" s="9">
        <v>4.7850000000000001</v>
      </c>
      <c r="O123" s="9">
        <v>0.36199999999999999</v>
      </c>
      <c r="P123" s="9">
        <v>1.2509999999999999</v>
      </c>
      <c r="Q123" s="9">
        <v>31.753799999999998</v>
      </c>
      <c r="R123" s="9"/>
      <c r="S123" s="11"/>
    </row>
    <row r="124" spans="1:19" ht="15.75">
      <c r="A124" s="13">
        <v>44896</v>
      </c>
      <c r="B124" s="8">
        <f>CHOOSE( CONTROL!$C$32, 6.5481, 6.5478) * CHOOSE(CONTROL!$C$15, $D$11, 100%, $F$11)</f>
        <v>6.5480999999999998</v>
      </c>
      <c r="C124" s="8">
        <f>CHOOSE( CONTROL!$C$32, 6.5532, 6.5529) * CHOOSE(CONTROL!$C$15, $D$11, 100%, $F$11)</f>
        <v>6.5532000000000004</v>
      </c>
      <c r="D124" s="8">
        <f>CHOOSE( CONTROL!$C$32, 6.5229, 6.5226) * CHOOSE( CONTROL!$C$15, $D$11, 100%, $F$11)</f>
        <v>6.5228999999999999</v>
      </c>
      <c r="E124" s="12">
        <f>CHOOSE( CONTROL!$C$32, 6.5334, 6.5331) * CHOOSE( CONTROL!$C$15, $D$11, 100%, $F$11)</f>
        <v>6.5334000000000003</v>
      </c>
      <c r="F124" s="4">
        <f>CHOOSE( CONTROL!$C$32, 7.2134, 7.2131) * CHOOSE(CONTROL!$C$15, $D$11, 100%, $F$11)</f>
        <v>7.2134</v>
      </c>
      <c r="G124" s="8">
        <f>CHOOSE( CONTROL!$C$32, 6.4701, 6.4698) * CHOOSE( CONTROL!$C$15, $D$11, 100%, $F$11)</f>
        <v>6.4701000000000004</v>
      </c>
      <c r="H124" s="4">
        <f>CHOOSE( CONTROL!$C$32, 7.3756, 7.3753) * CHOOSE(CONTROL!$C$15, $D$11, 100%, $F$11)</f>
        <v>7.3756000000000004</v>
      </c>
      <c r="I124" s="8">
        <f>CHOOSE( CONTROL!$C$32, 6.4894, 6.4892) * CHOOSE(CONTROL!$C$15, $D$11, 100%, $F$11)</f>
        <v>6.4893999999999998</v>
      </c>
      <c r="J124" s="4">
        <f>CHOOSE( CONTROL!$C$32, 6.3462, 6.3459) * CHOOSE(CONTROL!$C$15, $D$11, 100%, $F$11)</f>
        <v>6.3461999999999996</v>
      </c>
      <c r="K124" s="4"/>
      <c r="L124" s="9">
        <v>29.306000000000001</v>
      </c>
      <c r="M124" s="9">
        <v>12.063700000000001</v>
      </c>
      <c r="N124" s="9">
        <v>4.9444999999999997</v>
      </c>
      <c r="O124" s="9">
        <v>0.37409999999999999</v>
      </c>
      <c r="P124" s="9">
        <v>1.2927</v>
      </c>
      <c r="Q124" s="9">
        <v>32.8123</v>
      </c>
      <c r="R124" s="9"/>
      <c r="S124" s="11"/>
    </row>
    <row r="125" spans="1:19" ht="15.75">
      <c r="A125" s="13">
        <v>44927</v>
      </c>
      <c r="B125" s="8">
        <f>CHOOSE( CONTROL!$C$32, 6.8375, 6.8372) * CHOOSE(CONTROL!$C$15, $D$11, 100%, $F$11)</f>
        <v>6.8375000000000004</v>
      </c>
      <c r="C125" s="8">
        <f>CHOOSE( CONTROL!$C$32, 6.8425, 6.8423) * CHOOSE(CONTROL!$C$15, $D$11, 100%, $F$11)</f>
        <v>6.8425000000000002</v>
      </c>
      <c r="D125" s="8">
        <f>CHOOSE( CONTROL!$C$32, 6.8402, 6.8399) * CHOOSE( CONTROL!$C$15, $D$11, 100%, $F$11)</f>
        <v>6.8402000000000003</v>
      </c>
      <c r="E125" s="12">
        <f>CHOOSE( CONTROL!$C$32, 6.8405, 6.8402) * CHOOSE( CONTROL!$C$15, $D$11, 100%, $F$11)</f>
        <v>6.8404999999999996</v>
      </c>
      <c r="F125" s="4">
        <f>CHOOSE( CONTROL!$C$32, 7.5027, 7.5025) * CHOOSE(CONTROL!$C$15, $D$11, 100%, $F$11)</f>
        <v>7.5026999999999999</v>
      </c>
      <c r="G125" s="8">
        <f>CHOOSE( CONTROL!$C$32, 6.7722, 6.7719) * CHOOSE( CONTROL!$C$15, $D$11, 100%, $F$11)</f>
        <v>6.7721999999999998</v>
      </c>
      <c r="H125" s="4">
        <f>CHOOSE( CONTROL!$C$32, 7.6615, 7.6613) * CHOOSE(CONTROL!$C$15, $D$11, 100%, $F$11)</f>
        <v>7.6615000000000002</v>
      </c>
      <c r="I125" s="8">
        <f>CHOOSE( CONTROL!$C$32, 6.7439, 6.7437) * CHOOSE(CONTROL!$C$15, $D$11, 100%, $F$11)</f>
        <v>6.7439</v>
      </c>
      <c r="J125" s="4">
        <f>CHOOSE( CONTROL!$C$32, 6.627, 6.6267) * CHOOSE(CONTROL!$C$15, $D$11, 100%, $F$11)</f>
        <v>6.6269999999999998</v>
      </c>
      <c r="K125" s="4"/>
      <c r="L125" s="9">
        <v>29.306000000000001</v>
      </c>
      <c r="M125" s="9">
        <v>12.063700000000001</v>
      </c>
      <c r="N125" s="9">
        <v>4.9444999999999997</v>
      </c>
      <c r="O125" s="9">
        <v>0.37409999999999999</v>
      </c>
      <c r="P125" s="9">
        <v>1.2927</v>
      </c>
      <c r="Q125" s="9">
        <v>32.624400000000001</v>
      </c>
      <c r="R125" s="9"/>
      <c r="S125" s="11"/>
    </row>
    <row r="126" spans="1:19" ht="15.75">
      <c r="A126" s="13">
        <v>44958</v>
      </c>
      <c r="B126" s="8">
        <f>CHOOSE( CONTROL!$C$32, 6.396, 6.3958) * CHOOSE(CONTROL!$C$15, $D$11, 100%, $F$11)</f>
        <v>6.3959999999999999</v>
      </c>
      <c r="C126" s="8">
        <f>CHOOSE( CONTROL!$C$32, 6.4011, 6.4008) * CHOOSE(CONTROL!$C$15, $D$11, 100%, $F$11)</f>
        <v>6.4010999999999996</v>
      </c>
      <c r="D126" s="8">
        <f>CHOOSE( CONTROL!$C$32, 6.3811, 6.3808) * CHOOSE( CONTROL!$C$15, $D$11, 100%, $F$11)</f>
        <v>6.3811</v>
      </c>
      <c r="E126" s="12">
        <f>CHOOSE( CONTROL!$C$32, 6.3879, 6.3876) * CHOOSE( CONTROL!$C$15, $D$11, 100%, $F$11)</f>
        <v>6.3879000000000001</v>
      </c>
      <c r="F126" s="4">
        <f>CHOOSE( CONTROL!$C$32, 7.0613, 7.061) * CHOOSE(CONTROL!$C$15, $D$11, 100%, $F$11)</f>
        <v>7.0613000000000001</v>
      </c>
      <c r="G126" s="8">
        <f>CHOOSE( CONTROL!$C$32, 6.3248, 6.3246) * CHOOSE( CONTROL!$C$15, $D$11, 100%, $F$11)</f>
        <v>6.3247999999999998</v>
      </c>
      <c r="H126" s="4">
        <f>CHOOSE( CONTROL!$C$32, 7.2253, 7.225) * CHOOSE(CONTROL!$C$15, $D$11, 100%, $F$11)</f>
        <v>7.2252999999999998</v>
      </c>
      <c r="I126" s="8">
        <f>CHOOSE( CONTROL!$C$32, 6.3157, 6.3155) * CHOOSE(CONTROL!$C$15, $D$11, 100%, $F$11)</f>
        <v>6.3156999999999996</v>
      </c>
      <c r="J126" s="4">
        <f>CHOOSE( CONTROL!$C$32, 6.1986, 6.1983) * CHOOSE(CONTROL!$C$15, $D$11, 100%, $F$11)</f>
        <v>6.1985999999999999</v>
      </c>
      <c r="K126" s="4"/>
      <c r="L126" s="9">
        <v>26.469899999999999</v>
      </c>
      <c r="M126" s="9">
        <v>10.8962</v>
      </c>
      <c r="N126" s="9">
        <v>4.4660000000000002</v>
      </c>
      <c r="O126" s="9">
        <v>0.33789999999999998</v>
      </c>
      <c r="P126" s="9">
        <v>1.1676</v>
      </c>
      <c r="Q126" s="9">
        <v>29.467199999999998</v>
      </c>
      <c r="R126" s="9"/>
      <c r="S126" s="11"/>
    </row>
    <row r="127" spans="1:19" ht="15.75">
      <c r="A127" s="13">
        <v>44986</v>
      </c>
      <c r="B127" s="8">
        <f>CHOOSE( CONTROL!$C$32, 6.2601, 6.2598) * CHOOSE(CONTROL!$C$15, $D$11, 100%, $F$11)</f>
        <v>6.2601000000000004</v>
      </c>
      <c r="C127" s="8">
        <f>CHOOSE( CONTROL!$C$32, 6.2652, 6.2649) * CHOOSE(CONTROL!$C$15, $D$11, 100%, $F$11)</f>
        <v>6.2652000000000001</v>
      </c>
      <c r="D127" s="8">
        <f>CHOOSE( CONTROL!$C$32, 6.2352, 6.2349) * CHOOSE( CONTROL!$C$15, $D$11, 100%, $F$11)</f>
        <v>6.2351999999999999</v>
      </c>
      <c r="E127" s="12">
        <f>CHOOSE( CONTROL!$C$32, 6.2456, 6.2453) * CHOOSE( CONTROL!$C$15, $D$11, 100%, $F$11)</f>
        <v>6.2455999999999996</v>
      </c>
      <c r="F127" s="4">
        <f>CHOOSE( CONTROL!$C$32, 6.9254, 6.9251) * CHOOSE(CONTROL!$C$15, $D$11, 100%, $F$11)</f>
        <v>6.9253999999999998</v>
      </c>
      <c r="G127" s="8">
        <f>CHOOSE( CONTROL!$C$32, 6.1772, 6.1769) * CHOOSE( CONTROL!$C$15, $D$11, 100%, $F$11)</f>
        <v>6.1772</v>
      </c>
      <c r="H127" s="4">
        <f>CHOOSE( CONTROL!$C$32, 7.0909, 7.0906) * CHOOSE(CONTROL!$C$15, $D$11, 100%, $F$11)</f>
        <v>7.0909000000000004</v>
      </c>
      <c r="I127" s="8">
        <f>CHOOSE( CONTROL!$C$32, 6.1485, 6.1482) * CHOOSE(CONTROL!$C$15, $D$11, 100%, $F$11)</f>
        <v>6.1485000000000003</v>
      </c>
      <c r="J127" s="4">
        <f>CHOOSE( CONTROL!$C$32, 6.0667, 6.0664) * CHOOSE(CONTROL!$C$15, $D$11, 100%, $F$11)</f>
        <v>6.0667</v>
      </c>
      <c r="K127" s="4"/>
      <c r="L127" s="9">
        <v>29.306000000000001</v>
      </c>
      <c r="M127" s="9">
        <v>12.063700000000001</v>
      </c>
      <c r="N127" s="9">
        <v>4.9444999999999997</v>
      </c>
      <c r="O127" s="9">
        <v>0.37409999999999999</v>
      </c>
      <c r="P127" s="9">
        <v>1.2927</v>
      </c>
      <c r="Q127" s="9">
        <v>32.624400000000001</v>
      </c>
      <c r="R127" s="9"/>
      <c r="S127" s="11"/>
    </row>
    <row r="128" spans="1:19" ht="15.75">
      <c r="A128" s="13">
        <v>45017</v>
      </c>
      <c r="B128" s="8">
        <f>CHOOSE( CONTROL!$C$32, 6.3558, 6.3556) * CHOOSE(CONTROL!$C$15, $D$11, 100%, $F$11)</f>
        <v>6.3558000000000003</v>
      </c>
      <c r="C128" s="8">
        <f>CHOOSE( CONTROL!$C$32, 6.3604, 6.3601) * CHOOSE(CONTROL!$C$15, $D$11, 100%, $F$11)</f>
        <v>6.3604000000000003</v>
      </c>
      <c r="D128" s="8">
        <f>CHOOSE( CONTROL!$C$32, 6.3599, 6.3596) * CHOOSE( CONTROL!$C$15, $D$11, 100%, $F$11)</f>
        <v>6.3598999999999997</v>
      </c>
      <c r="E128" s="12">
        <f>CHOOSE( CONTROL!$C$32, 6.3595, 6.3593) * CHOOSE( CONTROL!$C$15, $D$11, 100%, $F$11)</f>
        <v>6.3594999999999997</v>
      </c>
      <c r="F128" s="4">
        <f>CHOOSE( CONTROL!$C$32, 7.0642, 7.0639) * CHOOSE(CONTROL!$C$15, $D$11, 100%, $F$11)</f>
        <v>7.0641999999999996</v>
      </c>
      <c r="G128" s="8">
        <f>CHOOSE( CONTROL!$C$32, 6.2881, 6.2878) * CHOOSE( CONTROL!$C$15, $D$11, 100%, $F$11)</f>
        <v>6.2881</v>
      </c>
      <c r="H128" s="4">
        <f>CHOOSE( CONTROL!$C$32, 7.2281, 7.2278) * CHOOSE(CONTROL!$C$15, $D$11, 100%, $F$11)</f>
        <v>7.2281000000000004</v>
      </c>
      <c r="I128" s="8">
        <f>CHOOSE( CONTROL!$C$32, 6.2413, 6.241) * CHOOSE(CONTROL!$C$15, $D$11, 100%, $F$11)</f>
        <v>6.2412999999999998</v>
      </c>
      <c r="J128" s="4">
        <f>CHOOSE( CONTROL!$C$32, 6.1589, 6.1586) * CHOOSE(CONTROL!$C$15, $D$11, 100%, $F$11)</f>
        <v>6.1589</v>
      </c>
      <c r="K128" s="4"/>
      <c r="L128" s="9">
        <v>30.092199999999998</v>
      </c>
      <c r="M128" s="9">
        <v>11.6745</v>
      </c>
      <c r="N128" s="9">
        <v>4.7850000000000001</v>
      </c>
      <c r="O128" s="9">
        <v>0.36199999999999999</v>
      </c>
      <c r="P128" s="9">
        <v>1.2509999999999999</v>
      </c>
      <c r="Q128" s="9">
        <v>31.571999999999999</v>
      </c>
      <c r="R128" s="9"/>
      <c r="S128" s="11"/>
    </row>
    <row r="129" spans="1:19" ht="15.75">
      <c r="A129" s="13">
        <v>45047</v>
      </c>
      <c r="B129" s="8">
        <f>CHOOSE( CONTROL!$C$32, 6.5265, 6.526) * CHOOSE(CONTROL!$C$15, $D$11, 100%, $F$11)</f>
        <v>6.5265000000000004</v>
      </c>
      <c r="C129" s="8">
        <f>CHOOSE( CONTROL!$C$32, 6.5345, 6.534) * CHOOSE(CONTROL!$C$15, $D$11, 100%, $F$11)</f>
        <v>6.5345000000000004</v>
      </c>
      <c r="D129" s="8">
        <f>CHOOSE( CONTROL!$C$32, 6.5288, 6.5283) * CHOOSE( CONTROL!$C$15, $D$11, 100%, $F$11)</f>
        <v>6.5288000000000004</v>
      </c>
      <c r="E129" s="12">
        <f>CHOOSE( CONTROL!$C$32, 6.5296, 6.5291) * CHOOSE( CONTROL!$C$15, $D$11, 100%, $F$11)</f>
        <v>6.5296000000000003</v>
      </c>
      <c r="F129" s="4">
        <f>CHOOSE( CONTROL!$C$32, 7.2334, 7.233) * CHOOSE(CONTROL!$C$15, $D$11, 100%, $F$11)</f>
        <v>7.2333999999999996</v>
      </c>
      <c r="G129" s="8">
        <f>CHOOSE( CONTROL!$C$32, 6.4557, 6.4553) * CHOOSE( CONTROL!$C$15, $D$11, 100%, $F$11)</f>
        <v>6.4557000000000002</v>
      </c>
      <c r="H129" s="4">
        <f>CHOOSE( CONTROL!$C$32, 7.3954, 7.3949) * CHOOSE(CONTROL!$C$15, $D$11, 100%, $F$11)</f>
        <v>7.3954000000000004</v>
      </c>
      <c r="I129" s="8">
        <f>CHOOSE( CONTROL!$C$32, 6.4062, 6.4058) * CHOOSE(CONTROL!$C$15, $D$11, 100%, $F$11)</f>
        <v>6.4062000000000001</v>
      </c>
      <c r="J129" s="4">
        <f>CHOOSE( CONTROL!$C$32, 6.3231, 6.3227) * CHOOSE(CONTROL!$C$15, $D$11, 100%, $F$11)</f>
        <v>6.3231000000000002</v>
      </c>
      <c r="K129" s="4"/>
      <c r="L129" s="9">
        <v>30.7165</v>
      </c>
      <c r="M129" s="9">
        <v>12.063700000000001</v>
      </c>
      <c r="N129" s="9">
        <v>4.9444999999999997</v>
      </c>
      <c r="O129" s="9">
        <v>0.37409999999999999</v>
      </c>
      <c r="P129" s="9">
        <v>1.2927</v>
      </c>
      <c r="Q129" s="9">
        <v>32.624400000000001</v>
      </c>
      <c r="R129" s="9"/>
      <c r="S129" s="11"/>
    </row>
    <row r="130" spans="1:19" ht="15.75">
      <c r="A130" s="13">
        <v>45078</v>
      </c>
      <c r="B130" s="8">
        <f>CHOOSE( CONTROL!$C$32, 6.4217, 6.4213) * CHOOSE(CONTROL!$C$15, $D$11, 100%, $F$11)</f>
        <v>6.4217000000000004</v>
      </c>
      <c r="C130" s="8">
        <f>CHOOSE( CONTROL!$C$32, 6.4297, 6.4293) * CHOOSE(CONTROL!$C$15, $D$11, 100%, $F$11)</f>
        <v>6.4297000000000004</v>
      </c>
      <c r="D130" s="8">
        <f>CHOOSE( CONTROL!$C$32, 6.4244, 6.424) * CHOOSE( CONTROL!$C$15, $D$11, 100%, $F$11)</f>
        <v>6.4244000000000003</v>
      </c>
      <c r="E130" s="12">
        <f>CHOOSE( CONTROL!$C$32, 6.4251, 6.4247) * CHOOSE( CONTROL!$C$15, $D$11, 100%, $F$11)</f>
        <v>6.4250999999999996</v>
      </c>
      <c r="F130" s="4">
        <f>CHOOSE( CONTROL!$C$32, 7.1287, 7.1282) * CHOOSE(CONTROL!$C$15, $D$11, 100%, $F$11)</f>
        <v>7.1287000000000003</v>
      </c>
      <c r="G130" s="8">
        <f>CHOOSE( CONTROL!$C$32, 6.3526, 6.3521) * CHOOSE( CONTROL!$C$15, $D$11, 100%, $F$11)</f>
        <v>6.3525999999999998</v>
      </c>
      <c r="H130" s="4">
        <f>CHOOSE( CONTROL!$C$32, 7.2918, 7.2914) * CHOOSE(CONTROL!$C$15, $D$11, 100%, $F$11)</f>
        <v>7.2918000000000003</v>
      </c>
      <c r="I130" s="8">
        <f>CHOOSE( CONTROL!$C$32, 6.3059, 6.3055) * CHOOSE(CONTROL!$C$15, $D$11, 100%, $F$11)</f>
        <v>6.3059000000000003</v>
      </c>
      <c r="J130" s="4">
        <f>CHOOSE( CONTROL!$C$32, 6.2215, 6.221) * CHOOSE(CONTROL!$C$15, $D$11, 100%, $F$11)</f>
        <v>6.2214999999999998</v>
      </c>
      <c r="K130" s="4"/>
      <c r="L130" s="9">
        <v>29.7257</v>
      </c>
      <c r="M130" s="9">
        <v>11.6745</v>
      </c>
      <c r="N130" s="9">
        <v>4.7850000000000001</v>
      </c>
      <c r="O130" s="9">
        <v>0.36199999999999999</v>
      </c>
      <c r="P130" s="9">
        <v>1.2509999999999999</v>
      </c>
      <c r="Q130" s="9">
        <v>31.571999999999999</v>
      </c>
      <c r="R130" s="9"/>
      <c r="S130" s="11"/>
    </row>
    <row r="131" spans="1:19" ht="15.75">
      <c r="A131" s="13">
        <v>45108</v>
      </c>
      <c r="B131" s="8">
        <f>CHOOSE( CONTROL!$C$32, 6.6976, 6.6971) * CHOOSE(CONTROL!$C$15, $D$11, 100%, $F$11)</f>
        <v>6.6976000000000004</v>
      </c>
      <c r="C131" s="8">
        <f>CHOOSE( CONTROL!$C$32, 6.7055, 6.7051) * CHOOSE(CONTROL!$C$15, $D$11, 100%, $F$11)</f>
        <v>6.7054999999999998</v>
      </c>
      <c r="D131" s="8">
        <f>CHOOSE( CONTROL!$C$32, 6.7007, 6.7002) * CHOOSE( CONTROL!$C$15, $D$11, 100%, $F$11)</f>
        <v>6.7007000000000003</v>
      </c>
      <c r="E131" s="12">
        <f>CHOOSE( CONTROL!$C$32, 6.7012, 6.7008) * CHOOSE( CONTROL!$C$15, $D$11, 100%, $F$11)</f>
        <v>6.7012</v>
      </c>
      <c r="F131" s="4">
        <f>CHOOSE( CONTROL!$C$32, 7.4045, 7.4041) * CHOOSE(CONTROL!$C$15, $D$11, 100%, $F$11)</f>
        <v>7.4044999999999996</v>
      </c>
      <c r="G131" s="8">
        <f>CHOOSE( CONTROL!$C$32, 6.6255, 6.6251) * CHOOSE( CONTROL!$C$15, $D$11, 100%, $F$11)</f>
        <v>6.6254999999999997</v>
      </c>
      <c r="H131" s="4">
        <f>CHOOSE( CONTROL!$C$32, 7.5644, 7.564) * CHOOSE(CONTROL!$C$15, $D$11, 100%, $F$11)</f>
        <v>7.5644</v>
      </c>
      <c r="I131" s="8">
        <f>CHOOSE( CONTROL!$C$32, 6.5753, 6.5749) * CHOOSE(CONTROL!$C$15, $D$11, 100%, $F$11)</f>
        <v>6.5753000000000004</v>
      </c>
      <c r="J131" s="4">
        <f>CHOOSE( CONTROL!$C$32, 6.4892, 6.4887) * CHOOSE(CONTROL!$C$15, $D$11, 100%, $F$11)</f>
        <v>6.4892000000000003</v>
      </c>
      <c r="K131" s="4"/>
      <c r="L131" s="9">
        <v>30.7165</v>
      </c>
      <c r="M131" s="9">
        <v>12.063700000000001</v>
      </c>
      <c r="N131" s="9">
        <v>4.9444999999999997</v>
      </c>
      <c r="O131" s="9">
        <v>0.37409999999999999</v>
      </c>
      <c r="P131" s="9">
        <v>1.2927</v>
      </c>
      <c r="Q131" s="9">
        <v>32.624400000000001</v>
      </c>
      <c r="R131" s="9"/>
      <c r="S131" s="11"/>
    </row>
    <row r="132" spans="1:19" ht="15.75">
      <c r="A132" s="13">
        <v>45139</v>
      </c>
      <c r="B132" s="8">
        <f>CHOOSE( CONTROL!$C$32, 6.1815, 6.181) * CHOOSE(CONTROL!$C$15, $D$11, 100%, $F$11)</f>
        <v>6.1814999999999998</v>
      </c>
      <c r="C132" s="8">
        <f>CHOOSE( CONTROL!$C$32, 6.1894, 6.189) * CHOOSE(CONTROL!$C$15, $D$11, 100%, $F$11)</f>
        <v>6.1894</v>
      </c>
      <c r="D132" s="8">
        <f>CHOOSE( CONTROL!$C$32, 6.1847, 6.1843) * CHOOSE( CONTROL!$C$15, $D$11, 100%, $F$11)</f>
        <v>6.1847000000000003</v>
      </c>
      <c r="E132" s="12">
        <f>CHOOSE( CONTROL!$C$32, 6.1852, 6.1848) * CHOOSE( CONTROL!$C$15, $D$11, 100%, $F$11)</f>
        <v>6.1852</v>
      </c>
      <c r="F132" s="4">
        <f>CHOOSE( CONTROL!$C$32, 6.8884, 6.8879) * CHOOSE(CONTROL!$C$15, $D$11, 100%, $F$11)</f>
        <v>6.8883999999999999</v>
      </c>
      <c r="G132" s="8">
        <f>CHOOSE( CONTROL!$C$32, 6.1156, 6.1151) * CHOOSE( CONTROL!$C$15, $D$11, 100%, $F$11)</f>
        <v>6.1155999999999997</v>
      </c>
      <c r="H132" s="4">
        <f>CHOOSE( CONTROL!$C$32, 7.0544, 7.0539) * CHOOSE(CONTROL!$C$15, $D$11, 100%, $F$11)</f>
        <v>7.0544000000000002</v>
      </c>
      <c r="I132" s="8">
        <f>CHOOSE( CONTROL!$C$32, 6.0746, 6.0742) * CHOOSE(CONTROL!$C$15, $D$11, 100%, $F$11)</f>
        <v>6.0746000000000002</v>
      </c>
      <c r="J132" s="4">
        <f>CHOOSE( CONTROL!$C$32, 5.9883, 5.9878) * CHOOSE(CONTROL!$C$15, $D$11, 100%, $F$11)</f>
        <v>5.9882999999999997</v>
      </c>
      <c r="K132" s="4"/>
      <c r="L132" s="9">
        <v>30.7165</v>
      </c>
      <c r="M132" s="9">
        <v>12.063700000000001</v>
      </c>
      <c r="N132" s="9">
        <v>4.9444999999999997</v>
      </c>
      <c r="O132" s="9">
        <v>0.37409999999999999</v>
      </c>
      <c r="P132" s="9">
        <v>1.2927</v>
      </c>
      <c r="Q132" s="9">
        <v>32.624400000000001</v>
      </c>
      <c r="R132" s="9"/>
      <c r="S132" s="11"/>
    </row>
    <row r="133" spans="1:19" ht="15.75">
      <c r="A133" s="13">
        <v>45170</v>
      </c>
      <c r="B133" s="8">
        <f>CHOOSE( CONTROL!$C$32, 6.0522, 6.0518) * CHOOSE(CONTROL!$C$15, $D$11, 100%, $F$11)</f>
        <v>6.0522</v>
      </c>
      <c r="C133" s="8">
        <f>CHOOSE( CONTROL!$C$32, 6.0602, 6.0597) * CHOOSE(CONTROL!$C$15, $D$11, 100%, $F$11)</f>
        <v>6.0602</v>
      </c>
      <c r="D133" s="8">
        <f>CHOOSE( CONTROL!$C$32, 6.0553, 6.0549) * CHOOSE( CONTROL!$C$15, $D$11, 100%, $F$11)</f>
        <v>6.0552999999999999</v>
      </c>
      <c r="E133" s="12">
        <f>CHOOSE( CONTROL!$C$32, 6.0559, 6.0554) * CHOOSE( CONTROL!$C$15, $D$11, 100%, $F$11)</f>
        <v>6.0559000000000003</v>
      </c>
      <c r="F133" s="4">
        <f>CHOOSE( CONTROL!$C$32, 6.7592, 6.7587) * CHOOSE(CONTROL!$C$15, $D$11, 100%, $F$11)</f>
        <v>6.7591999999999999</v>
      </c>
      <c r="G133" s="8">
        <f>CHOOSE( CONTROL!$C$32, 5.9877, 5.9873) * CHOOSE( CONTROL!$C$15, $D$11, 100%, $F$11)</f>
        <v>5.9877000000000002</v>
      </c>
      <c r="H133" s="4">
        <f>CHOOSE( CONTROL!$C$32, 6.9267, 6.9262) * CHOOSE(CONTROL!$C$15, $D$11, 100%, $F$11)</f>
        <v>6.9267000000000003</v>
      </c>
      <c r="I133" s="8">
        <f>CHOOSE( CONTROL!$C$32, 5.9486, 5.9482) * CHOOSE(CONTROL!$C$15, $D$11, 100%, $F$11)</f>
        <v>5.9485999999999999</v>
      </c>
      <c r="J133" s="4">
        <f>CHOOSE( CONTROL!$C$32, 5.8629, 5.8624) * CHOOSE(CONTROL!$C$15, $D$11, 100%, $F$11)</f>
        <v>5.8628999999999998</v>
      </c>
      <c r="K133" s="4"/>
      <c r="L133" s="9">
        <v>29.7257</v>
      </c>
      <c r="M133" s="9">
        <v>11.6745</v>
      </c>
      <c r="N133" s="9">
        <v>4.7850000000000001</v>
      </c>
      <c r="O133" s="9">
        <v>0.36199999999999999</v>
      </c>
      <c r="P133" s="9">
        <v>1.2509999999999999</v>
      </c>
      <c r="Q133" s="9">
        <v>31.571999999999999</v>
      </c>
      <c r="R133" s="9"/>
      <c r="S133" s="11"/>
    </row>
    <row r="134" spans="1:19" ht="15.75">
      <c r="A134" s="13">
        <v>45200</v>
      </c>
      <c r="B134" s="8">
        <f>CHOOSE( CONTROL!$C$32, 6.3187, 6.3184) * CHOOSE(CONTROL!$C$15, $D$11, 100%, $F$11)</f>
        <v>6.3186999999999998</v>
      </c>
      <c r="C134" s="8">
        <f>CHOOSE( CONTROL!$C$32, 6.324, 6.3237) * CHOOSE(CONTROL!$C$15, $D$11, 100%, $F$11)</f>
        <v>6.3239999999999998</v>
      </c>
      <c r="D134" s="8">
        <f>CHOOSE( CONTROL!$C$32, 6.3242, 6.3239) * CHOOSE( CONTROL!$C$15, $D$11, 100%, $F$11)</f>
        <v>6.3242000000000003</v>
      </c>
      <c r="E134" s="12">
        <f>CHOOSE( CONTROL!$C$32, 6.3236, 6.3233) * CHOOSE( CONTROL!$C$15, $D$11, 100%, $F$11)</f>
        <v>6.3235999999999999</v>
      </c>
      <c r="F134" s="4">
        <f>CHOOSE( CONTROL!$C$32, 7.0273, 7.0271) * CHOOSE(CONTROL!$C$15, $D$11, 100%, $F$11)</f>
        <v>7.0273000000000003</v>
      </c>
      <c r="G134" s="8">
        <f>CHOOSE( CONTROL!$C$32, 6.2527, 6.2524) * CHOOSE( CONTROL!$C$15, $D$11, 100%, $F$11)</f>
        <v>6.2526999999999999</v>
      </c>
      <c r="H134" s="4">
        <f>CHOOSE( CONTROL!$C$32, 7.1917, 7.1914) * CHOOSE(CONTROL!$C$15, $D$11, 100%, $F$11)</f>
        <v>7.1917</v>
      </c>
      <c r="I134" s="8">
        <f>CHOOSE( CONTROL!$C$32, 6.2097, 6.2094) * CHOOSE(CONTROL!$C$15, $D$11, 100%, $F$11)</f>
        <v>6.2096999999999998</v>
      </c>
      <c r="J134" s="4">
        <f>CHOOSE( CONTROL!$C$32, 6.1231, 6.1228) * CHOOSE(CONTROL!$C$15, $D$11, 100%, $F$11)</f>
        <v>6.1231</v>
      </c>
      <c r="K134" s="4"/>
      <c r="L134" s="9">
        <v>31.095300000000002</v>
      </c>
      <c r="M134" s="9">
        <v>12.063700000000001</v>
      </c>
      <c r="N134" s="9">
        <v>4.9444999999999997</v>
      </c>
      <c r="O134" s="9">
        <v>0.37409999999999999</v>
      </c>
      <c r="P134" s="9">
        <v>1.2927</v>
      </c>
      <c r="Q134" s="9">
        <v>32.624400000000001</v>
      </c>
      <c r="R134" s="9"/>
      <c r="S134" s="11"/>
    </row>
    <row r="135" spans="1:19" ht="15.75">
      <c r="A135" s="13">
        <v>45231</v>
      </c>
      <c r="B135" s="8">
        <f>CHOOSE( CONTROL!$C$32, 6.8136, 6.8133) * CHOOSE(CONTROL!$C$15, $D$11, 100%, $F$11)</f>
        <v>6.8136000000000001</v>
      </c>
      <c r="C135" s="8">
        <f>CHOOSE( CONTROL!$C$32, 6.8186, 6.8184) * CHOOSE(CONTROL!$C$15, $D$11, 100%, $F$11)</f>
        <v>6.8186</v>
      </c>
      <c r="D135" s="8">
        <f>CHOOSE( CONTROL!$C$32, 6.7865, 6.7862) * CHOOSE( CONTROL!$C$15, $D$11, 100%, $F$11)</f>
        <v>6.7865000000000002</v>
      </c>
      <c r="E135" s="12">
        <f>CHOOSE( CONTROL!$C$32, 6.7977, 6.7974) * CHOOSE( CONTROL!$C$15, $D$11, 100%, $F$11)</f>
        <v>6.7976999999999999</v>
      </c>
      <c r="F135" s="4">
        <f>CHOOSE( CONTROL!$C$32, 7.4788, 7.4786) * CHOOSE(CONTROL!$C$15, $D$11, 100%, $F$11)</f>
        <v>7.4787999999999997</v>
      </c>
      <c r="G135" s="8">
        <f>CHOOSE( CONTROL!$C$32, 6.7311, 6.7309) * CHOOSE( CONTROL!$C$15, $D$11, 100%, $F$11)</f>
        <v>6.7310999999999996</v>
      </c>
      <c r="H135" s="4">
        <f>CHOOSE( CONTROL!$C$32, 7.6379, 7.6376) * CHOOSE(CONTROL!$C$15, $D$11, 100%, $F$11)</f>
        <v>7.6379000000000001</v>
      </c>
      <c r="I135" s="8">
        <f>CHOOSE( CONTROL!$C$32, 6.7415, 6.7412) * CHOOSE(CONTROL!$C$15, $D$11, 100%, $F$11)</f>
        <v>6.7415000000000003</v>
      </c>
      <c r="J135" s="4">
        <f>CHOOSE( CONTROL!$C$32, 6.6038, 6.6035) * CHOOSE(CONTROL!$C$15, $D$11, 100%, $F$11)</f>
        <v>6.6037999999999997</v>
      </c>
      <c r="K135" s="4"/>
      <c r="L135" s="9">
        <v>28.360600000000002</v>
      </c>
      <c r="M135" s="9">
        <v>11.6745</v>
      </c>
      <c r="N135" s="9">
        <v>4.7850000000000001</v>
      </c>
      <c r="O135" s="9">
        <v>0.36199999999999999</v>
      </c>
      <c r="P135" s="9">
        <v>1.2509999999999999</v>
      </c>
      <c r="Q135" s="9">
        <v>31.571999999999999</v>
      </c>
      <c r="R135" s="9"/>
      <c r="S135" s="11"/>
    </row>
    <row r="136" spans="1:19" ht="15.75">
      <c r="A136" s="13">
        <v>45261</v>
      </c>
      <c r="B136" s="8">
        <f>CHOOSE( CONTROL!$C$32, 6.8012, 6.8009) * CHOOSE(CONTROL!$C$15, $D$11, 100%, $F$11)</f>
        <v>6.8011999999999997</v>
      </c>
      <c r="C136" s="8">
        <f>CHOOSE( CONTROL!$C$32, 6.8063, 6.806) * CHOOSE(CONTROL!$C$15, $D$11, 100%, $F$11)</f>
        <v>6.8063000000000002</v>
      </c>
      <c r="D136" s="8">
        <f>CHOOSE( CONTROL!$C$32, 6.776, 6.7757) * CHOOSE( CONTROL!$C$15, $D$11, 100%, $F$11)</f>
        <v>6.7759999999999998</v>
      </c>
      <c r="E136" s="12">
        <f>CHOOSE( CONTROL!$C$32, 6.7865, 6.7862) * CHOOSE( CONTROL!$C$15, $D$11, 100%, $F$11)</f>
        <v>6.7865000000000002</v>
      </c>
      <c r="F136" s="4">
        <f>CHOOSE( CONTROL!$C$32, 7.4665, 7.4662) * CHOOSE(CONTROL!$C$15, $D$11, 100%, $F$11)</f>
        <v>7.4664999999999999</v>
      </c>
      <c r="G136" s="8">
        <f>CHOOSE( CONTROL!$C$32, 6.7202, 6.72) * CHOOSE( CONTROL!$C$15, $D$11, 100%, $F$11)</f>
        <v>6.7202000000000002</v>
      </c>
      <c r="H136" s="4">
        <f>CHOOSE( CONTROL!$C$32, 7.6257, 7.6254) * CHOOSE(CONTROL!$C$15, $D$11, 100%, $F$11)</f>
        <v>7.6257000000000001</v>
      </c>
      <c r="I136" s="8">
        <f>CHOOSE( CONTROL!$C$32, 6.7352, 6.7349) * CHOOSE(CONTROL!$C$15, $D$11, 100%, $F$11)</f>
        <v>6.7351999999999999</v>
      </c>
      <c r="J136" s="4">
        <f>CHOOSE( CONTROL!$C$32, 6.5918, 6.5915) * CHOOSE(CONTROL!$C$15, $D$11, 100%, $F$11)</f>
        <v>6.5918000000000001</v>
      </c>
      <c r="K136" s="4"/>
      <c r="L136" s="9">
        <v>29.306000000000001</v>
      </c>
      <c r="M136" s="9">
        <v>12.063700000000001</v>
      </c>
      <c r="N136" s="9">
        <v>4.9444999999999997</v>
      </c>
      <c r="O136" s="9">
        <v>0.37409999999999999</v>
      </c>
      <c r="P136" s="9">
        <v>1.2927</v>
      </c>
      <c r="Q136" s="9">
        <v>32.624400000000001</v>
      </c>
      <c r="R136" s="9"/>
      <c r="S136" s="11"/>
    </row>
    <row r="137" spans="1:19" ht="15.75">
      <c r="A137" s="13">
        <v>45292</v>
      </c>
      <c r="B137" s="8">
        <f>CHOOSE( CONTROL!$C$32, 7.0167, 7.0164) * CHOOSE(CONTROL!$C$15, $D$11, 100%, $F$11)</f>
        <v>7.0167000000000002</v>
      </c>
      <c r="C137" s="8">
        <f>CHOOSE( CONTROL!$C$32, 7.0217, 7.0215) * CHOOSE(CONTROL!$C$15, $D$11, 100%, $F$11)</f>
        <v>7.0217000000000001</v>
      </c>
      <c r="D137" s="8">
        <f>CHOOSE( CONTROL!$C$32, 7.0194, 7.0191) * CHOOSE( CONTROL!$C$15, $D$11, 100%, $F$11)</f>
        <v>7.0194000000000001</v>
      </c>
      <c r="E137" s="12">
        <f>CHOOSE( CONTROL!$C$32, 7.0197, 7.0194) * CHOOSE( CONTROL!$C$15, $D$11, 100%, $F$11)</f>
        <v>7.0197000000000003</v>
      </c>
      <c r="F137" s="4">
        <f>CHOOSE( CONTROL!$C$32, 7.6819, 7.6817) * CHOOSE(CONTROL!$C$15, $D$11, 100%, $F$11)</f>
        <v>7.6818999999999997</v>
      </c>
      <c r="G137" s="8">
        <f>CHOOSE( CONTROL!$C$32, 6.9493, 6.949) * CHOOSE( CONTROL!$C$15, $D$11, 100%, $F$11)</f>
        <v>6.9493</v>
      </c>
      <c r="H137" s="4">
        <f>CHOOSE( CONTROL!$C$32, 7.8386, 7.8384) * CHOOSE(CONTROL!$C$15, $D$11, 100%, $F$11)</f>
        <v>7.8385999999999996</v>
      </c>
      <c r="I137" s="8">
        <f>CHOOSE( CONTROL!$C$32, 6.9179, 6.9177) * CHOOSE(CONTROL!$C$15, $D$11, 100%, $F$11)</f>
        <v>6.9179000000000004</v>
      </c>
      <c r="J137" s="4">
        <f>CHOOSE( CONTROL!$C$32, 6.8009, 6.8007) * CHOOSE(CONTROL!$C$15, $D$11, 100%, $F$11)</f>
        <v>6.8009000000000004</v>
      </c>
      <c r="K137" s="4"/>
      <c r="L137" s="9">
        <v>29.306000000000001</v>
      </c>
      <c r="M137" s="9">
        <v>12.063700000000001</v>
      </c>
      <c r="N137" s="9">
        <v>4.9444999999999997</v>
      </c>
      <c r="O137" s="9">
        <v>0.37409999999999999</v>
      </c>
      <c r="P137" s="9">
        <v>1.2927</v>
      </c>
      <c r="Q137" s="9">
        <v>32.440300000000001</v>
      </c>
      <c r="R137" s="9"/>
      <c r="S137" s="11"/>
    </row>
    <row r="138" spans="1:19" ht="15.75">
      <c r="A138" s="13">
        <v>45323</v>
      </c>
      <c r="B138" s="8">
        <f>CHOOSE( CONTROL!$C$32, 6.5637, 6.5634) * CHOOSE(CONTROL!$C$15, $D$11, 100%, $F$11)</f>
        <v>6.5636999999999999</v>
      </c>
      <c r="C138" s="8">
        <f>CHOOSE( CONTROL!$C$32, 6.5687, 6.5685) * CHOOSE(CONTROL!$C$15, $D$11, 100%, $F$11)</f>
        <v>6.5686999999999998</v>
      </c>
      <c r="D138" s="8">
        <f>CHOOSE( CONTROL!$C$32, 6.5487, 6.5484) * CHOOSE( CONTROL!$C$15, $D$11, 100%, $F$11)</f>
        <v>6.5487000000000002</v>
      </c>
      <c r="E138" s="12">
        <f>CHOOSE( CONTROL!$C$32, 6.5555, 6.5552) * CHOOSE( CONTROL!$C$15, $D$11, 100%, $F$11)</f>
        <v>6.5555000000000003</v>
      </c>
      <c r="F138" s="4">
        <f>CHOOSE( CONTROL!$C$32, 7.2289, 7.2287) * CHOOSE(CONTROL!$C$15, $D$11, 100%, $F$11)</f>
        <v>7.2289000000000003</v>
      </c>
      <c r="G138" s="8">
        <f>CHOOSE( CONTROL!$C$32, 6.4905, 6.4902) * CHOOSE( CONTROL!$C$15, $D$11, 100%, $F$11)</f>
        <v>6.4904999999999999</v>
      </c>
      <c r="H138" s="4">
        <f>CHOOSE( CONTROL!$C$32, 7.3909, 7.3906) * CHOOSE(CONTROL!$C$15, $D$11, 100%, $F$11)</f>
        <v>7.3909000000000002</v>
      </c>
      <c r="I138" s="8">
        <f>CHOOSE( CONTROL!$C$32, 6.4785, 6.4782) * CHOOSE(CONTROL!$C$15, $D$11, 100%, $F$11)</f>
        <v>6.4785000000000004</v>
      </c>
      <c r="J138" s="4">
        <f>CHOOSE( CONTROL!$C$32, 6.3613, 6.361) * CHOOSE(CONTROL!$C$15, $D$11, 100%, $F$11)</f>
        <v>6.3613</v>
      </c>
      <c r="K138" s="4"/>
      <c r="L138" s="9">
        <v>27.415299999999998</v>
      </c>
      <c r="M138" s="9">
        <v>11.285299999999999</v>
      </c>
      <c r="N138" s="9">
        <v>4.6254999999999997</v>
      </c>
      <c r="O138" s="9">
        <v>0.34989999999999999</v>
      </c>
      <c r="P138" s="9">
        <v>1.2093</v>
      </c>
      <c r="Q138" s="9">
        <v>30.347300000000001</v>
      </c>
      <c r="R138" s="9"/>
      <c r="S138" s="11"/>
    </row>
    <row r="139" spans="1:19" ht="15.75">
      <c r="A139" s="13">
        <v>45352</v>
      </c>
      <c r="B139" s="8">
        <f>CHOOSE( CONTROL!$C$32, 6.4241, 6.4239) * CHOOSE(CONTROL!$C$15, $D$11, 100%, $F$11)</f>
        <v>6.4241000000000001</v>
      </c>
      <c r="C139" s="8">
        <f>CHOOSE( CONTROL!$C$32, 6.4292, 6.4289) * CHOOSE(CONTROL!$C$15, $D$11, 100%, $F$11)</f>
        <v>6.4291999999999998</v>
      </c>
      <c r="D139" s="8">
        <f>CHOOSE( CONTROL!$C$32, 6.3992, 6.3989) * CHOOSE( CONTROL!$C$15, $D$11, 100%, $F$11)</f>
        <v>6.3992000000000004</v>
      </c>
      <c r="E139" s="12">
        <f>CHOOSE( CONTROL!$C$32, 6.4096, 6.4093) * CHOOSE( CONTROL!$C$15, $D$11, 100%, $F$11)</f>
        <v>6.4096000000000002</v>
      </c>
      <c r="F139" s="4">
        <f>CHOOSE( CONTROL!$C$32, 7.0894, 7.0891) * CHOOSE(CONTROL!$C$15, $D$11, 100%, $F$11)</f>
        <v>7.0894000000000004</v>
      </c>
      <c r="G139" s="8">
        <f>CHOOSE( CONTROL!$C$32, 6.3393, 6.3391) * CHOOSE( CONTROL!$C$15, $D$11, 100%, $F$11)</f>
        <v>6.3392999999999997</v>
      </c>
      <c r="H139" s="4">
        <f>CHOOSE( CONTROL!$C$32, 7.253, 7.2528) * CHOOSE(CONTROL!$C$15, $D$11, 100%, $F$11)</f>
        <v>7.2530000000000001</v>
      </c>
      <c r="I139" s="8">
        <f>CHOOSE( CONTROL!$C$32, 6.3078, 6.3075) * CHOOSE(CONTROL!$C$15, $D$11, 100%, $F$11)</f>
        <v>6.3078000000000003</v>
      </c>
      <c r="J139" s="4">
        <f>CHOOSE( CONTROL!$C$32, 6.2259, 6.2256) * CHOOSE(CONTROL!$C$15, $D$11, 100%, $F$11)</f>
        <v>6.2259000000000002</v>
      </c>
      <c r="K139" s="4"/>
      <c r="L139" s="9">
        <v>29.306000000000001</v>
      </c>
      <c r="M139" s="9">
        <v>12.063700000000001</v>
      </c>
      <c r="N139" s="9">
        <v>4.9444999999999997</v>
      </c>
      <c r="O139" s="9">
        <v>0.37409999999999999</v>
      </c>
      <c r="P139" s="9">
        <v>1.2927</v>
      </c>
      <c r="Q139" s="9">
        <v>32.440300000000001</v>
      </c>
      <c r="R139" s="9"/>
      <c r="S139" s="11"/>
    </row>
    <row r="140" spans="1:19" ht="15.75">
      <c r="A140" s="13">
        <v>45383</v>
      </c>
      <c r="B140" s="8">
        <f>CHOOSE( CONTROL!$C$32, 6.5224, 6.5221) * CHOOSE(CONTROL!$C$15, $D$11, 100%, $F$11)</f>
        <v>6.5224000000000002</v>
      </c>
      <c r="C140" s="8">
        <f>CHOOSE( CONTROL!$C$32, 6.5269, 6.5266) * CHOOSE(CONTROL!$C$15, $D$11, 100%, $F$11)</f>
        <v>6.5269000000000004</v>
      </c>
      <c r="D140" s="8">
        <f>CHOOSE( CONTROL!$C$32, 6.5264, 6.5261) * CHOOSE( CONTROL!$C$15, $D$11, 100%, $F$11)</f>
        <v>6.5263999999999998</v>
      </c>
      <c r="E140" s="12">
        <f>CHOOSE( CONTROL!$C$32, 6.5261, 6.5258) * CHOOSE( CONTROL!$C$15, $D$11, 100%, $F$11)</f>
        <v>6.5260999999999996</v>
      </c>
      <c r="F140" s="4">
        <f>CHOOSE( CONTROL!$C$32, 7.2307, 7.2304) * CHOOSE(CONTROL!$C$15, $D$11, 100%, $F$11)</f>
        <v>7.2306999999999997</v>
      </c>
      <c r="G140" s="8">
        <f>CHOOSE( CONTROL!$C$32, 6.4527, 6.4524) * CHOOSE( CONTROL!$C$15, $D$11, 100%, $F$11)</f>
        <v>6.4527000000000001</v>
      </c>
      <c r="H140" s="4">
        <f>CHOOSE( CONTROL!$C$32, 7.3927, 7.3924) * CHOOSE(CONTROL!$C$15, $D$11, 100%, $F$11)</f>
        <v>7.3926999999999996</v>
      </c>
      <c r="I140" s="8">
        <f>CHOOSE( CONTROL!$C$32, 6.403, 6.4027) * CHOOSE(CONTROL!$C$15, $D$11, 100%, $F$11)</f>
        <v>6.4029999999999996</v>
      </c>
      <c r="J140" s="4">
        <f>CHOOSE( CONTROL!$C$32, 6.3205, 6.3202) * CHOOSE(CONTROL!$C$15, $D$11, 100%, $F$11)</f>
        <v>6.3205</v>
      </c>
      <c r="K140" s="4"/>
      <c r="L140" s="9">
        <v>30.092199999999998</v>
      </c>
      <c r="M140" s="9">
        <v>11.6745</v>
      </c>
      <c r="N140" s="9">
        <v>4.7850000000000001</v>
      </c>
      <c r="O140" s="9">
        <v>0.36199999999999999</v>
      </c>
      <c r="P140" s="9">
        <v>1.2509999999999999</v>
      </c>
      <c r="Q140" s="9">
        <v>31.393799999999999</v>
      </c>
      <c r="R140" s="9"/>
      <c r="S140" s="11"/>
    </row>
    <row r="141" spans="1:19" ht="15.75">
      <c r="A141" s="13">
        <v>45413</v>
      </c>
      <c r="B141" s="8">
        <f>CHOOSE( CONTROL!$C$32, 6.6975, 6.697) * CHOOSE(CONTROL!$C$15, $D$11, 100%, $F$11)</f>
        <v>6.6974999999999998</v>
      </c>
      <c r="C141" s="8">
        <f>CHOOSE( CONTROL!$C$32, 6.7054, 6.705) * CHOOSE(CONTROL!$C$15, $D$11, 100%, $F$11)</f>
        <v>6.7054</v>
      </c>
      <c r="D141" s="8">
        <f>CHOOSE( CONTROL!$C$32, 6.6997, 6.6993) * CHOOSE( CONTROL!$C$15, $D$11, 100%, $F$11)</f>
        <v>6.6997</v>
      </c>
      <c r="E141" s="12">
        <f>CHOOSE( CONTROL!$C$32, 6.7006, 6.7001) * CHOOSE( CONTROL!$C$15, $D$11, 100%, $F$11)</f>
        <v>6.7005999999999997</v>
      </c>
      <c r="F141" s="4">
        <f>CHOOSE( CONTROL!$C$32, 7.4044, 7.4039) * CHOOSE(CONTROL!$C$15, $D$11, 100%, $F$11)</f>
        <v>7.4043999999999999</v>
      </c>
      <c r="G141" s="8">
        <f>CHOOSE( CONTROL!$C$32, 6.6247, 6.6243) * CHOOSE( CONTROL!$C$15, $D$11, 100%, $F$11)</f>
        <v>6.6246999999999998</v>
      </c>
      <c r="H141" s="4">
        <f>CHOOSE( CONTROL!$C$32, 7.5643, 7.5639) * CHOOSE(CONTROL!$C$15, $D$11, 100%, $F$11)</f>
        <v>7.5643000000000002</v>
      </c>
      <c r="I141" s="8">
        <f>CHOOSE( CONTROL!$C$32, 6.5722, 6.5718) * CHOOSE(CONTROL!$C$15, $D$11, 100%, $F$11)</f>
        <v>6.5721999999999996</v>
      </c>
      <c r="J141" s="4">
        <f>CHOOSE( CONTROL!$C$32, 6.4891, 6.4886) * CHOOSE(CONTROL!$C$15, $D$11, 100%, $F$11)</f>
        <v>6.4890999999999996</v>
      </c>
      <c r="K141" s="4"/>
      <c r="L141" s="9">
        <v>30.7165</v>
      </c>
      <c r="M141" s="9">
        <v>12.063700000000001</v>
      </c>
      <c r="N141" s="9">
        <v>4.9444999999999997</v>
      </c>
      <c r="O141" s="9">
        <v>0.37409999999999999</v>
      </c>
      <c r="P141" s="9">
        <v>1.2927</v>
      </c>
      <c r="Q141" s="9">
        <v>32.440300000000001</v>
      </c>
      <c r="R141" s="9"/>
      <c r="S141" s="11"/>
    </row>
    <row r="142" spans="1:19" ht="15.75">
      <c r="A142" s="13">
        <v>45444</v>
      </c>
      <c r="B142" s="8">
        <f>CHOOSE( CONTROL!$C$32, 6.59, 6.5895) * CHOOSE(CONTROL!$C$15, $D$11, 100%, $F$11)</f>
        <v>6.59</v>
      </c>
      <c r="C142" s="8">
        <f>CHOOSE( CONTROL!$C$32, 6.5979, 6.5975) * CHOOSE(CONTROL!$C$15, $D$11, 100%, $F$11)</f>
        <v>6.5979000000000001</v>
      </c>
      <c r="D142" s="8">
        <f>CHOOSE( CONTROL!$C$32, 6.5926, 6.5922) * CHOOSE( CONTROL!$C$15, $D$11, 100%, $F$11)</f>
        <v>6.5926</v>
      </c>
      <c r="E142" s="12">
        <f>CHOOSE( CONTROL!$C$32, 6.5933, 6.5929) * CHOOSE( CONTROL!$C$15, $D$11, 100%, $F$11)</f>
        <v>6.5933000000000002</v>
      </c>
      <c r="F142" s="4">
        <f>CHOOSE( CONTROL!$C$32, 7.2969, 7.2965) * CHOOSE(CONTROL!$C$15, $D$11, 100%, $F$11)</f>
        <v>7.2968999999999999</v>
      </c>
      <c r="G142" s="8">
        <f>CHOOSE( CONTROL!$C$32, 6.5188, 6.5184) * CHOOSE( CONTROL!$C$15, $D$11, 100%, $F$11)</f>
        <v>6.5187999999999997</v>
      </c>
      <c r="H142" s="4">
        <f>CHOOSE( CONTROL!$C$32, 7.4581, 7.4576) * CHOOSE(CONTROL!$C$15, $D$11, 100%, $F$11)</f>
        <v>7.4581</v>
      </c>
      <c r="I142" s="8">
        <f>CHOOSE( CONTROL!$C$32, 6.4693, 6.4688) * CHOOSE(CONTROL!$C$15, $D$11, 100%, $F$11)</f>
        <v>6.4692999999999996</v>
      </c>
      <c r="J142" s="4">
        <f>CHOOSE( CONTROL!$C$32, 6.3847, 6.3843) * CHOOSE(CONTROL!$C$15, $D$11, 100%, $F$11)</f>
        <v>6.3846999999999996</v>
      </c>
      <c r="K142" s="4"/>
      <c r="L142" s="9">
        <v>29.7257</v>
      </c>
      <c r="M142" s="9">
        <v>11.6745</v>
      </c>
      <c r="N142" s="9">
        <v>4.7850000000000001</v>
      </c>
      <c r="O142" s="9">
        <v>0.36199999999999999</v>
      </c>
      <c r="P142" s="9">
        <v>1.2509999999999999</v>
      </c>
      <c r="Q142" s="9">
        <v>31.393799999999999</v>
      </c>
      <c r="R142" s="9"/>
      <c r="S142" s="11"/>
    </row>
    <row r="143" spans="1:19" ht="15.75">
      <c r="A143" s="13">
        <v>45474</v>
      </c>
      <c r="B143" s="8">
        <f>CHOOSE( CONTROL!$C$32, 6.873, 6.8726) * CHOOSE(CONTROL!$C$15, $D$11, 100%, $F$11)</f>
        <v>6.8730000000000002</v>
      </c>
      <c r="C143" s="8">
        <f>CHOOSE( CONTROL!$C$32, 6.881, 6.8806) * CHOOSE(CONTROL!$C$15, $D$11, 100%, $F$11)</f>
        <v>6.8810000000000002</v>
      </c>
      <c r="D143" s="8">
        <f>CHOOSE( CONTROL!$C$32, 6.8762, 6.8757) * CHOOSE( CONTROL!$C$15, $D$11, 100%, $F$11)</f>
        <v>6.8761999999999999</v>
      </c>
      <c r="E143" s="12">
        <f>CHOOSE( CONTROL!$C$32, 6.8767, 6.8763) * CHOOSE( CONTROL!$C$15, $D$11, 100%, $F$11)</f>
        <v>6.8766999999999996</v>
      </c>
      <c r="F143" s="4">
        <f>CHOOSE( CONTROL!$C$32, 7.58, 7.5795) * CHOOSE(CONTROL!$C$15, $D$11, 100%, $F$11)</f>
        <v>7.58</v>
      </c>
      <c r="G143" s="8">
        <f>CHOOSE( CONTROL!$C$32, 6.7989, 6.7985) * CHOOSE( CONTROL!$C$15, $D$11, 100%, $F$11)</f>
        <v>6.7988999999999997</v>
      </c>
      <c r="H143" s="4">
        <f>CHOOSE( CONTROL!$C$32, 7.7379, 7.7374) * CHOOSE(CONTROL!$C$15, $D$11, 100%, $F$11)</f>
        <v>7.7378999999999998</v>
      </c>
      <c r="I143" s="8">
        <f>CHOOSE( CONTROL!$C$32, 6.7457, 6.7453) * CHOOSE(CONTROL!$C$15, $D$11, 100%, $F$11)</f>
        <v>6.7457000000000003</v>
      </c>
      <c r="J143" s="4">
        <f>CHOOSE( CONTROL!$C$32, 6.6595, 6.659) * CHOOSE(CONTROL!$C$15, $D$11, 100%, $F$11)</f>
        <v>6.6595000000000004</v>
      </c>
      <c r="K143" s="4"/>
      <c r="L143" s="9">
        <v>30.7165</v>
      </c>
      <c r="M143" s="9">
        <v>12.063700000000001</v>
      </c>
      <c r="N143" s="9">
        <v>4.9444999999999997</v>
      </c>
      <c r="O143" s="9">
        <v>0.37409999999999999</v>
      </c>
      <c r="P143" s="9">
        <v>1.2927</v>
      </c>
      <c r="Q143" s="9">
        <v>32.440300000000001</v>
      </c>
      <c r="R143" s="9"/>
      <c r="S143" s="11"/>
    </row>
    <row r="144" spans="1:19" ht="15.75">
      <c r="A144" s="13">
        <v>45505</v>
      </c>
      <c r="B144" s="8">
        <f>CHOOSE( CONTROL!$C$32, 6.3434, 6.3429) * CHOOSE(CONTROL!$C$15, $D$11, 100%, $F$11)</f>
        <v>6.3433999999999999</v>
      </c>
      <c r="C144" s="8">
        <f>CHOOSE( CONTROL!$C$32, 6.3514, 6.3509) * CHOOSE(CONTROL!$C$15, $D$11, 100%, $F$11)</f>
        <v>6.3513999999999999</v>
      </c>
      <c r="D144" s="8">
        <f>CHOOSE( CONTROL!$C$32, 6.3466, 6.3462) * CHOOSE( CONTROL!$C$15, $D$11, 100%, $F$11)</f>
        <v>6.3465999999999996</v>
      </c>
      <c r="E144" s="12">
        <f>CHOOSE( CONTROL!$C$32, 6.3471, 6.3467) * CHOOSE( CONTROL!$C$15, $D$11, 100%, $F$11)</f>
        <v>6.3471000000000002</v>
      </c>
      <c r="F144" s="4">
        <f>CHOOSE( CONTROL!$C$32, 7.0503, 7.0499) * CHOOSE(CONTROL!$C$15, $D$11, 100%, $F$11)</f>
        <v>7.0503</v>
      </c>
      <c r="G144" s="8">
        <f>CHOOSE( CONTROL!$C$32, 6.2756, 6.2751) * CHOOSE( CONTROL!$C$15, $D$11, 100%, $F$11)</f>
        <v>6.2755999999999998</v>
      </c>
      <c r="H144" s="4">
        <f>CHOOSE( CONTROL!$C$32, 7.2144, 7.214) * CHOOSE(CONTROL!$C$15, $D$11, 100%, $F$11)</f>
        <v>7.2144000000000004</v>
      </c>
      <c r="I144" s="8">
        <f>CHOOSE( CONTROL!$C$32, 6.2319, 6.2314) * CHOOSE(CONTROL!$C$15, $D$11, 100%, $F$11)</f>
        <v>6.2319000000000004</v>
      </c>
      <c r="J144" s="4">
        <f>CHOOSE( CONTROL!$C$32, 6.1454, 6.145) * CHOOSE(CONTROL!$C$15, $D$11, 100%, $F$11)</f>
        <v>6.1454000000000004</v>
      </c>
      <c r="K144" s="4"/>
      <c r="L144" s="9">
        <v>30.7165</v>
      </c>
      <c r="M144" s="9">
        <v>12.063700000000001</v>
      </c>
      <c r="N144" s="9">
        <v>4.9444999999999997</v>
      </c>
      <c r="O144" s="9">
        <v>0.37409999999999999</v>
      </c>
      <c r="P144" s="9">
        <v>1.2927</v>
      </c>
      <c r="Q144" s="9">
        <v>32.440300000000001</v>
      </c>
      <c r="R144" s="9"/>
      <c r="S144" s="11"/>
    </row>
    <row r="145" spans="1:19" ht="15.75">
      <c r="A145" s="13">
        <v>45536</v>
      </c>
      <c r="B145" s="8">
        <f>CHOOSE( CONTROL!$C$32, 6.2108, 6.2103) * CHOOSE(CONTROL!$C$15, $D$11, 100%, $F$11)</f>
        <v>6.2107999999999999</v>
      </c>
      <c r="C145" s="8">
        <f>CHOOSE( CONTROL!$C$32, 6.2187, 6.2183) * CHOOSE(CONTROL!$C$15, $D$11, 100%, $F$11)</f>
        <v>6.2187000000000001</v>
      </c>
      <c r="D145" s="8">
        <f>CHOOSE( CONTROL!$C$32, 6.2139, 6.2134) * CHOOSE( CONTROL!$C$15, $D$11, 100%, $F$11)</f>
        <v>6.2138999999999998</v>
      </c>
      <c r="E145" s="12">
        <f>CHOOSE( CONTROL!$C$32, 6.2144, 6.214) * CHOOSE( CONTROL!$C$15, $D$11, 100%, $F$11)</f>
        <v>6.2144000000000004</v>
      </c>
      <c r="F145" s="4">
        <f>CHOOSE( CONTROL!$C$32, 6.9177, 6.9172) * CHOOSE(CONTROL!$C$15, $D$11, 100%, $F$11)</f>
        <v>6.9177</v>
      </c>
      <c r="G145" s="8">
        <f>CHOOSE( CONTROL!$C$32, 6.1444, 6.1439) * CHOOSE( CONTROL!$C$15, $D$11, 100%, $F$11)</f>
        <v>6.1444000000000001</v>
      </c>
      <c r="H145" s="4">
        <f>CHOOSE( CONTROL!$C$32, 7.0833, 7.0829) * CHOOSE(CONTROL!$C$15, $D$11, 100%, $F$11)</f>
        <v>7.0833000000000004</v>
      </c>
      <c r="I145" s="8">
        <f>CHOOSE( CONTROL!$C$32, 6.1026, 6.1021) * CHOOSE(CONTROL!$C$15, $D$11, 100%, $F$11)</f>
        <v>6.1025999999999998</v>
      </c>
      <c r="J145" s="4">
        <f>CHOOSE( CONTROL!$C$32, 6.0167, 6.0163) * CHOOSE(CONTROL!$C$15, $D$11, 100%, $F$11)</f>
        <v>6.0167000000000002</v>
      </c>
      <c r="K145" s="4"/>
      <c r="L145" s="9">
        <v>29.7257</v>
      </c>
      <c r="M145" s="9">
        <v>11.6745</v>
      </c>
      <c r="N145" s="9">
        <v>4.7850000000000001</v>
      </c>
      <c r="O145" s="9">
        <v>0.36199999999999999</v>
      </c>
      <c r="P145" s="9">
        <v>1.2509999999999999</v>
      </c>
      <c r="Q145" s="9">
        <v>31.393799999999999</v>
      </c>
      <c r="R145" s="9"/>
      <c r="S145" s="11"/>
    </row>
    <row r="146" spans="1:19" ht="15.75">
      <c r="A146" s="13">
        <v>45566</v>
      </c>
      <c r="B146" s="8">
        <f>CHOOSE( CONTROL!$C$32, 6.4842, 6.484) * CHOOSE(CONTROL!$C$15, $D$11, 100%, $F$11)</f>
        <v>6.4842000000000004</v>
      </c>
      <c r="C146" s="8">
        <f>CHOOSE( CONTROL!$C$32, 6.4896, 6.4893) * CHOOSE(CONTROL!$C$15, $D$11, 100%, $F$11)</f>
        <v>6.4896000000000003</v>
      </c>
      <c r="D146" s="8">
        <f>CHOOSE( CONTROL!$C$32, 6.4898, 6.4895) * CHOOSE( CONTROL!$C$15, $D$11, 100%, $F$11)</f>
        <v>6.4897999999999998</v>
      </c>
      <c r="E146" s="12">
        <f>CHOOSE( CONTROL!$C$32, 6.4892, 6.4889) * CHOOSE( CONTROL!$C$15, $D$11, 100%, $F$11)</f>
        <v>6.4892000000000003</v>
      </c>
      <c r="F146" s="4">
        <f>CHOOSE( CONTROL!$C$32, 7.1929, 7.1926) * CHOOSE(CONTROL!$C$15, $D$11, 100%, $F$11)</f>
        <v>7.1928999999999998</v>
      </c>
      <c r="G146" s="8">
        <f>CHOOSE( CONTROL!$C$32, 6.4163, 6.416) * CHOOSE( CONTROL!$C$15, $D$11, 100%, $F$11)</f>
        <v>6.4162999999999997</v>
      </c>
      <c r="H146" s="4">
        <f>CHOOSE( CONTROL!$C$32, 7.3553, 7.355) * CHOOSE(CONTROL!$C$15, $D$11, 100%, $F$11)</f>
        <v>7.3552999999999997</v>
      </c>
      <c r="I146" s="8">
        <f>CHOOSE( CONTROL!$C$32, 6.3705, 6.3702) * CHOOSE(CONTROL!$C$15, $D$11, 100%, $F$11)</f>
        <v>6.3704999999999998</v>
      </c>
      <c r="J146" s="4">
        <f>CHOOSE( CONTROL!$C$32, 6.2838, 6.2835) * CHOOSE(CONTROL!$C$15, $D$11, 100%, $F$11)</f>
        <v>6.2838000000000003</v>
      </c>
      <c r="K146" s="4"/>
      <c r="L146" s="9">
        <v>31.095300000000002</v>
      </c>
      <c r="M146" s="9">
        <v>12.063700000000001</v>
      </c>
      <c r="N146" s="9">
        <v>4.9444999999999997</v>
      </c>
      <c r="O146" s="9">
        <v>0.37409999999999999</v>
      </c>
      <c r="P146" s="9">
        <v>1.2927</v>
      </c>
      <c r="Q146" s="9">
        <v>32.440300000000001</v>
      </c>
      <c r="R146" s="9"/>
      <c r="S146" s="11"/>
    </row>
    <row r="147" spans="1:19" ht="15.75">
      <c r="A147" s="13">
        <v>45597</v>
      </c>
      <c r="B147" s="8">
        <f>CHOOSE( CONTROL!$C$32, 6.9921, 6.9919) * CHOOSE(CONTROL!$C$15, $D$11, 100%, $F$11)</f>
        <v>6.9920999999999998</v>
      </c>
      <c r="C147" s="8">
        <f>CHOOSE( CONTROL!$C$32, 6.9972, 6.9969) * CHOOSE(CONTROL!$C$15, $D$11, 100%, $F$11)</f>
        <v>6.9972000000000003</v>
      </c>
      <c r="D147" s="8">
        <f>CHOOSE( CONTROL!$C$32, 6.9651, 6.9648) * CHOOSE( CONTROL!$C$15, $D$11, 100%, $F$11)</f>
        <v>6.9650999999999996</v>
      </c>
      <c r="E147" s="12">
        <f>CHOOSE( CONTROL!$C$32, 6.9763, 6.976) * CHOOSE( CONTROL!$C$15, $D$11, 100%, $F$11)</f>
        <v>6.9763000000000002</v>
      </c>
      <c r="F147" s="4">
        <f>CHOOSE( CONTROL!$C$32, 7.6574, 7.6571) * CHOOSE(CONTROL!$C$15, $D$11, 100%, $F$11)</f>
        <v>7.6574</v>
      </c>
      <c r="G147" s="8">
        <f>CHOOSE( CONTROL!$C$32, 6.9076, 6.9074) * CHOOSE( CONTROL!$C$15, $D$11, 100%, $F$11)</f>
        <v>6.9076000000000004</v>
      </c>
      <c r="H147" s="4">
        <f>CHOOSE( CONTROL!$C$32, 7.8144, 7.8141) * CHOOSE(CONTROL!$C$15, $D$11, 100%, $F$11)</f>
        <v>7.8144</v>
      </c>
      <c r="I147" s="8">
        <f>CHOOSE( CONTROL!$C$32, 6.9149, 6.9146) * CHOOSE(CONTROL!$C$15, $D$11, 100%, $F$11)</f>
        <v>6.9149000000000003</v>
      </c>
      <c r="J147" s="4">
        <f>CHOOSE( CONTROL!$C$32, 6.7771, 6.7769) * CHOOSE(CONTROL!$C$15, $D$11, 100%, $F$11)</f>
        <v>6.7770999999999999</v>
      </c>
      <c r="K147" s="4"/>
      <c r="L147" s="9">
        <v>28.360600000000002</v>
      </c>
      <c r="M147" s="9">
        <v>11.6745</v>
      </c>
      <c r="N147" s="9">
        <v>4.7850000000000001</v>
      </c>
      <c r="O147" s="9">
        <v>0.36199999999999999</v>
      </c>
      <c r="P147" s="9">
        <v>1.2509999999999999</v>
      </c>
      <c r="Q147" s="9">
        <v>31.393799999999999</v>
      </c>
      <c r="R147" s="9"/>
      <c r="S147" s="11"/>
    </row>
    <row r="148" spans="1:19" ht="15.75">
      <c r="A148" s="13">
        <v>45627</v>
      </c>
      <c r="B148" s="8">
        <f>CHOOSE( CONTROL!$C$32, 6.9794, 6.9792) * CHOOSE(CONTROL!$C$15, $D$11, 100%, $F$11)</f>
        <v>6.9794</v>
      </c>
      <c r="C148" s="8">
        <f>CHOOSE( CONTROL!$C$32, 6.9845, 6.9842) * CHOOSE(CONTROL!$C$15, $D$11, 100%, $F$11)</f>
        <v>6.9844999999999997</v>
      </c>
      <c r="D148" s="8">
        <f>CHOOSE( CONTROL!$C$32, 6.9542, 6.9539) * CHOOSE( CONTROL!$C$15, $D$11, 100%, $F$11)</f>
        <v>6.9542000000000002</v>
      </c>
      <c r="E148" s="12">
        <f>CHOOSE( CONTROL!$C$32, 6.9647, 6.9644) * CHOOSE( CONTROL!$C$15, $D$11, 100%, $F$11)</f>
        <v>6.9646999999999997</v>
      </c>
      <c r="F148" s="4">
        <f>CHOOSE( CONTROL!$C$32, 7.6447, 7.6444) * CHOOSE(CONTROL!$C$15, $D$11, 100%, $F$11)</f>
        <v>7.6447000000000003</v>
      </c>
      <c r="G148" s="8">
        <f>CHOOSE( CONTROL!$C$32, 6.8964, 6.8961) * CHOOSE( CONTROL!$C$15, $D$11, 100%, $F$11)</f>
        <v>6.8963999999999999</v>
      </c>
      <c r="H148" s="4">
        <f>CHOOSE( CONTROL!$C$32, 7.8018, 7.8016) * CHOOSE(CONTROL!$C$15, $D$11, 100%, $F$11)</f>
        <v>7.8018000000000001</v>
      </c>
      <c r="I148" s="8">
        <f>CHOOSE( CONTROL!$C$32, 6.9083, 6.908) * CHOOSE(CONTROL!$C$15, $D$11, 100%, $F$11)</f>
        <v>6.9082999999999997</v>
      </c>
      <c r="J148" s="4">
        <f>CHOOSE( CONTROL!$C$32, 6.7648, 6.7645) * CHOOSE(CONTROL!$C$15, $D$11, 100%, $F$11)</f>
        <v>6.7648000000000001</v>
      </c>
      <c r="K148" s="4"/>
      <c r="L148" s="9">
        <v>29.306000000000001</v>
      </c>
      <c r="M148" s="9">
        <v>12.063700000000001</v>
      </c>
      <c r="N148" s="9">
        <v>4.9444999999999997</v>
      </c>
      <c r="O148" s="9">
        <v>0.37409999999999999</v>
      </c>
      <c r="P148" s="9">
        <v>1.2927</v>
      </c>
      <c r="Q148" s="9">
        <v>32.440300000000001</v>
      </c>
      <c r="R148" s="9"/>
      <c r="S148" s="11"/>
    </row>
    <row r="149" spans="1:19" ht="15.75">
      <c r="A149" s="13">
        <v>45658</v>
      </c>
      <c r="B149" s="8">
        <f>CHOOSE( CONTROL!$C$32, 7.2578, 7.2576) * CHOOSE(CONTROL!$C$15, $D$11, 100%, $F$11)</f>
        <v>7.2577999999999996</v>
      </c>
      <c r="C149" s="8">
        <f>CHOOSE( CONTROL!$C$32, 7.2629, 7.2626) * CHOOSE(CONTROL!$C$15, $D$11, 100%, $F$11)</f>
        <v>7.2629000000000001</v>
      </c>
      <c r="D149" s="8">
        <f>CHOOSE( CONTROL!$C$32, 7.2606, 7.2603) * CHOOSE( CONTROL!$C$15, $D$11, 100%, $F$11)</f>
        <v>7.2606000000000002</v>
      </c>
      <c r="E149" s="12">
        <f>CHOOSE( CONTROL!$C$32, 7.2609, 7.2606) * CHOOSE( CONTROL!$C$15, $D$11, 100%, $F$11)</f>
        <v>7.2609000000000004</v>
      </c>
      <c r="F149" s="4">
        <f>CHOOSE( CONTROL!$C$32, 7.9231, 7.9229) * CHOOSE(CONTROL!$C$15, $D$11, 100%, $F$11)</f>
        <v>7.9230999999999998</v>
      </c>
      <c r="G149" s="8">
        <f>CHOOSE( CONTROL!$C$32, 7.1877, 7.1874) * CHOOSE( CONTROL!$C$15, $D$11, 100%, $F$11)</f>
        <v>7.1877000000000004</v>
      </c>
      <c r="H149" s="4">
        <f>CHOOSE( CONTROL!$C$32, 8.077, 8.0767) * CHOOSE(CONTROL!$C$15, $D$11, 100%, $F$11)</f>
        <v>8.077</v>
      </c>
      <c r="I149" s="8">
        <f>CHOOSE( CONTROL!$C$32, 7.1521, 7.1518) * CHOOSE(CONTROL!$C$15, $D$11, 100%, $F$11)</f>
        <v>7.1520999999999999</v>
      </c>
      <c r="J149" s="4">
        <f>CHOOSE( CONTROL!$C$32, 7.035, 7.0347) * CHOOSE(CONTROL!$C$15, $D$11, 100%, $F$11)</f>
        <v>7.0350000000000001</v>
      </c>
      <c r="K149" s="4"/>
      <c r="L149" s="9">
        <v>29.306000000000001</v>
      </c>
      <c r="M149" s="9">
        <v>12.063700000000001</v>
      </c>
      <c r="N149" s="9">
        <v>4.9444999999999997</v>
      </c>
      <c r="O149" s="9">
        <v>0.37409999999999999</v>
      </c>
      <c r="P149" s="9">
        <v>1.2927</v>
      </c>
      <c r="Q149" s="9">
        <v>32.254300000000001</v>
      </c>
      <c r="R149" s="9"/>
      <c r="S149" s="11"/>
    </row>
    <row r="150" spans="1:19" ht="15.75">
      <c r="A150" s="13">
        <v>45689</v>
      </c>
      <c r="B150" s="8">
        <f>CHOOSE( CONTROL!$C$32, 6.7892, 6.789) * CHOOSE(CONTROL!$C$15, $D$11, 100%, $F$11)</f>
        <v>6.7892000000000001</v>
      </c>
      <c r="C150" s="8">
        <f>CHOOSE( CONTROL!$C$32, 6.7943, 6.794) * CHOOSE(CONTROL!$C$15, $D$11, 100%, $F$11)</f>
        <v>6.7942999999999998</v>
      </c>
      <c r="D150" s="8">
        <f>CHOOSE( CONTROL!$C$32, 6.7743, 6.774) * CHOOSE( CONTROL!$C$15, $D$11, 100%, $F$11)</f>
        <v>6.7743000000000002</v>
      </c>
      <c r="E150" s="12">
        <f>CHOOSE( CONTROL!$C$32, 6.7811, 6.7808) * CHOOSE( CONTROL!$C$15, $D$11, 100%, $F$11)</f>
        <v>6.7811000000000003</v>
      </c>
      <c r="F150" s="4">
        <f>CHOOSE( CONTROL!$C$32, 7.4545, 7.4542) * CHOOSE(CONTROL!$C$15, $D$11, 100%, $F$11)</f>
        <v>7.4545000000000003</v>
      </c>
      <c r="G150" s="8">
        <f>CHOOSE( CONTROL!$C$32, 6.7134, 6.7131) * CHOOSE( CONTROL!$C$15, $D$11, 100%, $F$11)</f>
        <v>6.7134</v>
      </c>
      <c r="H150" s="4">
        <f>CHOOSE( CONTROL!$C$32, 7.6139, 7.6136) * CHOOSE(CONTROL!$C$15, $D$11, 100%, $F$11)</f>
        <v>7.6139000000000001</v>
      </c>
      <c r="I150" s="8">
        <f>CHOOSE( CONTROL!$C$32, 6.6975, 6.6972) * CHOOSE(CONTROL!$C$15, $D$11, 100%, $F$11)</f>
        <v>6.6974999999999998</v>
      </c>
      <c r="J150" s="4">
        <f>CHOOSE( CONTROL!$C$32, 6.5802, 6.5799) * CHOOSE(CONTROL!$C$15, $D$11, 100%, $F$11)</f>
        <v>6.5801999999999996</v>
      </c>
      <c r="K150" s="4"/>
      <c r="L150" s="9">
        <v>26.469899999999999</v>
      </c>
      <c r="M150" s="9">
        <v>10.8962</v>
      </c>
      <c r="N150" s="9">
        <v>4.4660000000000002</v>
      </c>
      <c r="O150" s="9">
        <v>0.33789999999999998</v>
      </c>
      <c r="P150" s="9">
        <v>1.1676</v>
      </c>
      <c r="Q150" s="9">
        <v>29.132899999999999</v>
      </c>
      <c r="R150" s="9"/>
      <c r="S150" s="11"/>
    </row>
    <row r="151" spans="1:19" ht="15.75">
      <c r="A151" s="13">
        <v>45717</v>
      </c>
      <c r="B151" s="8">
        <f>CHOOSE( CONTROL!$C$32, 6.6449, 6.6446) * CHOOSE(CONTROL!$C$15, $D$11, 100%, $F$11)</f>
        <v>6.6448999999999998</v>
      </c>
      <c r="C151" s="8">
        <f>CHOOSE( CONTROL!$C$32, 6.65, 6.6497) * CHOOSE(CONTROL!$C$15, $D$11, 100%, $F$11)</f>
        <v>6.65</v>
      </c>
      <c r="D151" s="8">
        <f>CHOOSE( CONTROL!$C$32, 6.62, 6.6197) * CHOOSE( CONTROL!$C$15, $D$11, 100%, $F$11)</f>
        <v>6.62</v>
      </c>
      <c r="E151" s="12">
        <f>CHOOSE( CONTROL!$C$32, 6.6304, 6.6301) * CHOOSE( CONTROL!$C$15, $D$11, 100%, $F$11)</f>
        <v>6.6303999999999998</v>
      </c>
      <c r="F151" s="4">
        <f>CHOOSE( CONTROL!$C$32, 7.3102, 7.3099) * CHOOSE(CONTROL!$C$15, $D$11, 100%, $F$11)</f>
        <v>7.3102</v>
      </c>
      <c r="G151" s="8">
        <f>CHOOSE( CONTROL!$C$32, 6.5575, 6.5573) * CHOOSE( CONTROL!$C$15, $D$11, 100%, $F$11)</f>
        <v>6.5575000000000001</v>
      </c>
      <c r="H151" s="4">
        <f>CHOOSE( CONTROL!$C$32, 7.4712, 7.471) * CHOOSE(CONTROL!$C$15, $D$11, 100%, $F$11)</f>
        <v>7.4711999999999996</v>
      </c>
      <c r="I151" s="8">
        <f>CHOOSE( CONTROL!$C$32, 6.5222, 6.5219) * CHOOSE(CONTROL!$C$15, $D$11, 100%, $F$11)</f>
        <v>6.5221999999999998</v>
      </c>
      <c r="J151" s="4">
        <f>CHOOSE( CONTROL!$C$32, 6.4401, 6.4399) * CHOOSE(CONTROL!$C$15, $D$11, 100%, $F$11)</f>
        <v>6.4401000000000002</v>
      </c>
      <c r="K151" s="4"/>
      <c r="L151" s="9">
        <v>29.306000000000001</v>
      </c>
      <c r="M151" s="9">
        <v>12.063700000000001</v>
      </c>
      <c r="N151" s="9">
        <v>4.9444999999999997</v>
      </c>
      <c r="O151" s="9">
        <v>0.37409999999999999</v>
      </c>
      <c r="P151" s="9">
        <v>1.2927</v>
      </c>
      <c r="Q151" s="9">
        <v>32.254300000000001</v>
      </c>
      <c r="R151" s="9"/>
      <c r="S151" s="11"/>
    </row>
    <row r="152" spans="1:19" ht="15.75">
      <c r="A152" s="13">
        <v>45748</v>
      </c>
      <c r="B152" s="8">
        <f>CHOOSE( CONTROL!$C$32, 6.7465, 6.7463) * CHOOSE(CONTROL!$C$15, $D$11, 100%, $F$11)</f>
        <v>6.7465000000000002</v>
      </c>
      <c r="C152" s="8">
        <f>CHOOSE( CONTROL!$C$32, 6.751, 6.7508) * CHOOSE(CONTROL!$C$15, $D$11, 100%, $F$11)</f>
        <v>6.7510000000000003</v>
      </c>
      <c r="D152" s="8">
        <f>CHOOSE( CONTROL!$C$32, 6.7505, 6.7503) * CHOOSE( CONTROL!$C$15, $D$11, 100%, $F$11)</f>
        <v>6.7504999999999997</v>
      </c>
      <c r="E152" s="12">
        <f>CHOOSE( CONTROL!$C$32, 6.7502, 6.75) * CHOOSE( CONTROL!$C$15, $D$11, 100%, $F$11)</f>
        <v>6.7502000000000004</v>
      </c>
      <c r="F152" s="4">
        <f>CHOOSE( CONTROL!$C$32, 7.4548, 7.4546) * CHOOSE(CONTROL!$C$15, $D$11, 100%, $F$11)</f>
        <v>7.4547999999999996</v>
      </c>
      <c r="G152" s="8">
        <f>CHOOSE( CONTROL!$C$32, 6.6742, 6.674) * CHOOSE( CONTROL!$C$15, $D$11, 100%, $F$11)</f>
        <v>6.6741999999999999</v>
      </c>
      <c r="H152" s="4">
        <f>CHOOSE( CONTROL!$C$32, 7.6142, 7.6139) * CHOOSE(CONTROL!$C$15, $D$11, 100%, $F$11)</f>
        <v>7.6142000000000003</v>
      </c>
      <c r="I152" s="8">
        <f>CHOOSE( CONTROL!$C$32, 6.6206, 6.6204) * CHOOSE(CONTROL!$C$15, $D$11, 100%, $F$11)</f>
        <v>6.6205999999999996</v>
      </c>
      <c r="J152" s="4">
        <f>CHOOSE( CONTROL!$C$32, 6.538, 6.5377) * CHOOSE(CONTROL!$C$15, $D$11, 100%, $F$11)</f>
        <v>6.5380000000000003</v>
      </c>
      <c r="K152" s="4"/>
      <c r="L152" s="9">
        <v>30.092199999999998</v>
      </c>
      <c r="M152" s="9">
        <v>11.6745</v>
      </c>
      <c r="N152" s="9">
        <v>4.7850000000000001</v>
      </c>
      <c r="O152" s="9">
        <v>0.36199999999999999</v>
      </c>
      <c r="P152" s="9">
        <v>1.2509999999999999</v>
      </c>
      <c r="Q152" s="9">
        <v>31.213799999999999</v>
      </c>
      <c r="R152" s="9"/>
      <c r="S152" s="11"/>
    </row>
    <row r="153" spans="1:19" ht="15.75">
      <c r="A153" s="13">
        <v>45778</v>
      </c>
      <c r="B153" s="8">
        <f>CHOOSE( CONTROL!$C$32, 6.9276, 6.9271) * CHOOSE(CONTROL!$C$15, $D$11, 100%, $F$11)</f>
        <v>6.9276</v>
      </c>
      <c r="C153" s="8">
        <f>CHOOSE( CONTROL!$C$32, 6.9355, 6.9351) * CHOOSE(CONTROL!$C$15, $D$11, 100%, $F$11)</f>
        <v>6.9355000000000002</v>
      </c>
      <c r="D153" s="8">
        <f>CHOOSE( CONTROL!$C$32, 6.9298, 6.9294) * CHOOSE( CONTROL!$C$15, $D$11, 100%, $F$11)</f>
        <v>6.9298000000000002</v>
      </c>
      <c r="E153" s="12">
        <f>CHOOSE( CONTROL!$C$32, 6.9307, 6.9302) * CHOOSE( CONTROL!$C$15, $D$11, 100%, $F$11)</f>
        <v>6.9306999999999999</v>
      </c>
      <c r="F153" s="4">
        <f>CHOOSE( CONTROL!$C$32, 7.6345, 7.6341) * CHOOSE(CONTROL!$C$15, $D$11, 100%, $F$11)</f>
        <v>7.6345000000000001</v>
      </c>
      <c r="G153" s="8">
        <f>CHOOSE( CONTROL!$C$32, 6.8521, 6.8517) * CHOOSE( CONTROL!$C$15, $D$11, 100%, $F$11)</f>
        <v>6.8521000000000001</v>
      </c>
      <c r="H153" s="4">
        <f>CHOOSE( CONTROL!$C$32, 7.7918, 7.7913) * CHOOSE(CONTROL!$C$15, $D$11, 100%, $F$11)</f>
        <v>7.7918000000000003</v>
      </c>
      <c r="I153" s="8">
        <f>CHOOSE( CONTROL!$C$32, 6.7957, 6.7952) * CHOOSE(CONTROL!$C$15, $D$11, 100%, $F$11)</f>
        <v>6.7957000000000001</v>
      </c>
      <c r="J153" s="4">
        <f>CHOOSE( CONTROL!$C$32, 6.7124, 6.7119) * CHOOSE(CONTROL!$C$15, $D$11, 100%, $F$11)</f>
        <v>6.7123999999999997</v>
      </c>
      <c r="K153" s="4"/>
      <c r="L153" s="9">
        <v>30.7165</v>
      </c>
      <c r="M153" s="9">
        <v>12.063700000000001</v>
      </c>
      <c r="N153" s="9">
        <v>4.9444999999999997</v>
      </c>
      <c r="O153" s="9">
        <v>0.37409999999999999</v>
      </c>
      <c r="P153" s="9">
        <v>1.2927</v>
      </c>
      <c r="Q153" s="9">
        <v>32.254300000000001</v>
      </c>
      <c r="R153" s="9"/>
      <c r="S153" s="11"/>
    </row>
    <row r="154" spans="1:19" ht="15.75">
      <c r="A154" s="13">
        <v>45809</v>
      </c>
      <c r="B154" s="8">
        <f>CHOOSE( CONTROL!$C$32, 6.8164, 6.8159) * CHOOSE(CONTROL!$C$15, $D$11, 100%, $F$11)</f>
        <v>6.8163999999999998</v>
      </c>
      <c r="C154" s="8">
        <f>CHOOSE( CONTROL!$C$32, 6.8244, 6.8239) * CHOOSE(CONTROL!$C$15, $D$11, 100%, $F$11)</f>
        <v>6.8243999999999998</v>
      </c>
      <c r="D154" s="8">
        <f>CHOOSE( CONTROL!$C$32, 6.8191, 6.8186) * CHOOSE( CONTROL!$C$15, $D$11, 100%, $F$11)</f>
        <v>6.8190999999999997</v>
      </c>
      <c r="E154" s="12">
        <f>CHOOSE( CONTROL!$C$32, 6.8198, 6.8193) * CHOOSE( CONTROL!$C$15, $D$11, 100%, $F$11)</f>
        <v>6.8197999999999999</v>
      </c>
      <c r="F154" s="4">
        <f>CHOOSE( CONTROL!$C$32, 7.5233, 7.5229) * CHOOSE(CONTROL!$C$15, $D$11, 100%, $F$11)</f>
        <v>7.5232999999999999</v>
      </c>
      <c r="G154" s="8">
        <f>CHOOSE( CONTROL!$C$32, 6.7426, 6.7421) * CHOOSE( CONTROL!$C$15, $D$11, 100%, $F$11)</f>
        <v>6.7426000000000004</v>
      </c>
      <c r="H154" s="4">
        <f>CHOOSE( CONTROL!$C$32, 7.6819, 7.6814) * CHOOSE(CONTROL!$C$15, $D$11, 100%, $F$11)</f>
        <v>7.6818999999999997</v>
      </c>
      <c r="I154" s="8">
        <f>CHOOSE( CONTROL!$C$32, 6.6891, 6.6887) * CHOOSE(CONTROL!$C$15, $D$11, 100%, $F$11)</f>
        <v>6.6890999999999998</v>
      </c>
      <c r="J154" s="4">
        <f>CHOOSE( CONTROL!$C$32, 6.6045, 6.604) * CHOOSE(CONTROL!$C$15, $D$11, 100%, $F$11)</f>
        <v>6.6044999999999998</v>
      </c>
      <c r="K154" s="4"/>
      <c r="L154" s="9">
        <v>29.7257</v>
      </c>
      <c r="M154" s="9">
        <v>11.6745</v>
      </c>
      <c r="N154" s="9">
        <v>4.7850000000000001</v>
      </c>
      <c r="O154" s="9">
        <v>0.36199999999999999</v>
      </c>
      <c r="P154" s="9">
        <v>1.2509999999999999</v>
      </c>
      <c r="Q154" s="9">
        <v>31.213799999999999</v>
      </c>
      <c r="R154" s="9"/>
      <c r="S154" s="11"/>
    </row>
    <row r="155" spans="1:19" ht="15.75">
      <c r="A155" s="13">
        <v>45839</v>
      </c>
      <c r="B155" s="8">
        <f>CHOOSE( CONTROL!$C$32, 7.1092, 7.1087) * CHOOSE(CONTROL!$C$15, $D$11, 100%, $F$11)</f>
        <v>7.1092000000000004</v>
      </c>
      <c r="C155" s="8">
        <f>CHOOSE( CONTROL!$C$32, 7.1172, 7.1167) * CHOOSE(CONTROL!$C$15, $D$11, 100%, $F$11)</f>
        <v>7.1172000000000004</v>
      </c>
      <c r="D155" s="8">
        <f>CHOOSE( CONTROL!$C$32, 7.1123, 7.1119) * CHOOSE( CONTROL!$C$15, $D$11, 100%, $F$11)</f>
        <v>7.1123000000000003</v>
      </c>
      <c r="E155" s="12">
        <f>CHOOSE( CONTROL!$C$32, 7.1129, 7.1124) * CHOOSE( CONTROL!$C$15, $D$11, 100%, $F$11)</f>
        <v>7.1128999999999998</v>
      </c>
      <c r="F155" s="4">
        <f>CHOOSE( CONTROL!$C$32, 7.8161, 7.8157) * CHOOSE(CONTROL!$C$15, $D$11, 100%, $F$11)</f>
        <v>7.8160999999999996</v>
      </c>
      <c r="G155" s="8">
        <f>CHOOSE( CONTROL!$C$32, 7.0323, 7.0319) * CHOOSE( CONTROL!$C$15, $D$11, 100%, $F$11)</f>
        <v>7.0323000000000002</v>
      </c>
      <c r="H155" s="4">
        <f>CHOOSE( CONTROL!$C$32, 7.9712, 7.9708) * CHOOSE(CONTROL!$C$15, $D$11, 100%, $F$11)</f>
        <v>7.9711999999999996</v>
      </c>
      <c r="I155" s="8">
        <f>CHOOSE( CONTROL!$C$32, 6.975, 6.9746) * CHOOSE(CONTROL!$C$15, $D$11, 100%, $F$11)</f>
        <v>6.9749999999999996</v>
      </c>
      <c r="J155" s="4">
        <f>CHOOSE( CONTROL!$C$32, 6.8887, 6.8882) * CHOOSE(CONTROL!$C$15, $D$11, 100%, $F$11)</f>
        <v>6.8887</v>
      </c>
      <c r="K155" s="4"/>
      <c r="L155" s="9">
        <v>30.7165</v>
      </c>
      <c r="M155" s="9">
        <v>12.063700000000001</v>
      </c>
      <c r="N155" s="9">
        <v>4.9444999999999997</v>
      </c>
      <c r="O155" s="9">
        <v>0.37409999999999999</v>
      </c>
      <c r="P155" s="9">
        <v>1.2927</v>
      </c>
      <c r="Q155" s="9">
        <v>32.254300000000001</v>
      </c>
      <c r="R155" s="9"/>
      <c r="S155" s="11"/>
    </row>
    <row r="156" spans="1:19" ht="15.75">
      <c r="A156" s="13">
        <v>45870</v>
      </c>
      <c r="B156" s="8">
        <f>CHOOSE( CONTROL!$C$32, 6.5613, 6.5609) * CHOOSE(CONTROL!$C$15, $D$11, 100%, $F$11)</f>
        <v>6.5613000000000001</v>
      </c>
      <c r="C156" s="8">
        <f>CHOOSE( CONTROL!$C$32, 6.5693, 6.5688) * CHOOSE(CONTROL!$C$15, $D$11, 100%, $F$11)</f>
        <v>6.5693000000000001</v>
      </c>
      <c r="D156" s="8">
        <f>CHOOSE( CONTROL!$C$32, 6.5646, 6.5641) * CHOOSE( CONTROL!$C$15, $D$11, 100%, $F$11)</f>
        <v>6.5646000000000004</v>
      </c>
      <c r="E156" s="12">
        <f>CHOOSE( CONTROL!$C$32, 6.5651, 6.5646) * CHOOSE( CONTROL!$C$15, $D$11, 100%, $F$11)</f>
        <v>6.5651000000000002</v>
      </c>
      <c r="F156" s="4">
        <f>CHOOSE( CONTROL!$C$32, 7.2683, 7.2678) * CHOOSE(CONTROL!$C$15, $D$11, 100%, $F$11)</f>
        <v>7.2683</v>
      </c>
      <c r="G156" s="8">
        <f>CHOOSE( CONTROL!$C$32, 6.491, 6.4905) * CHOOSE( CONTROL!$C$15, $D$11, 100%, $F$11)</f>
        <v>6.4909999999999997</v>
      </c>
      <c r="H156" s="4">
        <f>CHOOSE( CONTROL!$C$32, 7.4298, 7.4293) * CHOOSE(CONTROL!$C$15, $D$11, 100%, $F$11)</f>
        <v>7.4298000000000002</v>
      </c>
      <c r="I156" s="8">
        <f>CHOOSE( CONTROL!$C$32, 6.4435, 6.443) * CHOOSE(CONTROL!$C$15, $D$11, 100%, $F$11)</f>
        <v>6.4435000000000002</v>
      </c>
      <c r="J156" s="4">
        <f>CHOOSE( CONTROL!$C$32, 6.3569, 6.3565) * CHOOSE(CONTROL!$C$15, $D$11, 100%, $F$11)</f>
        <v>6.3569000000000004</v>
      </c>
      <c r="K156" s="4"/>
      <c r="L156" s="9">
        <v>30.7165</v>
      </c>
      <c r="M156" s="9">
        <v>12.063700000000001</v>
      </c>
      <c r="N156" s="9">
        <v>4.9444999999999997</v>
      </c>
      <c r="O156" s="9">
        <v>0.37409999999999999</v>
      </c>
      <c r="P156" s="9">
        <v>1.2927</v>
      </c>
      <c r="Q156" s="9">
        <v>32.254300000000001</v>
      </c>
      <c r="R156" s="9"/>
      <c r="S156" s="11"/>
    </row>
    <row r="157" spans="1:19" ht="15.75">
      <c r="A157" s="13">
        <v>45901</v>
      </c>
      <c r="B157" s="8">
        <f>CHOOSE( CONTROL!$C$32, 6.4241, 6.4237) * CHOOSE(CONTROL!$C$15, $D$11, 100%, $F$11)</f>
        <v>6.4241000000000001</v>
      </c>
      <c r="C157" s="8">
        <f>CHOOSE( CONTROL!$C$32, 6.4321, 6.4316) * CHOOSE(CONTROL!$C$15, $D$11, 100%, $F$11)</f>
        <v>6.4321000000000002</v>
      </c>
      <c r="D157" s="8">
        <f>CHOOSE( CONTROL!$C$32, 6.4272, 6.4268) * CHOOSE( CONTROL!$C$15, $D$11, 100%, $F$11)</f>
        <v>6.4272</v>
      </c>
      <c r="E157" s="12">
        <f>CHOOSE( CONTROL!$C$32, 6.4278, 6.4273) * CHOOSE( CONTROL!$C$15, $D$11, 100%, $F$11)</f>
        <v>6.4278000000000004</v>
      </c>
      <c r="F157" s="4">
        <f>CHOOSE( CONTROL!$C$32, 7.1311, 7.1306) * CHOOSE(CONTROL!$C$15, $D$11, 100%, $F$11)</f>
        <v>7.1311</v>
      </c>
      <c r="G157" s="8">
        <f>CHOOSE( CONTROL!$C$32, 6.3552, 6.3548) * CHOOSE( CONTROL!$C$15, $D$11, 100%, $F$11)</f>
        <v>6.3552</v>
      </c>
      <c r="H157" s="4">
        <f>CHOOSE( CONTROL!$C$32, 7.2942, 7.2937) * CHOOSE(CONTROL!$C$15, $D$11, 100%, $F$11)</f>
        <v>7.2942</v>
      </c>
      <c r="I157" s="8">
        <f>CHOOSE( CONTROL!$C$32, 6.3097, 6.3093) * CHOOSE(CONTROL!$C$15, $D$11, 100%, $F$11)</f>
        <v>6.3097000000000003</v>
      </c>
      <c r="J157" s="4">
        <f>CHOOSE( CONTROL!$C$32, 6.2238, 6.2233) * CHOOSE(CONTROL!$C$15, $D$11, 100%, $F$11)</f>
        <v>6.2237999999999998</v>
      </c>
      <c r="K157" s="4"/>
      <c r="L157" s="9">
        <v>29.7257</v>
      </c>
      <c r="M157" s="9">
        <v>11.6745</v>
      </c>
      <c r="N157" s="9">
        <v>4.7850000000000001</v>
      </c>
      <c r="O157" s="9">
        <v>0.36199999999999999</v>
      </c>
      <c r="P157" s="9">
        <v>1.2509999999999999</v>
      </c>
      <c r="Q157" s="9">
        <v>31.213799999999999</v>
      </c>
      <c r="R157" s="9"/>
      <c r="S157" s="11"/>
    </row>
    <row r="158" spans="1:19" ht="15.75">
      <c r="A158" s="13">
        <v>45931</v>
      </c>
      <c r="B158" s="8">
        <f>CHOOSE( CONTROL!$C$32, 6.7071, 6.7068) * CHOOSE(CONTROL!$C$15, $D$11, 100%, $F$11)</f>
        <v>6.7070999999999996</v>
      </c>
      <c r="C158" s="8">
        <f>CHOOSE( CONTROL!$C$32, 6.7124, 6.7121) * CHOOSE(CONTROL!$C$15, $D$11, 100%, $F$11)</f>
        <v>6.7123999999999997</v>
      </c>
      <c r="D158" s="8">
        <f>CHOOSE( CONTROL!$C$32, 6.7126, 6.7123) * CHOOSE( CONTROL!$C$15, $D$11, 100%, $F$11)</f>
        <v>6.7126000000000001</v>
      </c>
      <c r="E158" s="12">
        <f>CHOOSE( CONTROL!$C$32, 6.712, 6.7117) * CHOOSE( CONTROL!$C$15, $D$11, 100%, $F$11)</f>
        <v>6.7119999999999997</v>
      </c>
      <c r="F158" s="4">
        <f>CHOOSE( CONTROL!$C$32, 7.4157, 7.4155) * CHOOSE(CONTROL!$C$15, $D$11, 100%, $F$11)</f>
        <v>7.4157000000000002</v>
      </c>
      <c r="G158" s="8">
        <f>CHOOSE( CONTROL!$C$32, 6.6365, 6.6363) * CHOOSE( CONTROL!$C$15, $D$11, 100%, $F$11)</f>
        <v>6.6364999999999998</v>
      </c>
      <c r="H158" s="4">
        <f>CHOOSE( CONTROL!$C$32, 7.5755, 7.5753) * CHOOSE(CONTROL!$C$15, $D$11, 100%, $F$11)</f>
        <v>7.5754999999999999</v>
      </c>
      <c r="I158" s="8">
        <f>CHOOSE( CONTROL!$C$32, 6.5869, 6.5866) * CHOOSE(CONTROL!$C$15, $D$11, 100%, $F$11)</f>
        <v>6.5869</v>
      </c>
      <c r="J158" s="4">
        <f>CHOOSE( CONTROL!$C$32, 6.5001, 6.4998) * CHOOSE(CONTROL!$C$15, $D$11, 100%, $F$11)</f>
        <v>6.5000999999999998</v>
      </c>
      <c r="K158" s="4"/>
      <c r="L158" s="9">
        <v>31.095300000000002</v>
      </c>
      <c r="M158" s="9">
        <v>12.063700000000001</v>
      </c>
      <c r="N158" s="9">
        <v>4.9444999999999997</v>
      </c>
      <c r="O158" s="9">
        <v>0.37409999999999999</v>
      </c>
      <c r="P158" s="9">
        <v>1.2927</v>
      </c>
      <c r="Q158" s="9">
        <v>32.254300000000001</v>
      </c>
      <c r="R158" s="9"/>
      <c r="S158" s="11"/>
    </row>
    <row r="159" spans="1:19" ht="15.75">
      <c r="A159" s="13">
        <v>45962</v>
      </c>
      <c r="B159" s="8">
        <f>CHOOSE( CONTROL!$C$32, 7.2325, 7.2322) * CHOOSE(CONTROL!$C$15, $D$11, 100%, $F$11)</f>
        <v>7.2324999999999999</v>
      </c>
      <c r="C159" s="8">
        <f>CHOOSE( CONTROL!$C$32, 7.2375, 7.2373) * CHOOSE(CONTROL!$C$15, $D$11, 100%, $F$11)</f>
        <v>7.2374999999999998</v>
      </c>
      <c r="D159" s="8">
        <f>CHOOSE( CONTROL!$C$32, 7.2054, 7.2051) * CHOOSE( CONTROL!$C$15, $D$11, 100%, $F$11)</f>
        <v>7.2054</v>
      </c>
      <c r="E159" s="12">
        <f>CHOOSE( CONTROL!$C$32, 7.2166, 7.2163) * CHOOSE( CONTROL!$C$15, $D$11, 100%, $F$11)</f>
        <v>7.2165999999999997</v>
      </c>
      <c r="F159" s="4">
        <f>CHOOSE( CONTROL!$C$32, 7.8978, 7.8975) * CHOOSE(CONTROL!$C$15, $D$11, 100%, $F$11)</f>
        <v>7.8978000000000002</v>
      </c>
      <c r="G159" s="8">
        <f>CHOOSE( CONTROL!$C$32, 7.1451, 7.1449) * CHOOSE( CONTROL!$C$15, $D$11, 100%, $F$11)</f>
        <v>7.1451000000000002</v>
      </c>
      <c r="H159" s="4">
        <f>CHOOSE( CONTROL!$C$32, 8.0519, 8.0516) * CHOOSE(CONTROL!$C$15, $D$11, 100%, $F$11)</f>
        <v>8.0518999999999998</v>
      </c>
      <c r="I159" s="8">
        <f>CHOOSE( CONTROL!$C$32, 7.1482, 7.148) * CHOOSE(CONTROL!$C$15, $D$11, 100%, $F$11)</f>
        <v>7.1482000000000001</v>
      </c>
      <c r="J159" s="4">
        <f>CHOOSE( CONTROL!$C$32, 7.0104, 7.0101) * CHOOSE(CONTROL!$C$15, $D$11, 100%, $F$11)</f>
        <v>7.0103999999999997</v>
      </c>
      <c r="K159" s="4"/>
      <c r="L159" s="9">
        <v>28.360600000000002</v>
      </c>
      <c r="M159" s="9">
        <v>11.6745</v>
      </c>
      <c r="N159" s="9">
        <v>4.7850000000000001</v>
      </c>
      <c r="O159" s="9">
        <v>0.36199999999999999</v>
      </c>
      <c r="P159" s="9">
        <v>1.2509999999999999</v>
      </c>
      <c r="Q159" s="9">
        <v>31.213799999999999</v>
      </c>
      <c r="R159" s="9"/>
      <c r="S159" s="11"/>
    </row>
    <row r="160" spans="1:19" ht="15.75">
      <c r="A160" s="13">
        <v>45992</v>
      </c>
      <c r="B160" s="8">
        <f>CHOOSE( CONTROL!$C$32, 7.2193, 7.2191) * CHOOSE(CONTROL!$C$15, $D$11, 100%, $F$11)</f>
        <v>7.2192999999999996</v>
      </c>
      <c r="C160" s="8">
        <f>CHOOSE( CONTROL!$C$32, 7.2244, 7.2241) * CHOOSE(CONTROL!$C$15, $D$11, 100%, $F$11)</f>
        <v>7.2244000000000002</v>
      </c>
      <c r="D160" s="8">
        <f>CHOOSE( CONTROL!$C$32, 7.1941, 7.1938) * CHOOSE( CONTROL!$C$15, $D$11, 100%, $F$11)</f>
        <v>7.1940999999999997</v>
      </c>
      <c r="E160" s="12">
        <f>CHOOSE( CONTROL!$C$32, 7.2046, 7.2043) * CHOOSE( CONTROL!$C$15, $D$11, 100%, $F$11)</f>
        <v>7.2046000000000001</v>
      </c>
      <c r="F160" s="4">
        <f>CHOOSE( CONTROL!$C$32, 7.8846, 7.8843) * CHOOSE(CONTROL!$C$15, $D$11, 100%, $F$11)</f>
        <v>7.8845999999999998</v>
      </c>
      <c r="G160" s="8">
        <f>CHOOSE( CONTROL!$C$32, 7.1335, 7.1332) * CHOOSE( CONTROL!$C$15, $D$11, 100%, $F$11)</f>
        <v>7.1334999999999997</v>
      </c>
      <c r="H160" s="4">
        <f>CHOOSE( CONTROL!$C$32, 8.0389, 8.0387) * CHOOSE(CONTROL!$C$15, $D$11, 100%, $F$11)</f>
        <v>8.0388999999999999</v>
      </c>
      <c r="I160" s="8">
        <f>CHOOSE( CONTROL!$C$32, 7.1412, 7.1409) * CHOOSE(CONTROL!$C$15, $D$11, 100%, $F$11)</f>
        <v>7.1412000000000004</v>
      </c>
      <c r="J160" s="4">
        <f>CHOOSE( CONTROL!$C$32, 6.9976, 6.9973) * CHOOSE(CONTROL!$C$15, $D$11, 100%, $F$11)</f>
        <v>6.9976000000000003</v>
      </c>
      <c r="K160" s="4"/>
      <c r="L160" s="9">
        <v>29.306000000000001</v>
      </c>
      <c r="M160" s="9">
        <v>12.063700000000001</v>
      </c>
      <c r="N160" s="9">
        <v>4.9444999999999997</v>
      </c>
      <c r="O160" s="9">
        <v>0.37409999999999999</v>
      </c>
      <c r="P160" s="9">
        <v>1.2927</v>
      </c>
      <c r="Q160" s="9">
        <v>32.254300000000001</v>
      </c>
      <c r="R160" s="9"/>
      <c r="S160" s="11"/>
    </row>
    <row r="161" spans="1:19" ht="15.75">
      <c r="A161" s="13">
        <v>46023</v>
      </c>
      <c r="B161" s="8">
        <f>CHOOSE( CONTROL!$C$32, 7.4937, 7.4934) * CHOOSE(CONTROL!$C$15, $D$11, 100%, $F$11)</f>
        <v>7.4936999999999996</v>
      </c>
      <c r="C161" s="8">
        <f>CHOOSE( CONTROL!$C$32, 7.4988, 7.4985) * CHOOSE(CONTROL!$C$15, $D$11, 100%, $F$11)</f>
        <v>7.4988000000000001</v>
      </c>
      <c r="D161" s="8">
        <f>CHOOSE( CONTROL!$C$32, 7.4964, 7.4962) * CHOOSE( CONTROL!$C$15, $D$11, 100%, $F$11)</f>
        <v>7.4964000000000004</v>
      </c>
      <c r="E161" s="12">
        <f>CHOOSE( CONTROL!$C$32, 7.4967, 7.4965) * CHOOSE( CONTROL!$C$15, $D$11, 100%, $F$11)</f>
        <v>7.4966999999999997</v>
      </c>
      <c r="F161" s="4">
        <f>CHOOSE( CONTROL!$C$32, 8.159, 8.1587) * CHOOSE(CONTROL!$C$15, $D$11, 100%, $F$11)</f>
        <v>8.1590000000000007</v>
      </c>
      <c r="G161" s="8">
        <f>CHOOSE( CONTROL!$C$32, 7.4208, 7.4205) * CHOOSE( CONTROL!$C$15, $D$11, 100%, $F$11)</f>
        <v>7.4207999999999998</v>
      </c>
      <c r="H161" s="4">
        <f>CHOOSE( CONTROL!$C$32, 8.3101, 8.3098) * CHOOSE(CONTROL!$C$15, $D$11, 100%, $F$11)</f>
        <v>8.3101000000000003</v>
      </c>
      <c r="I161" s="8">
        <f>CHOOSE( CONTROL!$C$32, 7.3811, 7.3809) * CHOOSE(CONTROL!$C$15, $D$11, 100%, $F$11)</f>
        <v>7.3811</v>
      </c>
      <c r="J161" s="4">
        <f>CHOOSE( CONTROL!$C$32, 7.2639, 7.2636) * CHOOSE(CONTROL!$C$15, $D$11, 100%, $F$11)</f>
        <v>7.2638999999999996</v>
      </c>
      <c r="K161" s="4"/>
      <c r="L161" s="9">
        <v>29.306000000000001</v>
      </c>
      <c r="M161" s="9">
        <v>12.063700000000001</v>
      </c>
      <c r="N161" s="9">
        <v>4.9444999999999997</v>
      </c>
      <c r="O161" s="9">
        <v>0.37409999999999999</v>
      </c>
      <c r="P161" s="9">
        <v>1.2927</v>
      </c>
      <c r="Q161" s="9">
        <v>32.070099999999996</v>
      </c>
      <c r="R161" s="9"/>
      <c r="S161" s="11"/>
    </row>
    <row r="162" spans="1:19" ht="15.75">
      <c r="A162" s="13">
        <v>46054</v>
      </c>
      <c r="B162" s="8">
        <f>CHOOSE( CONTROL!$C$32, 7.0099, 7.0096) * CHOOSE(CONTROL!$C$15, $D$11, 100%, $F$11)</f>
        <v>7.0099</v>
      </c>
      <c r="C162" s="8">
        <f>CHOOSE( CONTROL!$C$32, 7.0149, 7.0147) * CHOOSE(CONTROL!$C$15, $D$11, 100%, $F$11)</f>
        <v>7.0148999999999999</v>
      </c>
      <c r="D162" s="8">
        <f>CHOOSE( CONTROL!$C$32, 6.9949, 6.9946) * CHOOSE( CONTROL!$C$15, $D$11, 100%, $F$11)</f>
        <v>6.9949000000000003</v>
      </c>
      <c r="E162" s="12">
        <f>CHOOSE( CONTROL!$C$32, 7.0017, 7.0014) * CHOOSE( CONTROL!$C$15, $D$11, 100%, $F$11)</f>
        <v>7.0016999999999996</v>
      </c>
      <c r="F162" s="4">
        <f>CHOOSE( CONTROL!$C$32, 7.6751, 7.6749) * CHOOSE(CONTROL!$C$15, $D$11, 100%, $F$11)</f>
        <v>7.6750999999999996</v>
      </c>
      <c r="G162" s="8">
        <f>CHOOSE( CONTROL!$C$32, 6.9315, 6.9312) * CHOOSE( CONTROL!$C$15, $D$11, 100%, $F$11)</f>
        <v>6.9314999999999998</v>
      </c>
      <c r="H162" s="4">
        <f>CHOOSE( CONTROL!$C$32, 7.8319, 7.8316) * CHOOSE(CONTROL!$C$15, $D$11, 100%, $F$11)</f>
        <v>7.8319000000000001</v>
      </c>
      <c r="I162" s="8">
        <f>CHOOSE( CONTROL!$C$32, 6.9117, 6.9115) * CHOOSE(CONTROL!$C$15, $D$11, 100%, $F$11)</f>
        <v>6.9116999999999997</v>
      </c>
      <c r="J162" s="4">
        <f>CHOOSE( CONTROL!$C$32, 6.7943, 6.7941) * CHOOSE(CONTROL!$C$15, $D$11, 100%, $F$11)</f>
        <v>6.7942999999999998</v>
      </c>
      <c r="K162" s="4"/>
      <c r="L162" s="9">
        <v>26.469899999999999</v>
      </c>
      <c r="M162" s="9">
        <v>10.8962</v>
      </c>
      <c r="N162" s="9">
        <v>4.4660000000000002</v>
      </c>
      <c r="O162" s="9">
        <v>0.33789999999999998</v>
      </c>
      <c r="P162" s="9">
        <v>1.1676</v>
      </c>
      <c r="Q162" s="9">
        <v>28.9666</v>
      </c>
      <c r="R162" s="9"/>
      <c r="S162" s="11"/>
    </row>
    <row r="163" spans="1:19" ht="15.75">
      <c r="A163" s="13">
        <v>46082</v>
      </c>
      <c r="B163" s="8">
        <f>CHOOSE( CONTROL!$C$32, 6.8608, 6.8606) * CHOOSE(CONTROL!$C$15, $D$11, 100%, $F$11)</f>
        <v>6.8608000000000002</v>
      </c>
      <c r="C163" s="8">
        <f>CHOOSE( CONTROL!$C$32, 6.8659, 6.8656) * CHOOSE(CONTROL!$C$15, $D$11, 100%, $F$11)</f>
        <v>6.8658999999999999</v>
      </c>
      <c r="D163" s="8">
        <f>CHOOSE( CONTROL!$C$32, 6.8359, 6.8357) * CHOOSE( CONTROL!$C$15, $D$11, 100%, $F$11)</f>
        <v>6.8358999999999996</v>
      </c>
      <c r="E163" s="12">
        <f>CHOOSE( CONTROL!$C$32, 6.8463, 6.8461) * CHOOSE( CONTROL!$C$15, $D$11, 100%, $F$11)</f>
        <v>6.8463000000000003</v>
      </c>
      <c r="F163" s="4">
        <f>CHOOSE( CONTROL!$C$32, 7.5261, 7.5258) * CHOOSE(CONTROL!$C$15, $D$11, 100%, $F$11)</f>
        <v>7.5260999999999996</v>
      </c>
      <c r="G163" s="8">
        <f>CHOOSE( CONTROL!$C$32, 6.7709, 6.7707) * CHOOSE( CONTROL!$C$15, $D$11, 100%, $F$11)</f>
        <v>6.7709000000000001</v>
      </c>
      <c r="H163" s="4">
        <f>CHOOSE( CONTROL!$C$32, 7.6846, 7.6844) * CHOOSE(CONTROL!$C$15, $D$11, 100%, $F$11)</f>
        <v>7.6845999999999997</v>
      </c>
      <c r="I163" s="8">
        <f>CHOOSE( CONTROL!$C$32, 6.7318, 6.7316) * CHOOSE(CONTROL!$C$15, $D$11, 100%, $F$11)</f>
        <v>6.7317999999999998</v>
      </c>
      <c r="J163" s="4">
        <f>CHOOSE( CONTROL!$C$32, 6.6497, 6.6494) * CHOOSE(CONTROL!$C$15, $D$11, 100%, $F$11)</f>
        <v>6.6497000000000002</v>
      </c>
      <c r="K163" s="4"/>
      <c r="L163" s="9">
        <v>29.306000000000001</v>
      </c>
      <c r="M163" s="9">
        <v>12.063700000000001</v>
      </c>
      <c r="N163" s="9">
        <v>4.9444999999999997</v>
      </c>
      <c r="O163" s="9">
        <v>0.37409999999999999</v>
      </c>
      <c r="P163" s="9">
        <v>1.2927</v>
      </c>
      <c r="Q163" s="9">
        <v>32.070099999999996</v>
      </c>
      <c r="R163" s="9"/>
      <c r="S163" s="11"/>
    </row>
    <row r="164" spans="1:19" ht="15.75">
      <c r="A164" s="13">
        <v>46113</v>
      </c>
      <c r="B164" s="8">
        <f>CHOOSE( CONTROL!$C$32, 6.9657, 6.9655) * CHOOSE(CONTROL!$C$15, $D$11, 100%, $F$11)</f>
        <v>6.9657</v>
      </c>
      <c r="C164" s="8">
        <f>CHOOSE( CONTROL!$C$32, 6.9702, 6.97) * CHOOSE(CONTROL!$C$15, $D$11, 100%, $F$11)</f>
        <v>6.9702000000000002</v>
      </c>
      <c r="D164" s="8">
        <f>CHOOSE( CONTROL!$C$32, 6.9697, 6.9695) * CHOOSE( CONTROL!$C$15, $D$11, 100%, $F$11)</f>
        <v>6.9696999999999996</v>
      </c>
      <c r="E164" s="12">
        <f>CHOOSE( CONTROL!$C$32, 6.9694, 6.9692) * CHOOSE( CONTROL!$C$15, $D$11, 100%, $F$11)</f>
        <v>6.9694000000000003</v>
      </c>
      <c r="F164" s="4">
        <f>CHOOSE( CONTROL!$C$32, 7.674, 7.6738) * CHOOSE(CONTROL!$C$15, $D$11, 100%, $F$11)</f>
        <v>7.6740000000000004</v>
      </c>
      <c r="G164" s="8">
        <f>CHOOSE( CONTROL!$C$32, 6.8909, 6.8906) * CHOOSE( CONTROL!$C$15, $D$11, 100%, $F$11)</f>
        <v>6.8909000000000002</v>
      </c>
      <c r="H164" s="4">
        <f>CHOOSE( CONTROL!$C$32, 7.8308, 7.8306) * CHOOSE(CONTROL!$C$15, $D$11, 100%, $F$11)</f>
        <v>7.8308</v>
      </c>
      <c r="I164" s="8">
        <f>CHOOSE( CONTROL!$C$32, 6.8335, 6.8332) * CHOOSE(CONTROL!$C$15, $D$11, 100%, $F$11)</f>
        <v>6.8334999999999999</v>
      </c>
      <c r="J164" s="4">
        <f>CHOOSE( CONTROL!$C$32, 6.7508, 6.7505) * CHOOSE(CONTROL!$C$15, $D$11, 100%, $F$11)</f>
        <v>6.7507999999999999</v>
      </c>
      <c r="K164" s="4"/>
      <c r="L164" s="9">
        <v>30.092199999999998</v>
      </c>
      <c r="M164" s="9">
        <v>11.6745</v>
      </c>
      <c r="N164" s="9">
        <v>4.7850000000000001</v>
      </c>
      <c r="O164" s="9">
        <v>0.36199999999999999</v>
      </c>
      <c r="P164" s="9">
        <v>1.2509999999999999</v>
      </c>
      <c r="Q164" s="9">
        <v>31.035599999999999</v>
      </c>
      <c r="R164" s="9"/>
      <c r="S164" s="11"/>
    </row>
    <row r="165" spans="1:19" ht="15.75">
      <c r="A165" s="13">
        <v>46143</v>
      </c>
      <c r="B165" s="8">
        <f>CHOOSE( CONTROL!$C$32, 7.1526, 7.1522) * CHOOSE(CONTROL!$C$15, $D$11, 100%, $F$11)</f>
        <v>7.1525999999999996</v>
      </c>
      <c r="C165" s="8">
        <f>CHOOSE( CONTROL!$C$32, 7.1606, 7.1601) * CHOOSE(CONTROL!$C$15, $D$11, 100%, $F$11)</f>
        <v>7.1605999999999996</v>
      </c>
      <c r="D165" s="8">
        <f>CHOOSE( CONTROL!$C$32, 7.1549, 7.1544) * CHOOSE( CONTROL!$C$15, $D$11, 100%, $F$11)</f>
        <v>7.1548999999999996</v>
      </c>
      <c r="E165" s="12">
        <f>CHOOSE( CONTROL!$C$32, 7.1557, 7.1553) * CHOOSE( CONTROL!$C$15, $D$11, 100%, $F$11)</f>
        <v>7.1557000000000004</v>
      </c>
      <c r="F165" s="4">
        <f>CHOOSE( CONTROL!$C$32, 7.8596, 7.8591) * CHOOSE(CONTROL!$C$15, $D$11, 100%, $F$11)</f>
        <v>7.8596000000000004</v>
      </c>
      <c r="G165" s="8">
        <f>CHOOSE( CONTROL!$C$32, 7.0746, 7.0741) * CHOOSE( CONTROL!$C$15, $D$11, 100%, $F$11)</f>
        <v>7.0746000000000002</v>
      </c>
      <c r="H165" s="4">
        <f>CHOOSE( CONTROL!$C$32, 8.0142, 8.0137) * CHOOSE(CONTROL!$C$15, $D$11, 100%, $F$11)</f>
        <v>8.0142000000000007</v>
      </c>
      <c r="I165" s="8">
        <f>CHOOSE( CONTROL!$C$32, 7.0142, 7.0138) * CHOOSE(CONTROL!$C$15, $D$11, 100%, $F$11)</f>
        <v>7.0141999999999998</v>
      </c>
      <c r="J165" s="4">
        <f>CHOOSE( CONTROL!$C$32, 6.9308, 6.9304) * CHOOSE(CONTROL!$C$15, $D$11, 100%, $F$11)</f>
        <v>6.9307999999999996</v>
      </c>
      <c r="K165" s="4"/>
      <c r="L165" s="9">
        <v>30.7165</v>
      </c>
      <c r="M165" s="9">
        <v>12.063700000000001</v>
      </c>
      <c r="N165" s="9">
        <v>4.9444999999999997</v>
      </c>
      <c r="O165" s="9">
        <v>0.37409999999999999</v>
      </c>
      <c r="P165" s="9">
        <v>1.2927</v>
      </c>
      <c r="Q165" s="9">
        <v>32.070099999999996</v>
      </c>
      <c r="R165" s="9"/>
      <c r="S165" s="11"/>
    </row>
    <row r="166" spans="1:19" ht="15.75">
      <c r="A166" s="13">
        <v>46174</v>
      </c>
      <c r="B166" s="8">
        <f>CHOOSE( CONTROL!$C$32, 7.0378, 7.0374) * CHOOSE(CONTROL!$C$15, $D$11, 100%, $F$11)</f>
        <v>7.0377999999999998</v>
      </c>
      <c r="C166" s="8">
        <f>CHOOSE( CONTROL!$C$32, 7.0458, 7.0453) * CHOOSE(CONTROL!$C$15, $D$11, 100%, $F$11)</f>
        <v>7.0457999999999998</v>
      </c>
      <c r="D166" s="8">
        <f>CHOOSE( CONTROL!$C$32, 7.0405, 7.04) * CHOOSE( CONTROL!$C$15, $D$11, 100%, $F$11)</f>
        <v>7.0404999999999998</v>
      </c>
      <c r="E166" s="12">
        <f>CHOOSE( CONTROL!$C$32, 7.0412, 7.0407) * CHOOSE( CONTROL!$C$15, $D$11, 100%, $F$11)</f>
        <v>7.0411999999999999</v>
      </c>
      <c r="F166" s="4">
        <f>CHOOSE( CONTROL!$C$32, 7.7448, 7.7443) * CHOOSE(CONTROL!$C$15, $D$11, 100%, $F$11)</f>
        <v>7.7447999999999997</v>
      </c>
      <c r="G166" s="8">
        <f>CHOOSE( CONTROL!$C$32, 6.9614, 6.961) * CHOOSE( CONTROL!$C$15, $D$11, 100%, $F$11)</f>
        <v>6.9614000000000003</v>
      </c>
      <c r="H166" s="4">
        <f>CHOOSE( CONTROL!$C$32, 7.9007, 7.9003) * CHOOSE(CONTROL!$C$15, $D$11, 100%, $F$11)</f>
        <v>7.9006999999999996</v>
      </c>
      <c r="I166" s="8">
        <f>CHOOSE( CONTROL!$C$32, 6.9041, 6.9037) * CHOOSE(CONTROL!$C$15, $D$11, 100%, $F$11)</f>
        <v>6.9040999999999997</v>
      </c>
      <c r="J166" s="4">
        <f>CHOOSE( CONTROL!$C$32, 6.8194, 6.8189) * CHOOSE(CONTROL!$C$15, $D$11, 100%, $F$11)</f>
        <v>6.8193999999999999</v>
      </c>
      <c r="K166" s="4"/>
      <c r="L166" s="9">
        <v>29.7257</v>
      </c>
      <c r="M166" s="9">
        <v>11.6745</v>
      </c>
      <c r="N166" s="9">
        <v>4.7850000000000001</v>
      </c>
      <c r="O166" s="9">
        <v>0.36199999999999999</v>
      </c>
      <c r="P166" s="9">
        <v>1.2509999999999999</v>
      </c>
      <c r="Q166" s="9">
        <v>31.035599999999999</v>
      </c>
      <c r="R166" s="9"/>
      <c r="S166" s="11"/>
    </row>
    <row r="167" spans="1:19" ht="15.75">
      <c r="A167" s="13">
        <v>46204</v>
      </c>
      <c r="B167" s="8">
        <f>CHOOSE( CONTROL!$C$32, 7.3402, 7.3397) * CHOOSE(CONTROL!$C$15, $D$11, 100%, $F$11)</f>
        <v>7.3402000000000003</v>
      </c>
      <c r="C167" s="8">
        <f>CHOOSE( CONTROL!$C$32, 7.3481, 7.3477) * CHOOSE(CONTROL!$C$15, $D$11, 100%, $F$11)</f>
        <v>7.3480999999999996</v>
      </c>
      <c r="D167" s="8">
        <f>CHOOSE( CONTROL!$C$32, 7.3433, 7.3428) * CHOOSE( CONTROL!$C$15, $D$11, 100%, $F$11)</f>
        <v>7.3433000000000002</v>
      </c>
      <c r="E167" s="12">
        <f>CHOOSE( CONTROL!$C$32, 7.3438, 7.3434) * CHOOSE( CONTROL!$C$15, $D$11, 100%, $F$11)</f>
        <v>7.3437999999999999</v>
      </c>
      <c r="F167" s="4">
        <f>CHOOSE( CONTROL!$C$32, 8.0471, 8.0466) * CHOOSE(CONTROL!$C$15, $D$11, 100%, $F$11)</f>
        <v>8.0471000000000004</v>
      </c>
      <c r="G167" s="8">
        <f>CHOOSE( CONTROL!$C$32, 7.2606, 7.2601) * CHOOSE( CONTROL!$C$15, $D$11, 100%, $F$11)</f>
        <v>7.2606000000000002</v>
      </c>
      <c r="H167" s="4">
        <f>CHOOSE( CONTROL!$C$32, 8.1995, 8.1991) * CHOOSE(CONTROL!$C$15, $D$11, 100%, $F$11)</f>
        <v>8.1995000000000005</v>
      </c>
      <c r="I167" s="8">
        <f>CHOOSE( CONTROL!$C$32, 7.1993, 7.1988) * CHOOSE(CONTROL!$C$15, $D$11, 100%, $F$11)</f>
        <v>7.1993</v>
      </c>
      <c r="J167" s="4">
        <f>CHOOSE( CONTROL!$C$32, 7.1128, 7.1124) * CHOOSE(CONTROL!$C$15, $D$11, 100%, $F$11)</f>
        <v>7.1128</v>
      </c>
      <c r="K167" s="4"/>
      <c r="L167" s="9">
        <v>30.7165</v>
      </c>
      <c r="M167" s="9">
        <v>12.063700000000001</v>
      </c>
      <c r="N167" s="9">
        <v>4.9444999999999997</v>
      </c>
      <c r="O167" s="9">
        <v>0.37409999999999999</v>
      </c>
      <c r="P167" s="9">
        <v>1.2927</v>
      </c>
      <c r="Q167" s="9">
        <v>32.070099999999996</v>
      </c>
      <c r="R167" s="9"/>
      <c r="S167" s="11"/>
    </row>
    <row r="168" spans="1:19" ht="15.75">
      <c r="A168" s="13">
        <v>46235</v>
      </c>
      <c r="B168" s="8">
        <f>CHOOSE( CONTROL!$C$32, 6.7744, 6.774) * CHOOSE(CONTROL!$C$15, $D$11, 100%, $F$11)</f>
        <v>6.7744</v>
      </c>
      <c r="C168" s="8">
        <f>CHOOSE( CONTROL!$C$32, 6.7824, 6.782) * CHOOSE(CONTROL!$C$15, $D$11, 100%, $F$11)</f>
        <v>6.7824</v>
      </c>
      <c r="D168" s="8">
        <f>CHOOSE( CONTROL!$C$32, 6.7777, 6.7772) * CHOOSE( CONTROL!$C$15, $D$11, 100%, $F$11)</f>
        <v>6.7777000000000003</v>
      </c>
      <c r="E168" s="12">
        <f>CHOOSE( CONTROL!$C$32, 6.7782, 6.7777) * CHOOSE( CONTROL!$C$15, $D$11, 100%, $F$11)</f>
        <v>6.7782</v>
      </c>
      <c r="F168" s="4">
        <f>CHOOSE( CONTROL!$C$32, 7.4814, 7.4809) * CHOOSE(CONTROL!$C$15, $D$11, 100%, $F$11)</f>
        <v>7.4813999999999998</v>
      </c>
      <c r="G168" s="8">
        <f>CHOOSE( CONTROL!$C$32, 6.7016, 6.7011) * CHOOSE( CONTROL!$C$15, $D$11, 100%, $F$11)</f>
        <v>6.7016</v>
      </c>
      <c r="H168" s="4">
        <f>CHOOSE( CONTROL!$C$32, 7.6404, 7.64) * CHOOSE(CONTROL!$C$15, $D$11, 100%, $F$11)</f>
        <v>7.6403999999999996</v>
      </c>
      <c r="I168" s="8">
        <f>CHOOSE( CONTROL!$C$32, 6.6504, 6.65) * CHOOSE(CONTROL!$C$15, $D$11, 100%, $F$11)</f>
        <v>6.6504000000000003</v>
      </c>
      <c r="J168" s="4">
        <f>CHOOSE( CONTROL!$C$32, 6.5638, 6.5633) * CHOOSE(CONTROL!$C$15, $D$11, 100%, $F$11)</f>
        <v>6.5637999999999996</v>
      </c>
      <c r="K168" s="4"/>
      <c r="L168" s="9">
        <v>30.7165</v>
      </c>
      <c r="M168" s="9">
        <v>12.063700000000001</v>
      </c>
      <c r="N168" s="9">
        <v>4.9444999999999997</v>
      </c>
      <c r="O168" s="9">
        <v>0.37409999999999999</v>
      </c>
      <c r="P168" s="9">
        <v>1.2927</v>
      </c>
      <c r="Q168" s="9">
        <v>32.070099999999996</v>
      </c>
      <c r="R168" s="9"/>
      <c r="S168" s="11"/>
    </row>
    <row r="169" spans="1:19" ht="15.75">
      <c r="A169" s="13">
        <v>46266</v>
      </c>
      <c r="B169" s="8">
        <f>CHOOSE( CONTROL!$C$32, 6.6328, 6.6323) * CHOOSE(CONTROL!$C$15, $D$11, 100%, $F$11)</f>
        <v>6.6327999999999996</v>
      </c>
      <c r="C169" s="8">
        <f>CHOOSE( CONTROL!$C$32, 6.6408, 6.6403) * CHOOSE(CONTROL!$C$15, $D$11, 100%, $F$11)</f>
        <v>6.6407999999999996</v>
      </c>
      <c r="D169" s="8">
        <f>CHOOSE( CONTROL!$C$32, 6.6359, 6.6354) * CHOOSE( CONTROL!$C$15, $D$11, 100%, $F$11)</f>
        <v>6.6359000000000004</v>
      </c>
      <c r="E169" s="12">
        <f>CHOOSE( CONTROL!$C$32, 6.6365, 6.636) * CHOOSE( CONTROL!$C$15, $D$11, 100%, $F$11)</f>
        <v>6.6364999999999998</v>
      </c>
      <c r="F169" s="4">
        <f>CHOOSE( CONTROL!$C$32, 7.3397, 7.3393) * CHOOSE(CONTROL!$C$15, $D$11, 100%, $F$11)</f>
        <v>7.3396999999999997</v>
      </c>
      <c r="G169" s="8">
        <f>CHOOSE( CONTROL!$C$32, 6.5615, 6.561) * CHOOSE( CONTROL!$C$15, $D$11, 100%, $F$11)</f>
        <v>6.5614999999999997</v>
      </c>
      <c r="H169" s="4">
        <f>CHOOSE( CONTROL!$C$32, 7.5004, 7.5) * CHOOSE(CONTROL!$C$15, $D$11, 100%, $F$11)</f>
        <v>7.5004</v>
      </c>
      <c r="I169" s="8">
        <f>CHOOSE( CONTROL!$C$32, 6.5124, 6.5119) * CHOOSE(CONTROL!$C$15, $D$11, 100%, $F$11)</f>
        <v>6.5124000000000004</v>
      </c>
      <c r="J169" s="4">
        <f>CHOOSE( CONTROL!$C$32, 6.4263, 6.4259) * CHOOSE(CONTROL!$C$15, $D$11, 100%, $F$11)</f>
        <v>6.4263000000000003</v>
      </c>
      <c r="K169" s="4"/>
      <c r="L169" s="9">
        <v>29.7257</v>
      </c>
      <c r="M169" s="9">
        <v>11.6745</v>
      </c>
      <c r="N169" s="9">
        <v>4.7850000000000001</v>
      </c>
      <c r="O169" s="9">
        <v>0.36199999999999999</v>
      </c>
      <c r="P169" s="9">
        <v>1.2509999999999999</v>
      </c>
      <c r="Q169" s="9">
        <v>31.035599999999999</v>
      </c>
      <c r="R169" s="9"/>
      <c r="S169" s="11"/>
    </row>
    <row r="170" spans="1:19" ht="15.75">
      <c r="A170" s="13">
        <v>46296</v>
      </c>
      <c r="B170" s="8">
        <f>CHOOSE( CONTROL!$C$32, 6.925, 6.9247) * CHOOSE(CONTROL!$C$15, $D$11, 100%, $F$11)</f>
        <v>6.9249999999999998</v>
      </c>
      <c r="C170" s="8">
        <f>CHOOSE( CONTROL!$C$32, 6.9303, 6.9301) * CHOOSE(CONTROL!$C$15, $D$11, 100%, $F$11)</f>
        <v>6.9302999999999999</v>
      </c>
      <c r="D170" s="8">
        <f>CHOOSE( CONTROL!$C$32, 6.9305, 6.9303) * CHOOSE( CONTROL!$C$15, $D$11, 100%, $F$11)</f>
        <v>6.9305000000000003</v>
      </c>
      <c r="E170" s="12">
        <f>CHOOSE( CONTROL!$C$32, 6.9299, 6.9297) * CHOOSE( CONTROL!$C$15, $D$11, 100%, $F$11)</f>
        <v>6.9298999999999999</v>
      </c>
      <c r="F170" s="4">
        <f>CHOOSE( CONTROL!$C$32, 7.6337, 7.6334) * CHOOSE(CONTROL!$C$15, $D$11, 100%, $F$11)</f>
        <v>7.6337000000000002</v>
      </c>
      <c r="G170" s="8">
        <f>CHOOSE( CONTROL!$C$32, 6.8519, 6.8517) * CHOOSE( CONTROL!$C$15, $D$11, 100%, $F$11)</f>
        <v>6.8518999999999997</v>
      </c>
      <c r="H170" s="4">
        <f>CHOOSE( CONTROL!$C$32, 7.7909, 7.7907) * CHOOSE(CONTROL!$C$15, $D$11, 100%, $F$11)</f>
        <v>7.7908999999999997</v>
      </c>
      <c r="I170" s="8">
        <f>CHOOSE( CONTROL!$C$32, 6.7985, 6.7982) * CHOOSE(CONTROL!$C$15, $D$11, 100%, $F$11)</f>
        <v>6.7984999999999998</v>
      </c>
      <c r="J170" s="4">
        <f>CHOOSE( CONTROL!$C$32, 6.7116, 6.7113) * CHOOSE(CONTROL!$C$15, $D$11, 100%, $F$11)</f>
        <v>6.7115999999999998</v>
      </c>
      <c r="K170" s="4"/>
      <c r="L170" s="9">
        <v>31.095300000000002</v>
      </c>
      <c r="M170" s="9">
        <v>12.063700000000001</v>
      </c>
      <c r="N170" s="9">
        <v>4.9444999999999997</v>
      </c>
      <c r="O170" s="9">
        <v>0.37409999999999999</v>
      </c>
      <c r="P170" s="9">
        <v>1.2927</v>
      </c>
      <c r="Q170" s="9">
        <v>32.070099999999996</v>
      </c>
      <c r="R170" s="9"/>
      <c r="S170" s="11"/>
    </row>
    <row r="171" spans="1:19" ht="15.75">
      <c r="A171" s="13">
        <v>46327</v>
      </c>
      <c r="B171" s="8">
        <f>CHOOSE( CONTROL!$C$32, 7.4675, 7.4672) * CHOOSE(CONTROL!$C$15, $D$11, 100%, $F$11)</f>
        <v>7.4675000000000002</v>
      </c>
      <c r="C171" s="8">
        <f>CHOOSE( CONTROL!$C$32, 7.4726, 7.4723) * CHOOSE(CONTROL!$C$15, $D$11, 100%, $F$11)</f>
        <v>7.4725999999999999</v>
      </c>
      <c r="D171" s="8">
        <f>CHOOSE( CONTROL!$C$32, 7.4405, 7.4402) * CHOOSE( CONTROL!$C$15, $D$11, 100%, $F$11)</f>
        <v>7.4405000000000001</v>
      </c>
      <c r="E171" s="12">
        <f>CHOOSE( CONTROL!$C$32, 7.4517, 7.4514) * CHOOSE( CONTROL!$C$15, $D$11, 100%, $F$11)</f>
        <v>7.4516999999999998</v>
      </c>
      <c r="F171" s="4">
        <f>CHOOSE( CONTROL!$C$32, 8.1328, 8.1325) * CHOOSE(CONTROL!$C$15, $D$11, 100%, $F$11)</f>
        <v>8.1327999999999996</v>
      </c>
      <c r="G171" s="8">
        <f>CHOOSE( CONTROL!$C$32, 7.3774, 7.3772) * CHOOSE( CONTROL!$C$15, $D$11, 100%, $F$11)</f>
        <v>7.3773999999999997</v>
      </c>
      <c r="H171" s="4">
        <f>CHOOSE( CONTROL!$C$32, 8.2842, 8.2839) * CHOOSE(CONTROL!$C$15, $D$11, 100%, $F$11)</f>
        <v>8.2842000000000002</v>
      </c>
      <c r="I171" s="8">
        <f>CHOOSE( CONTROL!$C$32, 7.3765, 7.3762) * CHOOSE(CONTROL!$C$15, $D$11, 100%, $F$11)</f>
        <v>7.3765000000000001</v>
      </c>
      <c r="J171" s="4">
        <f>CHOOSE( CONTROL!$C$32, 7.2385, 7.2382) * CHOOSE(CONTROL!$C$15, $D$11, 100%, $F$11)</f>
        <v>7.2385000000000002</v>
      </c>
      <c r="K171" s="4"/>
      <c r="L171" s="9">
        <v>28.360600000000002</v>
      </c>
      <c r="M171" s="9">
        <v>11.6745</v>
      </c>
      <c r="N171" s="9">
        <v>4.7850000000000001</v>
      </c>
      <c r="O171" s="9">
        <v>0.36199999999999999</v>
      </c>
      <c r="P171" s="9">
        <v>1.2509999999999999</v>
      </c>
      <c r="Q171" s="9">
        <v>31.035599999999999</v>
      </c>
      <c r="R171" s="9"/>
      <c r="S171" s="11"/>
    </row>
    <row r="172" spans="1:19" ht="15.75">
      <c r="A172" s="13">
        <v>46357</v>
      </c>
      <c r="B172" s="8">
        <f>CHOOSE( CONTROL!$C$32, 7.454, 7.4537) * CHOOSE(CONTROL!$C$15, $D$11, 100%, $F$11)</f>
        <v>7.4539999999999997</v>
      </c>
      <c r="C172" s="8">
        <f>CHOOSE( CONTROL!$C$32, 7.459, 7.4588) * CHOOSE(CONTROL!$C$15, $D$11, 100%, $F$11)</f>
        <v>7.4589999999999996</v>
      </c>
      <c r="D172" s="8">
        <f>CHOOSE( CONTROL!$C$32, 7.4287, 7.4285) * CHOOSE( CONTROL!$C$15, $D$11, 100%, $F$11)</f>
        <v>7.4287000000000001</v>
      </c>
      <c r="E172" s="12">
        <f>CHOOSE( CONTROL!$C$32, 7.4392, 7.439) * CHOOSE( CONTROL!$C$15, $D$11, 100%, $F$11)</f>
        <v>7.4391999999999996</v>
      </c>
      <c r="F172" s="4">
        <f>CHOOSE( CONTROL!$C$32, 8.1192, 8.119) * CHOOSE(CONTROL!$C$15, $D$11, 100%, $F$11)</f>
        <v>8.1191999999999993</v>
      </c>
      <c r="G172" s="8">
        <f>CHOOSE( CONTROL!$C$32, 7.3654, 7.3651) * CHOOSE( CONTROL!$C$15, $D$11, 100%, $F$11)</f>
        <v>7.3654000000000002</v>
      </c>
      <c r="H172" s="4">
        <f>CHOOSE( CONTROL!$C$32, 8.2708, 8.2705) * CHOOSE(CONTROL!$C$15, $D$11, 100%, $F$11)</f>
        <v>8.2707999999999995</v>
      </c>
      <c r="I172" s="8">
        <f>CHOOSE( CONTROL!$C$32, 7.369, 7.3687) * CHOOSE(CONTROL!$C$15, $D$11, 100%, $F$11)</f>
        <v>7.3689999999999998</v>
      </c>
      <c r="J172" s="4">
        <f>CHOOSE( CONTROL!$C$32, 7.2253, 7.225) * CHOOSE(CONTROL!$C$15, $D$11, 100%, $F$11)</f>
        <v>7.2252999999999998</v>
      </c>
      <c r="K172" s="4"/>
      <c r="L172" s="9">
        <v>29.306000000000001</v>
      </c>
      <c r="M172" s="9">
        <v>12.063700000000001</v>
      </c>
      <c r="N172" s="9">
        <v>4.9444999999999997</v>
      </c>
      <c r="O172" s="9">
        <v>0.37409999999999999</v>
      </c>
      <c r="P172" s="9">
        <v>1.2927</v>
      </c>
      <c r="Q172" s="9">
        <v>32.070099999999996</v>
      </c>
      <c r="R172" s="9"/>
      <c r="S172" s="11"/>
    </row>
    <row r="173" spans="1:19" ht="15.75">
      <c r="A173" s="13">
        <v>46388</v>
      </c>
      <c r="B173" s="8">
        <f>CHOOSE( CONTROL!$C$32, 7.7338, 7.7335) * CHOOSE(CONTROL!$C$15, $D$11, 100%, $F$11)</f>
        <v>7.7337999999999996</v>
      </c>
      <c r="C173" s="8">
        <f>CHOOSE( CONTROL!$C$32, 7.7389, 7.7386) * CHOOSE(CONTROL!$C$15, $D$11, 100%, $F$11)</f>
        <v>7.7389000000000001</v>
      </c>
      <c r="D173" s="8">
        <f>CHOOSE( CONTROL!$C$32, 7.7365, 7.7362) * CHOOSE( CONTROL!$C$15, $D$11, 100%, $F$11)</f>
        <v>7.7365000000000004</v>
      </c>
      <c r="E173" s="12">
        <f>CHOOSE( CONTROL!$C$32, 7.7368, 7.7365) * CHOOSE( CONTROL!$C$15, $D$11, 100%, $F$11)</f>
        <v>7.7367999999999997</v>
      </c>
      <c r="F173" s="4">
        <f>CHOOSE( CONTROL!$C$32, 8.3991, 8.3988) * CHOOSE(CONTROL!$C$15, $D$11, 100%, $F$11)</f>
        <v>8.3991000000000007</v>
      </c>
      <c r="G173" s="8">
        <f>CHOOSE( CONTROL!$C$32, 7.6581, 7.6578) * CHOOSE( CONTROL!$C$15, $D$11, 100%, $F$11)</f>
        <v>7.6581000000000001</v>
      </c>
      <c r="H173" s="4">
        <f>CHOOSE( CONTROL!$C$32, 8.5474, 8.5471) * CHOOSE(CONTROL!$C$15, $D$11, 100%, $F$11)</f>
        <v>8.5473999999999997</v>
      </c>
      <c r="I173" s="8">
        <f>CHOOSE( CONTROL!$C$32, 7.6143, 7.614) * CHOOSE(CONTROL!$C$15, $D$11, 100%, $F$11)</f>
        <v>7.6143000000000001</v>
      </c>
      <c r="J173" s="4">
        <f>CHOOSE( CONTROL!$C$32, 7.4969, 7.4966) * CHOOSE(CONTROL!$C$15, $D$11, 100%, $F$11)</f>
        <v>7.4969000000000001</v>
      </c>
      <c r="K173" s="4"/>
      <c r="L173" s="9">
        <v>29.306000000000001</v>
      </c>
      <c r="M173" s="9">
        <v>12.063700000000001</v>
      </c>
      <c r="N173" s="9">
        <v>4.9444999999999997</v>
      </c>
      <c r="O173" s="9">
        <v>0.37409999999999999</v>
      </c>
      <c r="P173" s="9">
        <v>1.2927</v>
      </c>
      <c r="Q173" s="9">
        <v>31.885999999999999</v>
      </c>
      <c r="R173" s="9"/>
      <c r="S173" s="11"/>
    </row>
    <row r="174" spans="1:19" ht="15.75">
      <c r="A174" s="13">
        <v>46419</v>
      </c>
      <c r="B174" s="8">
        <f>CHOOSE( CONTROL!$C$32, 7.2344, 7.2342) * CHOOSE(CONTROL!$C$15, $D$11, 100%, $F$11)</f>
        <v>7.2343999999999999</v>
      </c>
      <c r="C174" s="8">
        <f>CHOOSE( CONTROL!$C$32, 7.2395, 7.2392) * CHOOSE(CONTROL!$C$15, $D$11, 100%, $F$11)</f>
        <v>7.2394999999999996</v>
      </c>
      <c r="D174" s="8">
        <f>CHOOSE( CONTROL!$C$32, 7.2195, 7.2192) * CHOOSE( CONTROL!$C$15, $D$11, 100%, $F$11)</f>
        <v>7.2195</v>
      </c>
      <c r="E174" s="12">
        <f>CHOOSE( CONTROL!$C$32, 7.2263, 7.226) * CHOOSE( CONTROL!$C$15, $D$11, 100%, $F$11)</f>
        <v>7.2263000000000002</v>
      </c>
      <c r="F174" s="4">
        <f>CHOOSE( CONTROL!$C$32, 7.8997, 7.8994) * CHOOSE(CONTROL!$C$15, $D$11, 100%, $F$11)</f>
        <v>7.8997000000000002</v>
      </c>
      <c r="G174" s="8">
        <f>CHOOSE( CONTROL!$C$32, 7.1534, 7.1531) * CHOOSE( CONTROL!$C$15, $D$11, 100%, $F$11)</f>
        <v>7.1534000000000004</v>
      </c>
      <c r="H174" s="4">
        <f>CHOOSE( CONTROL!$C$32, 8.0538, 8.0536) * CHOOSE(CONTROL!$C$15, $D$11, 100%, $F$11)</f>
        <v>8.0538000000000007</v>
      </c>
      <c r="I174" s="8">
        <f>CHOOSE( CONTROL!$C$32, 7.1298, 7.1295) * CHOOSE(CONTROL!$C$15, $D$11, 100%, $F$11)</f>
        <v>7.1298000000000004</v>
      </c>
      <c r="J174" s="4">
        <f>CHOOSE( CONTROL!$C$32, 7.0123, 7.012) * CHOOSE(CONTROL!$C$15, $D$11, 100%, $F$11)</f>
        <v>7.0122999999999998</v>
      </c>
      <c r="K174" s="4"/>
      <c r="L174" s="9">
        <v>26.469899999999999</v>
      </c>
      <c r="M174" s="9">
        <v>10.8962</v>
      </c>
      <c r="N174" s="9">
        <v>4.4660000000000002</v>
      </c>
      <c r="O174" s="9">
        <v>0.33789999999999998</v>
      </c>
      <c r="P174" s="9">
        <v>1.1676</v>
      </c>
      <c r="Q174" s="9">
        <v>28.8002</v>
      </c>
      <c r="R174" s="9"/>
      <c r="S174" s="11"/>
    </row>
    <row r="175" spans="1:19" ht="15.75">
      <c r="A175" s="13">
        <v>46447</v>
      </c>
      <c r="B175" s="8">
        <f>CHOOSE( CONTROL!$C$32, 7.0806, 7.0804) * CHOOSE(CONTROL!$C$15, $D$11, 100%, $F$11)</f>
        <v>7.0805999999999996</v>
      </c>
      <c r="C175" s="8">
        <f>CHOOSE( CONTROL!$C$32, 7.0857, 7.0854) * CHOOSE(CONTROL!$C$15, $D$11, 100%, $F$11)</f>
        <v>7.0857000000000001</v>
      </c>
      <c r="D175" s="8">
        <f>CHOOSE( CONTROL!$C$32, 7.0557, 7.0554) * CHOOSE( CONTROL!$C$15, $D$11, 100%, $F$11)</f>
        <v>7.0556999999999999</v>
      </c>
      <c r="E175" s="12">
        <f>CHOOSE( CONTROL!$C$32, 7.0661, 7.0658) * CHOOSE( CONTROL!$C$15, $D$11, 100%, $F$11)</f>
        <v>7.0660999999999996</v>
      </c>
      <c r="F175" s="4">
        <f>CHOOSE( CONTROL!$C$32, 7.7459, 7.7456) * CHOOSE(CONTROL!$C$15, $D$11, 100%, $F$11)</f>
        <v>7.7458999999999998</v>
      </c>
      <c r="G175" s="8">
        <f>CHOOSE( CONTROL!$C$32, 6.9882, 6.9879) * CHOOSE( CONTROL!$C$15, $D$11, 100%, $F$11)</f>
        <v>6.9882</v>
      </c>
      <c r="H175" s="4">
        <f>CHOOSE( CONTROL!$C$32, 7.9018, 7.9016) * CHOOSE(CONTROL!$C$15, $D$11, 100%, $F$11)</f>
        <v>7.9017999999999997</v>
      </c>
      <c r="I175" s="8">
        <f>CHOOSE( CONTROL!$C$32, 6.9452, 6.945) * CHOOSE(CONTROL!$C$15, $D$11, 100%, $F$11)</f>
        <v>6.9451999999999998</v>
      </c>
      <c r="J175" s="4">
        <f>CHOOSE( CONTROL!$C$32, 6.863, 6.8627) * CHOOSE(CONTROL!$C$15, $D$11, 100%, $F$11)</f>
        <v>6.8630000000000004</v>
      </c>
      <c r="K175" s="4"/>
      <c r="L175" s="9">
        <v>29.306000000000001</v>
      </c>
      <c r="M175" s="9">
        <v>12.063700000000001</v>
      </c>
      <c r="N175" s="9">
        <v>4.9444999999999997</v>
      </c>
      <c r="O175" s="9">
        <v>0.37409999999999999</v>
      </c>
      <c r="P175" s="9">
        <v>1.2927</v>
      </c>
      <c r="Q175" s="9">
        <v>31.885999999999999</v>
      </c>
      <c r="R175" s="9"/>
      <c r="S175" s="11"/>
    </row>
    <row r="176" spans="1:19" ht="15.75">
      <c r="A176" s="13">
        <v>46478</v>
      </c>
      <c r="B176" s="8">
        <f>CHOOSE( CONTROL!$C$32, 7.1889, 7.1886) * CHOOSE(CONTROL!$C$15, $D$11, 100%, $F$11)</f>
        <v>7.1889000000000003</v>
      </c>
      <c r="C176" s="8">
        <f>CHOOSE( CONTROL!$C$32, 7.1934, 7.1931) * CHOOSE(CONTROL!$C$15, $D$11, 100%, $F$11)</f>
        <v>7.1933999999999996</v>
      </c>
      <c r="D176" s="8">
        <f>CHOOSE( CONTROL!$C$32, 7.1929, 7.1926) * CHOOSE( CONTROL!$C$15, $D$11, 100%, $F$11)</f>
        <v>7.1928999999999998</v>
      </c>
      <c r="E176" s="12">
        <f>CHOOSE( CONTROL!$C$32, 7.1926, 7.1923) * CHOOSE( CONTROL!$C$15, $D$11, 100%, $F$11)</f>
        <v>7.1925999999999997</v>
      </c>
      <c r="F176" s="4">
        <f>CHOOSE( CONTROL!$C$32, 7.8972, 7.8969) * CHOOSE(CONTROL!$C$15, $D$11, 100%, $F$11)</f>
        <v>7.8971999999999998</v>
      </c>
      <c r="G176" s="8">
        <f>CHOOSE( CONTROL!$C$32, 7.1114, 7.1111) * CHOOSE( CONTROL!$C$15, $D$11, 100%, $F$11)</f>
        <v>7.1113999999999997</v>
      </c>
      <c r="H176" s="4">
        <f>CHOOSE( CONTROL!$C$32, 8.0513, 8.0511) * CHOOSE(CONTROL!$C$15, $D$11, 100%, $F$11)</f>
        <v>8.0512999999999995</v>
      </c>
      <c r="I176" s="8">
        <f>CHOOSE( CONTROL!$C$32, 7.0501, 7.0499) * CHOOSE(CONTROL!$C$15, $D$11, 100%, $F$11)</f>
        <v>7.0500999999999996</v>
      </c>
      <c r="J176" s="4">
        <f>CHOOSE( CONTROL!$C$32, 6.9673, 6.967) * CHOOSE(CONTROL!$C$15, $D$11, 100%, $F$11)</f>
        <v>6.9672999999999998</v>
      </c>
      <c r="K176" s="4"/>
      <c r="L176" s="9">
        <v>30.092199999999998</v>
      </c>
      <c r="M176" s="9">
        <v>11.6745</v>
      </c>
      <c r="N176" s="9">
        <v>4.7850000000000001</v>
      </c>
      <c r="O176" s="9">
        <v>0.36199999999999999</v>
      </c>
      <c r="P176" s="9">
        <v>1.2509999999999999</v>
      </c>
      <c r="Q176" s="9">
        <v>30.857399999999998</v>
      </c>
      <c r="R176" s="9"/>
      <c r="S176" s="11"/>
    </row>
    <row r="177" spans="1:19" ht="15.75">
      <c r="A177" s="13">
        <v>46508</v>
      </c>
      <c r="B177" s="8">
        <f>CHOOSE( CONTROL!$C$32, 7.3817, 7.3812) * CHOOSE(CONTROL!$C$15, $D$11, 100%, $F$11)</f>
        <v>7.3817000000000004</v>
      </c>
      <c r="C177" s="8">
        <f>CHOOSE( CONTROL!$C$32, 7.3897, 7.3892) * CHOOSE(CONTROL!$C$15, $D$11, 100%, $F$11)</f>
        <v>7.3897000000000004</v>
      </c>
      <c r="D177" s="8">
        <f>CHOOSE( CONTROL!$C$32, 7.384, 7.3835) * CHOOSE( CONTROL!$C$15, $D$11, 100%, $F$11)</f>
        <v>7.3840000000000003</v>
      </c>
      <c r="E177" s="12">
        <f>CHOOSE( CONTROL!$C$32, 7.3848, 7.3843) * CHOOSE( CONTROL!$C$15, $D$11, 100%, $F$11)</f>
        <v>7.3848000000000003</v>
      </c>
      <c r="F177" s="4">
        <f>CHOOSE( CONTROL!$C$32, 8.0886, 8.0882) * CHOOSE(CONTROL!$C$15, $D$11, 100%, $F$11)</f>
        <v>8.0885999999999996</v>
      </c>
      <c r="G177" s="8">
        <f>CHOOSE( CONTROL!$C$32, 7.3009, 7.3005) * CHOOSE( CONTROL!$C$15, $D$11, 100%, $F$11)</f>
        <v>7.3009000000000004</v>
      </c>
      <c r="H177" s="4">
        <f>CHOOSE( CONTROL!$C$32, 8.2406, 8.2401) * CHOOSE(CONTROL!$C$15, $D$11, 100%, $F$11)</f>
        <v>8.2406000000000006</v>
      </c>
      <c r="I177" s="8">
        <f>CHOOSE( CONTROL!$C$32, 7.2366, 7.2362) * CHOOSE(CONTROL!$C$15, $D$11, 100%, $F$11)</f>
        <v>7.2366000000000001</v>
      </c>
      <c r="J177" s="4">
        <f>CHOOSE( CONTROL!$C$32, 7.1531, 7.1527) * CHOOSE(CONTROL!$C$15, $D$11, 100%, $F$11)</f>
        <v>7.1531000000000002</v>
      </c>
      <c r="K177" s="4"/>
      <c r="L177" s="9">
        <v>30.7165</v>
      </c>
      <c r="M177" s="9">
        <v>12.063700000000001</v>
      </c>
      <c r="N177" s="9">
        <v>4.9444999999999997</v>
      </c>
      <c r="O177" s="9">
        <v>0.37409999999999999</v>
      </c>
      <c r="P177" s="9">
        <v>1.2927</v>
      </c>
      <c r="Q177" s="9">
        <v>31.885999999999999</v>
      </c>
      <c r="R177" s="9"/>
      <c r="S177" s="11"/>
    </row>
    <row r="178" spans="1:19" ht="15.75">
      <c r="A178" s="13">
        <v>46539</v>
      </c>
      <c r="B178" s="8">
        <f>CHOOSE( CONTROL!$C$32, 7.2632, 7.2627) * CHOOSE(CONTROL!$C$15, $D$11, 100%, $F$11)</f>
        <v>7.2632000000000003</v>
      </c>
      <c r="C178" s="8">
        <f>CHOOSE( CONTROL!$C$32, 7.2712, 7.2707) * CHOOSE(CONTROL!$C$15, $D$11, 100%, $F$11)</f>
        <v>7.2712000000000003</v>
      </c>
      <c r="D178" s="8">
        <f>CHOOSE( CONTROL!$C$32, 7.2659, 7.2654) * CHOOSE( CONTROL!$C$15, $D$11, 100%, $F$11)</f>
        <v>7.2659000000000002</v>
      </c>
      <c r="E178" s="12">
        <f>CHOOSE( CONTROL!$C$32, 7.2666, 7.2661) * CHOOSE( CONTROL!$C$15, $D$11, 100%, $F$11)</f>
        <v>7.2666000000000004</v>
      </c>
      <c r="F178" s="4">
        <f>CHOOSE( CONTROL!$C$32, 7.9701, 7.9697) * CHOOSE(CONTROL!$C$15, $D$11, 100%, $F$11)</f>
        <v>7.9701000000000004</v>
      </c>
      <c r="G178" s="8">
        <f>CHOOSE( CONTROL!$C$32, 7.1842, 7.1837) * CHOOSE( CONTROL!$C$15, $D$11, 100%, $F$11)</f>
        <v>7.1841999999999997</v>
      </c>
      <c r="H178" s="4">
        <f>CHOOSE( CONTROL!$C$32, 8.1235, 8.123) * CHOOSE(CONTROL!$C$15, $D$11, 100%, $F$11)</f>
        <v>8.1234999999999999</v>
      </c>
      <c r="I178" s="8">
        <f>CHOOSE( CONTROL!$C$32, 7.123, 7.1225) * CHOOSE(CONTROL!$C$15, $D$11, 100%, $F$11)</f>
        <v>7.1230000000000002</v>
      </c>
      <c r="J178" s="4">
        <f>CHOOSE( CONTROL!$C$32, 7.0381, 7.0377) * CHOOSE(CONTROL!$C$15, $D$11, 100%, $F$11)</f>
        <v>7.0381</v>
      </c>
      <c r="K178" s="4"/>
      <c r="L178" s="9">
        <v>29.7257</v>
      </c>
      <c r="M178" s="9">
        <v>11.6745</v>
      </c>
      <c r="N178" s="9">
        <v>4.7850000000000001</v>
      </c>
      <c r="O178" s="9">
        <v>0.36199999999999999</v>
      </c>
      <c r="P178" s="9">
        <v>1.2509999999999999</v>
      </c>
      <c r="Q178" s="9">
        <v>30.857399999999998</v>
      </c>
      <c r="R178" s="9"/>
      <c r="S178" s="11"/>
    </row>
    <row r="179" spans="1:19" ht="15.75">
      <c r="A179" s="13">
        <v>46569</v>
      </c>
      <c r="B179" s="8">
        <f>CHOOSE( CONTROL!$C$32, 7.5752, 7.5748) * CHOOSE(CONTROL!$C$15, $D$11, 100%, $F$11)</f>
        <v>7.5751999999999997</v>
      </c>
      <c r="C179" s="8">
        <f>CHOOSE( CONTROL!$C$32, 7.5832, 7.5828) * CHOOSE(CONTROL!$C$15, $D$11, 100%, $F$11)</f>
        <v>7.5831999999999997</v>
      </c>
      <c r="D179" s="8">
        <f>CHOOSE( CONTROL!$C$32, 7.5784, 7.5779) * CHOOSE( CONTROL!$C$15, $D$11, 100%, $F$11)</f>
        <v>7.5784000000000002</v>
      </c>
      <c r="E179" s="12">
        <f>CHOOSE( CONTROL!$C$32, 7.5789, 7.5785) * CHOOSE( CONTROL!$C$15, $D$11, 100%, $F$11)</f>
        <v>7.5789</v>
      </c>
      <c r="F179" s="4">
        <f>CHOOSE( CONTROL!$C$32, 8.2822, 8.2817) * CHOOSE(CONTROL!$C$15, $D$11, 100%, $F$11)</f>
        <v>8.2821999999999996</v>
      </c>
      <c r="G179" s="8">
        <f>CHOOSE( CONTROL!$C$32, 7.4929, 7.4925) * CHOOSE( CONTROL!$C$15, $D$11, 100%, $F$11)</f>
        <v>7.4928999999999997</v>
      </c>
      <c r="H179" s="4">
        <f>CHOOSE( CONTROL!$C$32, 8.4318, 8.4314) * CHOOSE(CONTROL!$C$15, $D$11, 100%, $F$11)</f>
        <v>8.4318000000000008</v>
      </c>
      <c r="I179" s="8">
        <f>CHOOSE( CONTROL!$C$32, 7.4275, 7.4271) * CHOOSE(CONTROL!$C$15, $D$11, 100%, $F$11)</f>
        <v>7.4275000000000002</v>
      </c>
      <c r="J179" s="4">
        <f>CHOOSE( CONTROL!$C$32, 7.341, 7.3405) * CHOOSE(CONTROL!$C$15, $D$11, 100%, $F$11)</f>
        <v>7.3410000000000002</v>
      </c>
      <c r="K179" s="4"/>
      <c r="L179" s="9">
        <v>30.7165</v>
      </c>
      <c r="M179" s="9">
        <v>12.063700000000001</v>
      </c>
      <c r="N179" s="9">
        <v>4.9444999999999997</v>
      </c>
      <c r="O179" s="9">
        <v>0.37409999999999999</v>
      </c>
      <c r="P179" s="9">
        <v>1.2927</v>
      </c>
      <c r="Q179" s="9">
        <v>31.885999999999999</v>
      </c>
      <c r="R179" s="9"/>
      <c r="S179" s="11"/>
    </row>
    <row r="180" spans="1:19" ht="15.75">
      <c r="A180" s="13">
        <v>46600</v>
      </c>
      <c r="B180" s="8">
        <f>CHOOSE( CONTROL!$C$32, 6.9914, 6.9909) * CHOOSE(CONTROL!$C$15, $D$11, 100%, $F$11)</f>
        <v>6.9913999999999996</v>
      </c>
      <c r="C180" s="8">
        <f>CHOOSE( CONTROL!$C$32, 6.9994, 6.9989) * CHOOSE(CONTROL!$C$15, $D$11, 100%, $F$11)</f>
        <v>6.9993999999999996</v>
      </c>
      <c r="D180" s="8">
        <f>CHOOSE( CONTROL!$C$32, 6.9946, 6.9942) * CHOOSE( CONTROL!$C$15, $D$11, 100%, $F$11)</f>
        <v>6.9946000000000002</v>
      </c>
      <c r="E180" s="12">
        <f>CHOOSE( CONTROL!$C$32, 6.9951, 6.9947) * CHOOSE( CONTROL!$C$15, $D$11, 100%, $F$11)</f>
        <v>6.9950999999999999</v>
      </c>
      <c r="F180" s="4">
        <f>CHOOSE( CONTROL!$C$32, 7.6983, 7.6979) * CHOOSE(CONTROL!$C$15, $D$11, 100%, $F$11)</f>
        <v>7.6982999999999997</v>
      </c>
      <c r="G180" s="8">
        <f>CHOOSE( CONTROL!$C$32, 6.916, 6.9155) * CHOOSE( CONTROL!$C$15, $D$11, 100%, $F$11)</f>
        <v>6.9160000000000004</v>
      </c>
      <c r="H180" s="4">
        <f>CHOOSE( CONTROL!$C$32, 7.8548, 7.8544) * CHOOSE(CONTROL!$C$15, $D$11, 100%, $F$11)</f>
        <v>7.8548</v>
      </c>
      <c r="I180" s="8">
        <f>CHOOSE( CONTROL!$C$32, 6.8611, 6.8606) * CHOOSE(CONTROL!$C$15, $D$11, 100%, $F$11)</f>
        <v>6.8611000000000004</v>
      </c>
      <c r="J180" s="4">
        <f>CHOOSE( CONTROL!$C$32, 6.7743, 6.7739) * CHOOSE(CONTROL!$C$15, $D$11, 100%, $F$11)</f>
        <v>6.7743000000000002</v>
      </c>
      <c r="K180" s="4"/>
      <c r="L180" s="9">
        <v>30.7165</v>
      </c>
      <c r="M180" s="9">
        <v>12.063700000000001</v>
      </c>
      <c r="N180" s="9">
        <v>4.9444999999999997</v>
      </c>
      <c r="O180" s="9">
        <v>0.37409999999999999</v>
      </c>
      <c r="P180" s="9">
        <v>1.2927</v>
      </c>
      <c r="Q180" s="9">
        <v>31.885999999999999</v>
      </c>
      <c r="R180" s="9"/>
      <c r="S180" s="11"/>
    </row>
    <row r="181" spans="1:19" ht="15.75">
      <c r="A181" s="13">
        <v>46631</v>
      </c>
      <c r="B181" s="8">
        <f>CHOOSE( CONTROL!$C$32, 6.8452, 6.8447) * CHOOSE(CONTROL!$C$15, $D$11, 100%, $F$11)</f>
        <v>6.8452000000000002</v>
      </c>
      <c r="C181" s="8">
        <f>CHOOSE( CONTROL!$C$32, 6.8532, 6.8527) * CHOOSE(CONTROL!$C$15, $D$11, 100%, $F$11)</f>
        <v>6.8532000000000002</v>
      </c>
      <c r="D181" s="8">
        <f>CHOOSE( CONTROL!$C$32, 6.8483, 6.8478) * CHOOSE( CONTROL!$C$15, $D$11, 100%, $F$11)</f>
        <v>6.8483000000000001</v>
      </c>
      <c r="E181" s="12">
        <f>CHOOSE( CONTROL!$C$32, 6.8489, 6.8484) * CHOOSE( CONTROL!$C$15, $D$11, 100%, $F$11)</f>
        <v>6.8489000000000004</v>
      </c>
      <c r="F181" s="4">
        <f>CHOOSE( CONTROL!$C$32, 7.5521, 7.5517) * CHOOSE(CONTROL!$C$15, $D$11, 100%, $F$11)</f>
        <v>7.5521000000000003</v>
      </c>
      <c r="G181" s="8">
        <f>CHOOSE( CONTROL!$C$32, 6.7714, 6.7709) * CHOOSE( CONTROL!$C$15, $D$11, 100%, $F$11)</f>
        <v>6.7713999999999999</v>
      </c>
      <c r="H181" s="4">
        <f>CHOOSE( CONTROL!$C$32, 7.7103, 7.7099) * CHOOSE(CONTROL!$C$15, $D$11, 100%, $F$11)</f>
        <v>7.7103000000000002</v>
      </c>
      <c r="I181" s="8">
        <f>CHOOSE( CONTROL!$C$32, 6.7186, 6.7181) * CHOOSE(CONTROL!$C$15, $D$11, 100%, $F$11)</f>
        <v>6.7186000000000003</v>
      </c>
      <c r="J181" s="4">
        <f>CHOOSE( CONTROL!$C$32, 6.6324, 6.632) * CHOOSE(CONTROL!$C$15, $D$11, 100%, $F$11)</f>
        <v>6.6323999999999996</v>
      </c>
      <c r="K181" s="4"/>
      <c r="L181" s="9">
        <v>29.7257</v>
      </c>
      <c r="M181" s="9">
        <v>11.6745</v>
      </c>
      <c r="N181" s="9">
        <v>4.7850000000000001</v>
      </c>
      <c r="O181" s="9">
        <v>0.36199999999999999</v>
      </c>
      <c r="P181" s="9">
        <v>1.2509999999999999</v>
      </c>
      <c r="Q181" s="9">
        <v>30.857399999999998</v>
      </c>
      <c r="R181" s="9"/>
      <c r="S181" s="11"/>
    </row>
    <row r="182" spans="1:19" ht="15.75">
      <c r="A182" s="13">
        <v>46661</v>
      </c>
      <c r="B182" s="8">
        <f>CHOOSE( CONTROL!$C$32, 7.1468, 7.1466) * CHOOSE(CONTROL!$C$15, $D$11, 100%, $F$11)</f>
        <v>7.1467999999999998</v>
      </c>
      <c r="C182" s="8">
        <f>CHOOSE( CONTROL!$C$32, 7.1522, 7.1519) * CHOOSE(CONTROL!$C$15, $D$11, 100%, $F$11)</f>
        <v>7.1521999999999997</v>
      </c>
      <c r="D182" s="8">
        <f>CHOOSE( CONTROL!$C$32, 7.1524, 7.1521) * CHOOSE( CONTROL!$C$15, $D$11, 100%, $F$11)</f>
        <v>7.1524000000000001</v>
      </c>
      <c r="E182" s="12">
        <f>CHOOSE( CONTROL!$C$32, 7.1518, 7.1515) * CHOOSE( CONTROL!$C$15, $D$11, 100%, $F$11)</f>
        <v>7.1517999999999997</v>
      </c>
      <c r="F182" s="4">
        <f>CHOOSE( CONTROL!$C$32, 7.8555, 7.8552) * CHOOSE(CONTROL!$C$15, $D$11, 100%, $F$11)</f>
        <v>7.8555000000000001</v>
      </c>
      <c r="G182" s="8">
        <f>CHOOSE( CONTROL!$C$32, 7.0712, 7.0709) * CHOOSE( CONTROL!$C$15, $D$11, 100%, $F$11)</f>
        <v>7.0712000000000002</v>
      </c>
      <c r="H182" s="4">
        <f>CHOOSE( CONTROL!$C$32, 8.0102, 8.0099) * CHOOSE(CONTROL!$C$15, $D$11, 100%, $F$11)</f>
        <v>8.0101999999999993</v>
      </c>
      <c r="I182" s="8">
        <f>CHOOSE( CONTROL!$C$32, 7.0139, 7.0136) * CHOOSE(CONTROL!$C$15, $D$11, 100%, $F$11)</f>
        <v>7.0138999999999996</v>
      </c>
      <c r="J182" s="4">
        <f>CHOOSE( CONTROL!$C$32, 6.9269, 6.9266) * CHOOSE(CONTROL!$C$15, $D$11, 100%, $F$11)</f>
        <v>6.9268999999999998</v>
      </c>
      <c r="K182" s="4"/>
      <c r="L182" s="9">
        <v>31.095300000000002</v>
      </c>
      <c r="M182" s="9">
        <v>12.063700000000001</v>
      </c>
      <c r="N182" s="9">
        <v>4.9444999999999997</v>
      </c>
      <c r="O182" s="9">
        <v>0.37409999999999999</v>
      </c>
      <c r="P182" s="9">
        <v>1.2927</v>
      </c>
      <c r="Q182" s="9">
        <v>31.885999999999999</v>
      </c>
      <c r="R182" s="9"/>
      <c r="S182" s="11"/>
    </row>
    <row r="183" spans="1:19" ht="15.75">
      <c r="A183" s="13">
        <v>46692</v>
      </c>
      <c r="B183" s="8">
        <f>CHOOSE( CONTROL!$C$32, 7.7068, 7.7065) * CHOOSE(CONTROL!$C$15, $D$11, 100%, $F$11)</f>
        <v>7.7068000000000003</v>
      </c>
      <c r="C183" s="8">
        <f>CHOOSE( CONTROL!$C$32, 7.7118, 7.7116) * CHOOSE(CONTROL!$C$15, $D$11, 100%, $F$11)</f>
        <v>7.7118000000000002</v>
      </c>
      <c r="D183" s="8">
        <f>CHOOSE( CONTROL!$C$32, 7.6797, 7.6794) * CHOOSE( CONTROL!$C$15, $D$11, 100%, $F$11)</f>
        <v>7.6797000000000004</v>
      </c>
      <c r="E183" s="12">
        <f>CHOOSE( CONTROL!$C$32, 7.6909, 7.6906) * CHOOSE( CONTROL!$C$15, $D$11, 100%, $F$11)</f>
        <v>7.6909000000000001</v>
      </c>
      <c r="F183" s="4">
        <f>CHOOSE( CONTROL!$C$32, 8.372, 8.3718) * CHOOSE(CONTROL!$C$15, $D$11, 100%, $F$11)</f>
        <v>8.3719999999999999</v>
      </c>
      <c r="G183" s="8">
        <f>CHOOSE( CONTROL!$C$32, 7.6139, 7.6136) * CHOOSE( CONTROL!$C$15, $D$11, 100%, $F$11)</f>
        <v>7.6139000000000001</v>
      </c>
      <c r="H183" s="4">
        <f>CHOOSE( CONTROL!$C$32, 8.5206, 8.5204) * CHOOSE(CONTROL!$C$15, $D$11, 100%, $F$11)</f>
        <v>8.5206</v>
      </c>
      <c r="I183" s="8">
        <f>CHOOSE( CONTROL!$C$32, 7.6088, 7.6085) * CHOOSE(CONTROL!$C$15, $D$11, 100%, $F$11)</f>
        <v>7.6087999999999996</v>
      </c>
      <c r="J183" s="4">
        <f>CHOOSE( CONTROL!$C$32, 7.4707, 7.4704) * CHOOSE(CONTROL!$C$15, $D$11, 100%, $F$11)</f>
        <v>7.4706999999999999</v>
      </c>
      <c r="K183" s="4"/>
      <c r="L183" s="9">
        <v>28.360600000000002</v>
      </c>
      <c r="M183" s="9">
        <v>11.6745</v>
      </c>
      <c r="N183" s="9">
        <v>4.7850000000000001</v>
      </c>
      <c r="O183" s="9">
        <v>0.36199999999999999</v>
      </c>
      <c r="P183" s="9">
        <v>1.2509999999999999</v>
      </c>
      <c r="Q183" s="9">
        <v>30.857399999999998</v>
      </c>
      <c r="R183" s="9"/>
      <c r="S183" s="11"/>
    </row>
    <row r="184" spans="1:19" ht="15.75">
      <c r="A184" s="13">
        <v>46722</v>
      </c>
      <c r="B184" s="8">
        <f>CHOOSE( CONTROL!$C$32, 7.6928, 7.6925) * CHOOSE(CONTROL!$C$15, $D$11, 100%, $F$11)</f>
        <v>7.6928000000000001</v>
      </c>
      <c r="C184" s="8">
        <f>CHOOSE( CONTROL!$C$32, 7.6978, 7.6976) * CHOOSE(CONTROL!$C$15, $D$11, 100%, $F$11)</f>
        <v>7.6978</v>
      </c>
      <c r="D184" s="8">
        <f>CHOOSE( CONTROL!$C$32, 7.6675, 7.6673) * CHOOSE( CONTROL!$C$15, $D$11, 100%, $F$11)</f>
        <v>7.6675000000000004</v>
      </c>
      <c r="E184" s="12">
        <f>CHOOSE( CONTROL!$C$32, 7.678, 7.6778) * CHOOSE( CONTROL!$C$15, $D$11, 100%, $F$11)</f>
        <v>7.6779999999999999</v>
      </c>
      <c r="F184" s="4">
        <f>CHOOSE( CONTROL!$C$32, 8.358, 8.3578) * CHOOSE(CONTROL!$C$15, $D$11, 100%, $F$11)</f>
        <v>8.3580000000000005</v>
      </c>
      <c r="G184" s="8">
        <f>CHOOSE( CONTROL!$C$32, 7.6014, 7.6011) * CHOOSE( CONTROL!$C$15, $D$11, 100%, $F$11)</f>
        <v>7.6013999999999999</v>
      </c>
      <c r="H184" s="4">
        <f>CHOOSE( CONTROL!$C$32, 8.5068, 8.5065) * CHOOSE(CONTROL!$C$15, $D$11, 100%, $F$11)</f>
        <v>8.5068000000000001</v>
      </c>
      <c r="I184" s="8">
        <f>CHOOSE( CONTROL!$C$32, 7.6009, 7.6006) * CHOOSE(CONTROL!$C$15, $D$11, 100%, $F$11)</f>
        <v>7.6009000000000002</v>
      </c>
      <c r="J184" s="4">
        <f>CHOOSE( CONTROL!$C$32, 7.4571, 7.4568) * CHOOSE(CONTROL!$C$15, $D$11, 100%, $F$11)</f>
        <v>7.4570999999999996</v>
      </c>
      <c r="K184" s="4"/>
      <c r="L184" s="9">
        <v>29.306000000000001</v>
      </c>
      <c r="M184" s="9">
        <v>12.063700000000001</v>
      </c>
      <c r="N184" s="9">
        <v>4.9444999999999997</v>
      </c>
      <c r="O184" s="9">
        <v>0.37409999999999999</v>
      </c>
      <c r="P184" s="9">
        <v>1.2927</v>
      </c>
      <c r="Q184" s="9">
        <v>31.885999999999999</v>
      </c>
      <c r="R184" s="9"/>
      <c r="S184" s="11"/>
    </row>
    <row r="185" spans="1:19" ht="15.75">
      <c r="A185" s="13">
        <v>46753</v>
      </c>
      <c r="B185" s="8">
        <f>CHOOSE( CONTROL!$C$32, 7.9657, 7.9654) * CHOOSE(CONTROL!$C$15, $D$11, 100%, $F$11)</f>
        <v>7.9657</v>
      </c>
      <c r="C185" s="8">
        <f>CHOOSE( CONTROL!$C$32, 7.9707, 7.9705) * CHOOSE(CONTROL!$C$15, $D$11, 100%, $F$11)</f>
        <v>7.9706999999999999</v>
      </c>
      <c r="D185" s="8">
        <f>CHOOSE( CONTROL!$C$32, 7.9684, 7.9681) * CHOOSE( CONTROL!$C$15, $D$11, 100%, $F$11)</f>
        <v>7.9683999999999999</v>
      </c>
      <c r="E185" s="12">
        <f>CHOOSE( CONTROL!$C$32, 7.9687, 7.9684) * CHOOSE( CONTROL!$C$15, $D$11, 100%, $F$11)</f>
        <v>7.9687000000000001</v>
      </c>
      <c r="F185" s="4">
        <f>CHOOSE( CONTROL!$C$32, 8.6309, 8.6307) * CHOOSE(CONTROL!$C$15, $D$11, 100%, $F$11)</f>
        <v>8.6309000000000005</v>
      </c>
      <c r="G185" s="8">
        <f>CHOOSE( CONTROL!$C$32, 7.8872, 7.8869) * CHOOSE( CONTROL!$C$15, $D$11, 100%, $F$11)</f>
        <v>7.8872</v>
      </c>
      <c r="H185" s="4">
        <f>CHOOSE( CONTROL!$C$32, 8.7765, 8.7762) * CHOOSE(CONTROL!$C$15, $D$11, 100%, $F$11)</f>
        <v>8.7765000000000004</v>
      </c>
      <c r="I185" s="8">
        <f>CHOOSE( CONTROL!$C$32, 7.8394, 7.8391) * CHOOSE(CONTROL!$C$15, $D$11, 100%, $F$11)</f>
        <v>7.8394000000000004</v>
      </c>
      <c r="J185" s="4">
        <f>CHOOSE( CONTROL!$C$32, 7.7219, 7.7216) * CHOOSE(CONTROL!$C$15, $D$11, 100%, $F$11)</f>
        <v>7.7218999999999998</v>
      </c>
      <c r="K185" s="4"/>
      <c r="L185" s="9">
        <v>29.306000000000001</v>
      </c>
      <c r="M185" s="9">
        <v>12.063700000000001</v>
      </c>
      <c r="N185" s="9">
        <v>4.9444999999999997</v>
      </c>
      <c r="O185" s="9">
        <v>0.37409999999999999</v>
      </c>
      <c r="P185" s="9">
        <v>1.2927</v>
      </c>
      <c r="Q185" s="9">
        <v>31.701799999999999</v>
      </c>
      <c r="R185" s="9"/>
      <c r="S185" s="11"/>
    </row>
    <row r="186" spans="1:19" ht="15.75">
      <c r="A186" s="13">
        <v>46784</v>
      </c>
      <c r="B186" s="8">
        <f>CHOOSE( CONTROL!$C$32, 7.4513, 7.451) * CHOOSE(CONTROL!$C$15, $D$11, 100%, $F$11)</f>
        <v>7.4512999999999998</v>
      </c>
      <c r="C186" s="8">
        <f>CHOOSE( CONTROL!$C$32, 7.4564, 7.4561) * CHOOSE(CONTROL!$C$15, $D$11, 100%, $F$11)</f>
        <v>7.4564000000000004</v>
      </c>
      <c r="D186" s="8">
        <f>CHOOSE( CONTROL!$C$32, 7.4363, 7.4361) * CHOOSE( CONTROL!$C$15, $D$11, 100%, $F$11)</f>
        <v>7.4363000000000001</v>
      </c>
      <c r="E186" s="12">
        <f>CHOOSE( CONTROL!$C$32, 7.4431, 7.4429) * CHOOSE( CONTROL!$C$15, $D$11, 100%, $F$11)</f>
        <v>7.4431000000000003</v>
      </c>
      <c r="F186" s="4">
        <f>CHOOSE( CONTROL!$C$32, 8.1166, 8.1163) * CHOOSE(CONTROL!$C$15, $D$11, 100%, $F$11)</f>
        <v>8.1166</v>
      </c>
      <c r="G186" s="8">
        <f>CHOOSE( CONTROL!$C$32, 7.3677, 7.3674) * CHOOSE( CONTROL!$C$15, $D$11, 100%, $F$11)</f>
        <v>7.3677000000000001</v>
      </c>
      <c r="H186" s="4">
        <f>CHOOSE( CONTROL!$C$32, 8.2682, 8.2679) * CHOOSE(CONTROL!$C$15, $D$11, 100%, $F$11)</f>
        <v>8.2682000000000002</v>
      </c>
      <c r="I186" s="8">
        <f>CHOOSE( CONTROL!$C$32, 7.3404, 7.3401) * CHOOSE(CONTROL!$C$15, $D$11, 100%, $F$11)</f>
        <v>7.3403999999999998</v>
      </c>
      <c r="J186" s="4">
        <f>CHOOSE( CONTROL!$C$32, 7.2227, 7.2225) * CHOOSE(CONTROL!$C$15, $D$11, 100%, $F$11)</f>
        <v>7.2226999999999997</v>
      </c>
      <c r="K186" s="4"/>
      <c r="L186" s="9">
        <v>27.415299999999998</v>
      </c>
      <c r="M186" s="9">
        <v>11.285299999999999</v>
      </c>
      <c r="N186" s="9">
        <v>4.6254999999999997</v>
      </c>
      <c r="O186" s="9">
        <v>0.34989999999999999</v>
      </c>
      <c r="P186" s="9">
        <v>1.2093</v>
      </c>
      <c r="Q186" s="9">
        <v>29.656600000000001</v>
      </c>
      <c r="R186" s="9"/>
      <c r="S186" s="11"/>
    </row>
    <row r="187" spans="1:19" ht="15.75">
      <c r="A187" s="13">
        <v>46813</v>
      </c>
      <c r="B187" s="8">
        <f>CHOOSE( CONTROL!$C$32, 7.2929, 7.2926) * CHOOSE(CONTROL!$C$15, $D$11, 100%, $F$11)</f>
        <v>7.2929000000000004</v>
      </c>
      <c r="C187" s="8">
        <f>CHOOSE( CONTROL!$C$32, 7.2979, 7.2977) * CHOOSE(CONTROL!$C$15, $D$11, 100%, $F$11)</f>
        <v>7.2979000000000003</v>
      </c>
      <c r="D187" s="8">
        <f>CHOOSE( CONTROL!$C$32, 7.268, 7.2677) * CHOOSE( CONTROL!$C$15, $D$11, 100%, $F$11)</f>
        <v>7.2679999999999998</v>
      </c>
      <c r="E187" s="12">
        <f>CHOOSE( CONTROL!$C$32, 7.2784, 7.2781) * CHOOSE( CONTROL!$C$15, $D$11, 100%, $F$11)</f>
        <v>7.2784000000000004</v>
      </c>
      <c r="F187" s="4">
        <f>CHOOSE( CONTROL!$C$32, 7.9581, 7.9579) * CHOOSE(CONTROL!$C$15, $D$11, 100%, $F$11)</f>
        <v>7.9581</v>
      </c>
      <c r="G187" s="8">
        <f>CHOOSE( CONTROL!$C$32, 7.1979, 7.1976) * CHOOSE( CONTROL!$C$15, $D$11, 100%, $F$11)</f>
        <v>7.1978999999999997</v>
      </c>
      <c r="H187" s="4">
        <f>CHOOSE( CONTROL!$C$32, 8.1116, 8.1113) * CHOOSE(CONTROL!$C$15, $D$11, 100%, $F$11)</f>
        <v>8.1115999999999993</v>
      </c>
      <c r="I187" s="8">
        <f>CHOOSE( CONTROL!$C$32, 7.1513, 7.1511) * CHOOSE(CONTROL!$C$15, $D$11, 100%, $F$11)</f>
        <v>7.1513</v>
      </c>
      <c r="J187" s="4">
        <f>CHOOSE( CONTROL!$C$32, 7.069, 7.0687) * CHOOSE(CONTROL!$C$15, $D$11, 100%, $F$11)</f>
        <v>7.069</v>
      </c>
      <c r="K187" s="4"/>
      <c r="L187" s="9">
        <v>29.306000000000001</v>
      </c>
      <c r="M187" s="9">
        <v>12.063700000000001</v>
      </c>
      <c r="N187" s="9">
        <v>4.9444999999999997</v>
      </c>
      <c r="O187" s="9">
        <v>0.37409999999999999</v>
      </c>
      <c r="P187" s="9">
        <v>1.2927</v>
      </c>
      <c r="Q187" s="9">
        <v>31.701799999999999</v>
      </c>
      <c r="R187" s="9"/>
      <c r="S187" s="11"/>
    </row>
    <row r="188" spans="1:19" ht="15.75">
      <c r="A188" s="13">
        <v>46844</v>
      </c>
      <c r="B188" s="8">
        <f>CHOOSE( CONTROL!$C$32, 7.4043, 7.4041) * CHOOSE(CONTROL!$C$15, $D$11, 100%, $F$11)</f>
        <v>7.4043000000000001</v>
      </c>
      <c r="C188" s="8">
        <f>CHOOSE( CONTROL!$C$32, 7.4088, 7.4086) * CHOOSE(CONTROL!$C$15, $D$11, 100%, $F$11)</f>
        <v>7.4088000000000003</v>
      </c>
      <c r="D188" s="8">
        <f>CHOOSE( CONTROL!$C$32, 7.4083, 7.4081) * CHOOSE( CONTROL!$C$15, $D$11, 100%, $F$11)</f>
        <v>7.4082999999999997</v>
      </c>
      <c r="E188" s="12">
        <f>CHOOSE( CONTROL!$C$32, 7.408, 7.4078) * CHOOSE( CONTROL!$C$15, $D$11, 100%, $F$11)</f>
        <v>7.4080000000000004</v>
      </c>
      <c r="F188" s="4">
        <f>CHOOSE( CONTROL!$C$32, 8.1126, 8.1124) * CHOOSE(CONTROL!$C$15, $D$11, 100%, $F$11)</f>
        <v>8.1126000000000005</v>
      </c>
      <c r="G188" s="8">
        <f>CHOOSE( CONTROL!$C$32, 7.3243, 7.3241) * CHOOSE( CONTROL!$C$15, $D$11, 100%, $F$11)</f>
        <v>7.3243</v>
      </c>
      <c r="H188" s="4">
        <f>CHOOSE( CONTROL!$C$32, 8.2643, 8.264) * CHOOSE(CONTROL!$C$15, $D$11, 100%, $F$11)</f>
        <v>8.2643000000000004</v>
      </c>
      <c r="I188" s="8">
        <f>CHOOSE( CONTROL!$C$32, 7.2594, 7.2591) * CHOOSE(CONTROL!$C$15, $D$11, 100%, $F$11)</f>
        <v>7.2594000000000003</v>
      </c>
      <c r="J188" s="4">
        <f>CHOOSE( CONTROL!$C$32, 7.1764, 7.1761) * CHOOSE(CONTROL!$C$15, $D$11, 100%, $F$11)</f>
        <v>7.1764000000000001</v>
      </c>
      <c r="K188" s="4"/>
      <c r="L188" s="9">
        <v>30.092199999999998</v>
      </c>
      <c r="M188" s="9">
        <v>11.6745</v>
      </c>
      <c r="N188" s="9">
        <v>4.7850000000000001</v>
      </c>
      <c r="O188" s="9">
        <v>0.36199999999999999</v>
      </c>
      <c r="P188" s="9">
        <v>1.2509999999999999</v>
      </c>
      <c r="Q188" s="9">
        <v>30.679200000000002</v>
      </c>
      <c r="R188" s="9"/>
      <c r="S188" s="11"/>
    </row>
    <row r="189" spans="1:19" ht="15.75">
      <c r="A189" s="13">
        <v>46874</v>
      </c>
      <c r="B189" s="8">
        <f>CHOOSE( CONTROL!$C$32, 7.6029, 7.6024) * CHOOSE(CONTROL!$C$15, $D$11, 100%, $F$11)</f>
        <v>7.6029</v>
      </c>
      <c r="C189" s="8">
        <f>CHOOSE( CONTROL!$C$32, 7.6109, 7.6104) * CHOOSE(CONTROL!$C$15, $D$11, 100%, $F$11)</f>
        <v>7.6109</v>
      </c>
      <c r="D189" s="8">
        <f>CHOOSE( CONTROL!$C$32, 7.6052, 7.6047) * CHOOSE( CONTROL!$C$15, $D$11, 100%, $F$11)</f>
        <v>7.6052</v>
      </c>
      <c r="E189" s="12">
        <f>CHOOSE( CONTROL!$C$32, 7.606, 7.6055) * CHOOSE( CONTROL!$C$15, $D$11, 100%, $F$11)</f>
        <v>7.6059999999999999</v>
      </c>
      <c r="F189" s="4">
        <f>CHOOSE( CONTROL!$C$32, 8.3098, 8.3094) * CHOOSE(CONTROL!$C$15, $D$11, 100%, $F$11)</f>
        <v>8.3097999999999992</v>
      </c>
      <c r="G189" s="8">
        <f>CHOOSE( CONTROL!$C$32, 7.5196, 7.5191) * CHOOSE( CONTROL!$C$15, $D$11, 100%, $F$11)</f>
        <v>7.5195999999999996</v>
      </c>
      <c r="H189" s="4">
        <f>CHOOSE( CONTROL!$C$32, 8.4592, 8.4587) * CHOOSE(CONTROL!$C$15, $D$11, 100%, $F$11)</f>
        <v>8.4591999999999992</v>
      </c>
      <c r="I189" s="8">
        <f>CHOOSE( CONTROL!$C$32, 7.4514, 7.451) * CHOOSE(CONTROL!$C$15, $D$11, 100%, $F$11)</f>
        <v>7.4513999999999996</v>
      </c>
      <c r="J189" s="4">
        <f>CHOOSE( CONTROL!$C$32, 7.3678, 7.3674) * CHOOSE(CONTROL!$C$15, $D$11, 100%, $F$11)</f>
        <v>7.3677999999999999</v>
      </c>
      <c r="K189" s="4"/>
      <c r="L189" s="9">
        <v>30.7165</v>
      </c>
      <c r="M189" s="9">
        <v>12.063700000000001</v>
      </c>
      <c r="N189" s="9">
        <v>4.9444999999999997</v>
      </c>
      <c r="O189" s="9">
        <v>0.37409999999999999</v>
      </c>
      <c r="P189" s="9">
        <v>1.2927</v>
      </c>
      <c r="Q189" s="9">
        <v>31.701799999999999</v>
      </c>
      <c r="R189" s="9"/>
      <c r="S189" s="11"/>
    </row>
    <row r="190" spans="1:19" ht="15.75">
      <c r="A190" s="13">
        <v>46905</v>
      </c>
      <c r="B190" s="8">
        <f>CHOOSE( CONTROL!$C$32, 7.4809, 7.4804) * CHOOSE(CONTROL!$C$15, $D$11, 100%, $F$11)</f>
        <v>7.4809000000000001</v>
      </c>
      <c r="C190" s="8">
        <f>CHOOSE( CONTROL!$C$32, 7.4888, 7.4884) * CHOOSE(CONTROL!$C$15, $D$11, 100%, $F$11)</f>
        <v>7.4888000000000003</v>
      </c>
      <c r="D190" s="8">
        <f>CHOOSE( CONTROL!$C$32, 7.4835, 7.4831) * CHOOSE( CONTROL!$C$15, $D$11, 100%, $F$11)</f>
        <v>7.4835000000000003</v>
      </c>
      <c r="E190" s="12">
        <f>CHOOSE( CONTROL!$C$32, 7.4842, 7.4838) * CHOOSE( CONTROL!$C$15, $D$11, 100%, $F$11)</f>
        <v>7.4842000000000004</v>
      </c>
      <c r="F190" s="4">
        <f>CHOOSE( CONTROL!$C$32, 8.1878, 8.1873) * CHOOSE(CONTROL!$C$15, $D$11, 100%, $F$11)</f>
        <v>8.1877999999999993</v>
      </c>
      <c r="G190" s="8">
        <f>CHOOSE( CONTROL!$C$32, 7.3993, 7.3988) * CHOOSE( CONTROL!$C$15, $D$11, 100%, $F$11)</f>
        <v>7.3993000000000002</v>
      </c>
      <c r="H190" s="4">
        <f>CHOOSE( CONTROL!$C$32, 8.3386, 8.3381) * CHOOSE(CONTROL!$C$15, $D$11, 100%, $F$11)</f>
        <v>8.3385999999999996</v>
      </c>
      <c r="I190" s="8">
        <f>CHOOSE( CONTROL!$C$32, 7.3343, 7.3339) * CHOOSE(CONTROL!$C$15, $D$11, 100%, $F$11)</f>
        <v>7.3342999999999998</v>
      </c>
      <c r="J190" s="4">
        <f>CHOOSE( CONTROL!$C$32, 7.2493, 7.2489) * CHOOSE(CONTROL!$C$15, $D$11, 100%, $F$11)</f>
        <v>7.2492999999999999</v>
      </c>
      <c r="K190" s="4"/>
      <c r="L190" s="9">
        <v>29.7257</v>
      </c>
      <c r="M190" s="9">
        <v>11.6745</v>
      </c>
      <c r="N190" s="9">
        <v>4.7850000000000001</v>
      </c>
      <c r="O190" s="9">
        <v>0.36199999999999999</v>
      </c>
      <c r="P190" s="9">
        <v>1.2509999999999999</v>
      </c>
      <c r="Q190" s="9">
        <v>30.679200000000002</v>
      </c>
      <c r="R190" s="9"/>
      <c r="S190" s="11"/>
    </row>
    <row r="191" spans="1:19" ht="15.75">
      <c r="A191" s="13">
        <v>46935</v>
      </c>
      <c r="B191" s="8">
        <f>CHOOSE( CONTROL!$C$32, 7.8023, 7.8018) * CHOOSE(CONTROL!$C$15, $D$11, 100%, $F$11)</f>
        <v>7.8022999999999998</v>
      </c>
      <c r="C191" s="8">
        <f>CHOOSE( CONTROL!$C$32, 7.8102, 7.8098) * CHOOSE(CONTROL!$C$15, $D$11, 100%, $F$11)</f>
        <v>7.8102</v>
      </c>
      <c r="D191" s="8">
        <f>CHOOSE( CONTROL!$C$32, 7.8054, 7.8049) * CHOOSE( CONTROL!$C$15, $D$11, 100%, $F$11)</f>
        <v>7.8053999999999997</v>
      </c>
      <c r="E191" s="12">
        <f>CHOOSE( CONTROL!$C$32, 7.8059, 7.8055) * CHOOSE( CONTROL!$C$15, $D$11, 100%, $F$11)</f>
        <v>7.8059000000000003</v>
      </c>
      <c r="F191" s="4">
        <f>CHOOSE( CONTROL!$C$32, 8.5092, 8.5087) * CHOOSE(CONTROL!$C$15, $D$11, 100%, $F$11)</f>
        <v>8.5091999999999999</v>
      </c>
      <c r="G191" s="8">
        <f>CHOOSE( CONTROL!$C$32, 7.7173, 7.7168) * CHOOSE( CONTROL!$C$15, $D$11, 100%, $F$11)</f>
        <v>7.7172999999999998</v>
      </c>
      <c r="H191" s="4">
        <f>CHOOSE( CONTROL!$C$32, 8.6562, 8.6557) * CHOOSE(CONTROL!$C$15, $D$11, 100%, $F$11)</f>
        <v>8.6562000000000001</v>
      </c>
      <c r="I191" s="8">
        <f>CHOOSE( CONTROL!$C$32, 7.648, 7.6475) * CHOOSE(CONTROL!$C$15, $D$11, 100%, $F$11)</f>
        <v>7.6479999999999997</v>
      </c>
      <c r="J191" s="4">
        <f>CHOOSE( CONTROL!$C$32, 7.5613, 7.5608) * CHOOSE(CONTROL!$C$15, $D$11, 100%, $F$11)</f>
        <v>7.5613000000000001</v>
      </c>
      <c r="K191" s="4"/>
      <c r="L191" s="9">
        <v>30.7165</v>
      </c>
      <c r="M191" s="9">
        <v>12.063700000000001</v>
      </c>
      <c r="N191" s="9">
        <v>4.9444999999999997</v>
      </c>
      <c r="O191" s="9">
        <v>0.37409999999999999</v>
      </c>
      <c r="P191" s="9">
        <v>1.2927</v>
      </c>
      <c r="Q191" s="9">
        <v>31.701799999999999</v>
      </c>
      <c r="R191" s="9"/>
      <c r="S191" s="11"/>
    </row>
    <row r="192" spans="1:19" ht="15.75">
      <c r="A192" s="13">
        <v>46966</v>
      </c>
      <c r="B192" s="8">
        <f>CHOOSE( CONTROL!$C$32, 7.2009, 7.2004) * CHOOSE(CONTROL!$C$15, $D$11, 100%, $F$11)</f>
        <v>7.2008999999999999</v>
      </c>
      <c r="C192" s="8">
        <f>CHOOSE( CONTROL!$C$32, 7.2089, 7.2084) * CHOOSE(CONTROL!$C$15, $D$11, 100%, $F$11)</f>
        <v>7.2088999999999999</v>
      </c>
      <c r="D192" s="8">
        <f>CHOOSE( CONTROL!$C$32, 7.2041, 7.2037) * CHOOSE( CONTROL!$C$15, $D$11, 100%, $F$11)</f>
        <v>7.2041000000000004</v>
      </c>
      <c r="E192" s="12">
        <f>CHOOSE( CONTROL!$C$32, 7.2046, 7.2042) * CHOOSE( CONTROL!$C$15, $D$11, 100%, $F$11)</f>
        <v>7.2046000000000001</v>
      </c>
      <c r="F192" s="4">
        <f>CHOOSE( CONTROL!$C$32, 7.9078, 7.9074) * CHOOSE(CONTROL!$C$15, $D$11, 100%, $F$11)</f>
        <v>7.9077999999999999</v>
      </c>
      <c r="G192" s="8">
        <f>CHOOSE( CONTROL!$C$32, 7.123, 7.1226) * CHOOSE( CONTROL!$C$15, $D$11, 100%, $F$11)</f>
        <v>7.1230000000000002</v>
      </c>
      <c r="H192" s="4">
        <f>CHOOSE( CONTROL!$C$32, 8.0619, 8.0614) * CHOOSE(CONTROL!$C$15, $D$11, 100%, $F$11)</f>
        <v>8.0618999999999996</v>
      </c>
      <c r="I192" s="8">
        <f>CHOOSE( CONTROL!$C$32, 7.0645, 7.064) * CHOOSE(CONTROL!$C$15, $D$11, 100%, $F$11)</f>
        <v>7.0644999999999998</v>
      </c>
      <c r="J192" s="4">
        <f>CHOOSE( CONTROL!$C$32, 6.9776, 6.9772) * CHOOSE(CONTROL!$C$15, $D$11, 100%, $F$11)</f>
        <v>6.9775999999999998</v>
      </c>
      <c r="K192" s="4"/>
      <c r="L192" s="9">
        <v>30.7165</v>
      </c>
      <c r="M192" s="9">
        <v>12.063700000000001</v>
      </c>
      <c r="N192" s="9">
        <v>4.9444999999999997</v>
      </c>
      <c r="O192" s="9">
        <v>0.37409999999999999</v>
      </c>
      <c r="P192" s="9">
        <v>1.2927</v>
      </c>
      <c r="Q192" s="9">
        <v>31.701799999999999</v>
      </c>
      <c r="R192" s="9"/>
      <c r="S192" s="11"/>
    </row>
    <row r="193" spans="1:19" ht="15.75">
      <c r="A193" s="13">
        <v>46997</v>
      </c>
      <c r="B193" s="8">
        <f>CHOOSE( CONTROL!$C$32, 7.0503, 7.0498) * CHOOSE(CONTROL!$C$15, $D$11, 100%, $F$11)</f>
        <v>7.0503</v>
      </c>
      <c r="C193" s="8">
        <f>CHOOSE( CONTROL!$C$32, 7.0583, 7.0578) * CHOOSE(CONTROL!$C$15, $D$11, 100%, $F$11)</f>
        <v>7.0583</v>
      </c>
      <c r="D193" s="8">
        <f>CHOOSE( CONTROL!$C$32, 7.0534, 7.0529) * CHOOSE( CONTROL!$C$15, $D$11, 100%, $F$11)</f>
        <v>7.0533999999999999</v>
      </c>
      <c r="E193" s="12">
        <f>CHOOSE( CONTROL!$C$32, 7.054, 7.0535) * CHOOSE( CONTROL!$C$15, $D$11, 100%, $F$11)</f>
        <v>7.0540000000000003</v>
      </c>
      <c r="F193" s="4">
        <f>CHOOSE( CONTROL!$C$32, 7.7572, 7.7568) * CHOOSE(CONTROL!$C$15, $D$11, 100%, $F$11)</f>
        <v>7.7572000000000001</v>
      </c>
      <c r="G193" s="8">
        <f>CHOOSE( CONTROL!$C$32, 6.9741, 6.9736) * CHOOSE( CONTROL!$C$15, $D$11, 100%, $F$11)</f>
        <v>6.9741</v>
      </c>
      <c r="H193" s="4">
        <f>CHOOSE( CONTROL!$C$32, 7.913, 7.9126) * CHOOSE(CONTROL!$C$15, $D$11, 100%, $F$11)</f>
        <v>7.9130000000000003</v>
      </c>
      <c r="I193" s="8">
        <f>CHOOSE( CONTROL!$C$32, 6.9177, 6.9173) * CHOOSE(CONTROL!$C$15, $D$11, 100%, $F$11)</f>
        <v>6.9177</v>
      </c>
      <c r="J193" s="4">
        <f>CHOOSE( CONTROL!$C$32, 6.8315, 6.831) * CHOOSE(CONTROL!$C$15, $D$11, 100%, $F$11)</f>
        <v>6.8315000000000001</v>
      </c>
      <c r="K193" s="4"/>
      <c r="L193" s="9">
        <v>29.7257</v>
      </c>
      <c r="M193" s="9">
        <v>11.6745</v>
      </c>
      <c r="N193" s="9">
        <v>4.7850000000000001</v>
      </c>
      <c r="O193" s="9">
        <v>0.36199999999999999</v>
      </c>
      <c r="P193" s="9">
        <v>1.2509999999999999</v>
      </c>
      <c r="Q193" s="9">
        <v>30.679200000000002</v>
      </c>
      <c r="R193" s="9"/>
      <c r="S193" s="11"/>
    </row>
    <row r="194" spans="1:19" ht="15.75">
      <c r="A194" s="13">
        <v>47027</v>
      </c>
      <c r="B194" s="8">
        <f>CHOOSE( CONTROL!$C$32, 7.3611, 7.3608) * CHOOSE(CONTROL!$C$15, $D$11, 100%, $F$11)</f>
        <v>7.3611000000000004</v>
      </c>
      <c r="C194" s="8">
        <f>CHOOSE( CONTROL!$C$32, 7.3664, 7.3661) * CHOOSE(CONTROL!$C$15, $D$11, 100%, $F$11)</f>
        <v>7.3663999999999996</v>
      </c>
      <c r="D194" s="8">
        <f>CHOOSE( CONTROL!$C$32, 7.3666, 7.3663) * CHOOSE( CONTROL!$C$15, $D$11, 100%, $F$11)</f>
        <v>7.3666</v>
      </c>
      <c r="E194" s="12">
        <f>CHOOSE( CONTROL!$C$32, 7.366, 7.3657) * CHOOSE( CONTROL!$C$15, $D$11, 100%, $F$11)</f>
        <v>7.3659999999999997</v>
      </c>
      <c r="F194" s="4">
        <f>CHOOSE( CONTROL!$C$32, 8.0697, 8.0695) * CHOOSE(CONTROL!$C$15, $D$11, 100%, $F$11)</f>
        <v>8.0696999999999992</v>
      </c>
      <c r="G194" s="8">
        <f>CHOOSE( CONTROL!$C$32, 7.2829, 7.2826) * CHOOSE( CONTROL!$C$15, $D$11, 100%, $F$11)</f>
        <v>7.2828999999999997</v>
      </c>
      <c r="H194" s="4">
        <f>CHOOSE( CONTROL!$C$32, 8.2219, 8.2216) * CHOOSE(CONTROL!$C$15, $D$11, 100%, $F$11)</f>
        <v>8.2218999999999998</v>
      </c>
      <c r="I194" s="8">
        <f>CHOOSE( CONTROL!$C$32, 7.2219, 7.2216) * CHOOSE(CONTROL!$C$15, $D$11, 100%, $F$11)</f>
        <v>7.2218999999999998</v>
      </c>
      <c r="J194" s="4">
        <f>CHOOSE( CONTROL!$C$32, 7.1348, 7.1345) * CHOOSE(CONTROL!$C$15, $D$11, 100%, $F$11)</f>
        <v>7.1348000000000003</v>
      </c>
      <c r="K194" s="4"/>
      <c r="L194" s="9">
        <v>31.095300000000002</v>
      </c>
      <c r="M194" s="9">
        <v>12.063700000000001</v>
      </c>
      <c r="N194" s="9">
        <v>4.9444999999999997</v>
      </c>
      <c r="O194" s="9">
        <v>0.37409999999999999</v>
      </c>
      <c r="P194" s="9">
        <v>1.2927</v>
      </c>
      <c r="Q194" s="9">
        <v>31.701799999999999</v>
      </c>
      <c r="R194" s="9"/>
      <c r="S194" s="11"/>
    </row>
    <row r="195" spans="1:19" ht="15.75">
      <c r="A195" s="13">
        <v>47058</v>
      </c>
      <c r="B195" s="8">
        <f>CHOOSE( CONTROL!$C$32, 7.9378, 7.9375) * CHOOSE(CONTROL!$C$15, $D$11, 100%, $F$11)</f>
        <v>7.9378000000000002</v>
      </c>
      <c r="C195" s="8">
        <f>CHOOSE( CONTROL!$C$32, 7.9429, 7.9426) * CHOOSE(CONTROL!$C$15, $D$11, 100%, $F$11)</f>
        <v>7.9428999999999998</v>
      </c>
      <c r="D195" s="8">
        <f>CHOOSE( CONTROL!$C$32, 7.9107, 7.9105) * CHOOSE( CONTROL!$C$15, $D$11, 100%, $F$11)</f>
        <v>7.9107000000000003</v>
      </c>
      <c r="E195" s="12">
        <f>CHOOSE( CONTROL!$C$32, 7.9219, 7.9217) * CHOOSE( CONTROL!$C$15, $D$11, 100%, $F$11)</f>
        <v>7.9218999999999999</v>
      </c>
      <c r="F195" s="4">
        <f>CHOOSE( CONTROL!$C$32, 8.6031, 8.6028) * CHOOSE(CONTROL!$C$15, $D$11, 100%, $F$11)</f>
        <v>8.6030999999999995</v>
      </c>
      <c r="G195" s="8">
        <f>CHOOSE( CONTROL!$C$32, 7.8422, 7.8419) * CHOOSE( CONTROL!$C$15, $D$11, 100%, $F$11)</f>
        <v>7.8422000000000001</v>
      </c>
      <c r="H195" s="4">
        <f>CHOOSE( CONTROL!$C$32, 8.749, 8.7487) * CHOOSE(CONTROL!$C$15, $D$11, 100%, $F$11)</f>
        <v>8.7490000000000006</v>
      </c>
      <c r="I195" s="8">
        <f>CHOOSE( CONTROL!$C$32, 7.8331, 7.8328) * CHOOSE(CONTROL!$C$15, $D$11, 100%, $F$11)</f>
        <v>7.8331</v>
      </c>
      <c r="J195" s="4">
        <f>CHOOSE( CONTROL!$C$32, 7.6949, 7.6946) * CHOOSE(CONTROL!$C$15, $D$11, 100%, $F$11)</f>
        <v>7.6948999999999996</v>
      </c>
      <c r="K195" s="4"/>
      <c r="L195" s="9">
        <v>28.360600000000002</v>
      </c>
      <c r="M195" s="9">
        <v>11.6745</v>
      </c>
      <c r="N195" s="9">
        <v>4.7850000000000001</v>
      </c>
      <c r="O195" s="9">
        <v>0.36199999999999999</v>
      </c>
      <c r="P195" s="9">
        <v>1.2509999999999999</v>
      </c>
      <c r="Q195" s="9">
        <v>30.679200000000002</v>
      </c>
      <c r="R195" s="9"/>
      <c r="S195" s="11"/>
    </row>
    <row r="196" spans="1:19" ht="15.75">
      <c r="A196" s="13">
        <v>47088</v>
      </c>
      <c r="B196" s="8">
        <f>CHOOSE( CONTROL!$C$32, 7.9234, 7.9231) * CHOOSE(CONTROL!$C$15, $D$11, 100%, $F$11)</f>
        <v>7.9234</v>
      </c>
      <c r="C196" s="8">
        <f>CHOOSE( CONTROL!$C$32, 7.9285, 7.9282) * CHOOSE(CONTROL!$C$15, $D$11, 100%, $F$11)</f>
        <v>7.9284999999999997</v>
      </c>
      <c r="D196" s="8">
        <f>CHOOSE( CONTROL!$C$32, 7.8982, 7.8979) * CHOOSE( CONTROL!$C$15, $D$11, 100%, $F$11)</f>
        <v>7.8982000000000001</v>
      </c>
      <c r="E196" s="12">
        <f>CHOOSE( CONTROL!$C$32, 7.9087, 7.9084) * CHOOSE( CONTROL!$C$15, $D$11, 100%, $F$11)</f>
        <v>7.9086999999999996</v>
      </c>
      <c r="F196" s="4">
        <f>CHOOSE( CONTROL!$C$32, 8.5887, 8.5884) * CHOOSE(CONTROL!$C$15, $D$11, 100%, $F$11)</f>
        <v>8.5886999999999993</v>
      </c>
      <c r="G196" s="8">
        <f>CHOOSE( CONTROL!$C$32, 7.8293, 7.829) * CHOOSE( CONTROL!$C$15, $D$11, 100%, $F$11)</f>
        <v>7.8292999999999999</v>
      </c>
      <c r="H196" s="4">
        <f>CHOOSE( CONTROL!$C$32, 8.7347, 8.7345) * CHOOSE(CONTROL!$C$15, $D$11, 100%, $F$11)</f>
        <v>8.7347000000000001</v>
      </c>
      <c r="I196" s="8">
        <f>CHOOSE( CONTROL!$C$32, 7.8248, 7.8245) * CHOOSE(CONTROL!$C$15, $D$11, 100%, $F$11)</f>
        <v>7.8247999999999998</v>
      </c>
      <c r="J196" s="4">
        <f>CHOOSE( CONTROL!$C$32, 7.6809, 7.6806) * CHOOSE(CONTROL!$C$15, $D$11, 100%, $F$11)</f>
        <v>7.6809000000000003</v>
      </c>
      <c r="K196" s="4"/>
      <c r="L196" s="9">
        <v>29.306000000000001</v>
      </c>
      <c r="M196" s="9">
        <v>12.063700000000001</v>
      </c>
      <c r="N196" s="9">
        <v>4.9444999999999997</v>
      </c>
      <c r="O196" s="9">
        <v>0.37409999999999999</v>
      </c>
      <c r="P196" s="9">
        <v>1.2927</v>
      </c>
      <c r="Q196" s="9">
        <v>31.701799999999999</v>
      </c>
      <c r="R196" s="9"/>
      <c r="S196" s="11"/>
    </row>
    <row r="197" spans="1:19" ht="15.75">
      <c r="A197" s="13">
        <v>47119</v>
      </c>
      <c r="B197" s="8">
        <f>CHOOSE( CONTROL!$C$32, 8.2085, 8.2082) * CHOOSE(CONTROL!$C$15, $D$11, 100%, $F$11)</f>
        <v>8.2085000000000008</v>
      </c>
      <c r="C197" s="8">
        <f>CHOOSE( CONTROL!$C$32, 8.2136, 8.2133) * CHOOSE(CONTROL!$C$15, $D$11, 100%, $F$11)</f>
        <v>8.2135999999999996</v>
      </c>
      <c r="D197" s="8">
        <f>CHOOSE( CONTROL!$C$32, 8.2112, 8.2109) * CHOOSE( CONTROL!$C$15, $D$11, 100%, $F$11)</f>
        <v>8.2111999999999998</v>
      </c>
      <c r="E197" s="12">
        <f>CHOOSE( CONTROL!$C$32, 8.2115, 8.2112) * CHOOSE( CONTROL!$C$15, $D$11, 100%, $F$11)</f>
        <v>8.2114999999999991</v>
      </c>
      <c r="F197" s="4">
        <f>CHOOSE( CONTROL!$C$32, 8.8738, 8.8735) * CHOOSE(CONTROL!$C$15, $D$11, 100%, $F$11)</f>
        <v>8.8737999999999992</v>
      </c>
      <c r="G197" s="8">
        <f>CHOOSE( CONTROL!$C$32, 8.1272, 8.1269) * CHOOSE( CONTROL!$C$15, $D$11, 100%, $F$11)</f>
        <v>8.1272000000000002</v>
      </c>
      <c r="H197" s="4">
        <f>CHOOSE( CONTROL!$C$32, 9.0165, 9.0162) * CHOOSE(CONTROL!$C$15, $D$11, 100%, $F$11)</f>
        <v>9.0165000000000006</v>
      </c>
      <c r="I197" s="8">
        <f>CHOOSE( CONTROL!$C$32, 8.0752, 8.0749) * CHOOSE(CONTROL!$C$15, $D$11, 100%, $F$11)</f>
        <v>8.0752000000000006</v>
      </c>
      <c r="J197" s="4">
        <f>CHOOSE( CONTROL!$C$32, 7.9576, 7.9573) * CHOOSE(CONTROL!$C$15, $D$11, 100%, $F$11)</f>
        <v>7.9576000000000002</v>
      </c>
      <c r="K197" s="4"/>
      <c r="L197" s="9">
        <v>29.306000000000001</v>
      </c>
      <c r="M197" s="9">
        <v>12.063700000000001</v>
      </c>
      <c r="N197" s="9">
        <v>4.9444999999999997</v>
      </c>
      <c r="O197" s="9">
        <v>0.37409999999999999</v>
      </c>
      <c r="P197" s="9">
        <v>1.2927</v>
      </c>
      <c r="Q197" s="9">
        <v>31.517700000000001</v>
      </c>
      <c r="R197" s="9"/>
      <c r="S197" s="11"/>
    </row>
    <row r="198" spans="1:19" ht="15.75">
      <c r="A198" s="13">
        <v>47150</v>
      </c>
      <c r="B198" s="8">
        <f>CHOOSE( CONTROL!$C$32, 7.6784, 7.6781) * CHOOSE(CONTROL!$C$15, $D$11, 100%, $F$11)</f>
        <v>7.6783999999999999</v>
      </c>
      <c r="C198" s="8">
        <f>CHOOSE( CONTROL!$C$32, 7.6835, 7.6832) * CHOOSE(CONTROL!$C$15, $D$11, 100%, $F$11)</f>
        <v>7.6835000000000004</v>
      </c>
      <c r="D198" s="8">
        <f>CHOOSE( CONTROL!$C$32, 7.6635, 7.6632) * CHOOSE( CONTROL!$C$15, $D$11, 100%, $F$11)</f>
        <v>7.6635</v>
      </c>
      <c r="E198" s="12">
        <f>CHOOSE( CONTROL!$C$32, 7.6703, 7.67) * CHOOSE( CONTROL!$C$15, $D$11, 100%, $F$11)</f>
        <v>7.6703000000000001</v>
      </c>
      <c r="F198" s="4">
        <f>CHOOSE( CONTROL!$C$32, 8.3437, 8.3434) * CHOOSE(CONTROL!$C$15, $D$11, 100%, $F$11)</f>
        <v>8.3437000000000001</v>
      </c>
      <c r="G198" s="8">
        <f>CHOOSE( CONTROL!$C$32, 7.5922, 7.5919) * CHOOSE( CONTROL!$C$15, $D$11, 100%, $F$11)</f>
        <v>7.5922000000000001</v>
      </c>
      <c r="H198" s="4">
        <f>CHOOSE( CONTROL!$C$32, 8.4926, 8.4924) * CHOOSE(CONTROL!$C$15, $D$11, 100%, $F$11)</f>
        <v>8.4925999999999995</v>
      </c>
      <c r="I198" s="8">
        <f>CHOOSE( CONTROL!$C$32, 7.5609, 7.5606) * CHOOSE(CONTROL!$C$15, $D$11, 100%, $F$11)</f>
        <v>7.5609000000000002</v>
      </c>
      <c r="J198" s="4">
        <f>CHOOSE( CONTROL!$C$32, 7.4432, 7.4429) * CHOOSE(CONTROL!$C$15, $D$11, 100%, $F$11)</f>
        <v>7.4432</v>
      </c>
      <c r="K198" s="4"/>
      <c r="L198" s="9">
        <v>26.469899999999999</v>
      </c>
      <c r="M198" s="9">
        <v>10.8962</v>
      </c>
      <c r="N198" s="9">
        <v>4.4660000000000002</v>
      </c>
      <c r="O198" s="9">
        <v>0.33789999999999998</v>
      </c>
      <c r="P198" s="9">
        <v>1.1676</v>
      </c>
      <c r="Q198" s="9">
        <v>28.467600000000001</v>
      </c>
      <c r="R198" s="9"/>
      <c r="S198" s="11"/>
    </row>
    <row r="199" spans="1:19" ht="15.75">
      <c r="A199" s="13">
        <v>47178</v>
      </c>
      <c r="B199" s="8">
        <f>CHOOSE( CONTROL!$C$32, 7.5152, 7.5149) * CHOOSE(CONTROL!$C$15, $D$11, 100%, $F$11)</f>
        <v>7.5152000000000001</v>
      </c>
      <c r="C199" s="8">
        <f>CHOOSE( CONTROL!$C$32, 7.5202, 7.52) * CHOOSE(CONTROL!$C$15, $D$11, 100%, $F$11)</f>
        <v>7.5202</v>
      </c>
      <c r="D199" s="8">
        <f>CHOOSE( CONTROL!$C$32, 7.4903, 7.49) * CHOOSE( CONTROL!$C$15, $D$11, 100%, $F$11)</f>
        <v>7.4903000000000004</v>
      </c>
      <c r="E199" s="12">
        <f>CHOOSE( CONTROL!$C$32, 7.5007, 7.5004) * CHOOSE( CONTROL!$C$15, $D$11, 100%, $F$11)</f>
        <v>7.5007000000000001</v>
      </c>
      <c r="F199" s="4">
        <f>CHOOSE( CONTROL!$C$32, 8.1804, 8.1802) * CHOOSE(CONTROL!$C$15, $D$11, 100%, $F$11)</f>
        <v>8.1804000000000006</v>
      </c>
      <c r="G199" s="8">
        <f>CHOOSE( CONTROL!$C$32, 7.4176, 7.4173) * CHOOSE( CONTROL!$C$15, $D$11, 100%, $F$11)</f>
        <v>7.4176000000000002</v>
      </c>
      <c r="H199" s="4">
        <f>CHOOSE( CONTROL!$C$32, 8.3313, 8.331) * CHOOSE(CONTROL!$C$15, $D$11, 100%, $F$11)</f>
        <v>8.3313000000000006</v>
      </c>
      <c r="I199" s="8">
        <f>CHOOSE( CONTROL!$C$32, 7.3672, 7.3669) * CHOOSE(CONTROL!$C$15, $D$11, 100%, $F$11)</f>
        <v>7.3672000000000004</v>
      </c>
      <c r="J199" s="4">
        <f>CHOOSE( CONTROL!$C$32, 7.2847, 7.2844) * CHOOSE(CONTROL!$C$15, $D$11, 100%, $F$11)</f>
        <v>7.2847</v>
      </c>
      <c r="K199" s="4"/>
      <c r="L199" s="9">
        <v>29.306000000000001</v>
      </c>
      <c r="M199" s="9">
        <v>12.063700000000001</v>
      </c>
      <c r="N199" s="9">
        <v>4.9444999999999997</v>
      </c>
      <c r="O199" s="9">
        <v>0.37409999999999999</v>
      </c>
      <c r="P199" s="9">
        <v>1.2927</v>
      </c>
      <c r="Q199" s="9">
        <v>31.517700000000001</v>
      </c>
      <c r="R199" s="9"/>
      <c r="S199" s="11"/>
    </row>
    <row r="200" spans="1:19" ht="15.75">
      <c r="A200" s="13">
        <v>47209</v>
      </c>
      <c r="B200" s="8">
        <f>CHOOSE( CONTROL!$C$32, 7.63, 7.6297) * CHOOSE(CONTROL!$C$15, $D$11, 100%, $F$11)</f>
        <v>7.63</v>
      </c>
      <c r="C200" s="8">
        <f>CHOOSE( CONTROL!$C$32, 7.6345, 7.6342) * CHOOSE(CONTROL!$C$15, $D$11, 100%, $F$11)</f>
        <v>7.6345000000000001</v>
      </c>
      <c r="D200" s="8">
        <f>CHOOSE( CONTROL!$C$32, 7.634, 7.6337) * CHOOSE( CONTROL!$C$15, $D$11, 100%, $F$11)</f>
        <v>7.6340000000000003</v>
      </c>
      <c r="E200" s="12">
        <f>CHOOSE( CONTROL!$C$32, 7.6337, 7.6334) * CHOOSE( CONTROL!$C$15, $D$11, 100%, $F$11)</f>
        <v>7.6337000000000002</v>
      </c>
      <c r="F200" s="4">
        <f>CHOOSE( CONTROL!$C$32, 8.3383, 8.338) * CHOOSE(CONTROL!$C$15, $D$11, 100%, $F$11)</f>
        <v>8.3383000000000003</v>
      </c>
      <c r="G200" s="8">
        <f>CHOOSE( CONTROL!$C$32, 7.5474, 7.5471) * CHOOSE( CONTROL!$C$15, $D$11, 100%, $F$11)</f>
        <v>7.5473999999999997</v>
      </c>
      <c r="H200" s="4">
        <f>CHOOSE( CONTROL!$C$32, 8.4873, 8.487) * CHOOSE(CONTROL!$C$15, $D$11, 100%, $F$11)</f>
        <v>8.4872999999999994</v>
      </c>
      <c r="I200" s="8">
        <f>CHOOSE( CONTROL!$C$32, 7.4785, 7.4782) * CHOOSE(CONTROL!$C$15, $D$11, 100%, $F$11)</f>
        <v>7.4785000000000004</v>
      </c>
      <c r="J200" s="4">
        <f>CHOOSE( CONTROL!$C$32, 7.3954, 7.3952) * CHOOSE(CONTROL!$C$15, $D$11, 100%, $F$11)</f>
        <v>7.3954000000000004</v>
      </c>
      <c r="K200" s="4"/>
      <c r="L200" s="9">
        <v>30.092199999999998</v>
      </c>
      <c r="M200" s="9">
        <v>11.6745</v>
      </c>
      <c r="N200" s="9">
        <v>4.7850000000000001</v>
      </c>
      <c r="O200" s="9">
        <v>0.36199999999999999</v>
      </c>
      <c r="P200" s="9">
        <v>1.2509999999999999</v>
      </c>
      <c r="Q200" s="9">
        <v>30.501000000000001</v>
      </c>
      <c r="R200" s="9"/>
      <c r="S200" s="11"/>
    </row>
    <row r="201" spans="1:19" ht="15.75">
      <c r="A201" s="13">
        <v>47239</v>
      </c>
      <c r="B201" s="8">
        <f>CHOOSE( CONTROL!$C$32, 7.8346, 7.8341) * CHOOSE(CONTROL!$C$15, $D$11, 100%, $F$11)</f>
        <v>7.8346</v>
      </c>
      <c r="C201" s="8">
        <f>CHOOSE( CONTROL!$C$32, 7.8426, 7.8421) * CHOOSE(CONTROL!$C$15, $D$11, 100%, $F$11)</f>
        <v>7.8426</v>
      </c>
      <c r="D201" s="8">
        <f>CHOOSE( CONTROL!$C$32, 7.8369, 7.8364) * CHOOSE( CONTROL!$C$15, $D$11, 100%, $F$11)</f>
        <v>7.8369</v>
      </c>
      <c r="E201" s="12">
        <f>CHOOSE( CONTROL!$C$32, 7.8377, 7.8372) * CHOOSE( CONTROL!$C$15, $D$11, 100%, $F$11)</f>
        <v>7.8376999999999999</v>
      </c>
      <c r="F201" s="4">
        <f>CHOOSE( CONTROL!$C$32, 8.5415, 8.5411) * CHOOSE(CONTROL!$C$15, $D$11, 100%, $F$11)</f>
        <v>8.5414999999999992</v>
      </c>
      <c r="G201" s="8">
        <f>CHOOSE( CONTROL!$C$32, 7.7485, 7.7481) * CHOOSE( CONTROL!$C$15, $D$11, 100%, $F$11)</f>
        <v>7.7484999999999999</v>
      </c>
      <c r="H201" s="4">
        <f>CHOOSE( CONTROL!$C$32, 8.6881, 8.6877) * CHOOSE(CONTROL!$C$15, $D$11, 100%, $F$11)</f>
        <v>8.6881000000000004</v>
      </c>
      <c r="I201" s="8">
        <f>CHOOSE( CONTROL!$C$32, 7.6764, 7.6759) * CHOOSE(CONTROL!$C$15, $D$11, 100%, $F$11)</f>
        <v>7.6764000000000001</v>
      </c>
      <c r="J201" s="4">
        <f>CHOOSE( CONTROL!$C$32, 7.5927, 7.5922) * CHOOSE(CONTROL!$C$15, $D$11, 100%, $F$11)</f>
        <v>7.5926999999999998</v>
      </c>
      <c r="K201" s="4"/>
      <c r="L201" s="9">
        <v>30.7165</v>
      </c>
      <c r="M201" s="9">
        <v>12.063700000000001</v>
      </c>
      <c r="N201" s="9">
        <v>4.9444999999999997</v>
      </c>
      <c r="O201" s="9">
        <v>0.37409999999999999</v>
      </c>
      <c r="P201" s="9">
        <v>1.2927</v>
      </c>
      <c r="Q201" s="9">
        <v>31.517700000000001</v>
      </c>
      <c r="R201" s="9"/>
      <c r="S201" s="11"/>
    </row>
    <row r="202" spans="1:19" ht="15.75">
      <c r="A202" s="13">
        <v>47270</v>
      </c>
      <c r="B202" s="8">
        <f>CHOOSE( CONTROL!$C$32, 7.7088, 7.7084) * CHOOSE(CONTROL!$C$15, $D$11, 100%, $F$11)</f>
        <v>7.7088000000000001</v>
      </c>
      <c r="C202" s="8">
        <f>CHOOSE( CONTROL!$C$32, 7.7168, 7.7163) * CHOOSE(CONTROL!$C$15, $D$11, 100%, $F$11)</f>
        <v>7.7168000000000001</v>
      </c>
      <c r="D202" s="8">
        <f>CHOOSE( CONTROL!$C$32, 7.7115, 7.711) * CHOOSE( CONTROL!$C$15, $D$11, 100%, $F$11)</f>
        <v>7.7115</v>
      </c>
      <c r="E202" s="12">
        <f>CHOOSE( CONTROL!$C$32, 7.7122, 7.7117) * CHOOSE( CONTROL!$C$15, $D$11, 100%, $F$11)</f>
        <v>7.7122000000000002</v>
      </c>
      <c r="F202" s="4">
        <f>CHOOSE( CONTROL!$C$32, 8.4158, 8.4153) * CHOOSE(CONTROL!$C$15, $D$11, 100%, $F$11)</f>
        <v>8.4158000000000008</v>
      </c>
      <c r="G202" s="8">
        <f>CHOOSE( CONTROL!$C$32, 7.6246, 7.6241) * CHOOSE( CONTROL!$C$15, $D$11, 100%, $F$11)</f>
        <v>7.6246</v>
      </c>
      <c r="H202" s="4">
        <f>CHOOSE( CONTROL!$C$32, 8.5638, 8.5634) * CHOOSE(CONTROL!$C$15, $D$11, 100%, $F$11)</f>
        <v>8.5638000000000005</v>
      </c>
      <c r="I202" s="8">
        <f>CHOOSE( CONTROL!$C$32, 7.5557, 7.5552) * CHOOSE(CONTROL!$C$15, $D$11, 100%, $F$11)</f>
        <v>7.5556999999999999</v>
      </c>
      <c r="J202" s="4">
        <f>CHOOSE( CONTROL!$C$32, 7.4706, 7.4701) * CHOOSE(CONTROL!$C$15, $D$11, 100%, $F$11)</f>
        <v>7.4706000000000001</v>
      </c>
      <c r="K202" s="4"/>
      <c r="L202" s="9">
        <v>29.7257</v>
      </c>
      <c r="M202" s="9">
        <v>11.6745</v>
      </c>
      <c r="N202" s="9">
        <v>4.7850000000000001</v>
      </c>
      <c r="O202" s="9">
        <v>0.36199999999999999</v>
      </c>
      <c r="P202" s="9">
        <v>1.2509999999999999</v>
      </c>
      <c r="Q202" s="9">
        <v>30.501000000000001</v>
      </c>
      <c r="R202" s="9"/>
      <c r="S202" s="11"/>
    </row>
    <row r="203" spans="1:19" ht="15.75">
      <c r="A203" s="13">
        <v>47300</v>
      </c>
      <c r="B203" s="8">
        <f>CHOOSE( CONTROL!$C$32, 8.04, 8.0396) * CHOOSE(CONTROL!$C$15, $D$11, 100%, $F$11)</f>
        <v>8.0399999999999991</v>
      </c>
      <c r="C203" s="8">
        <f>CHOOSE( CONTROL!$C$32, 8.048, 8.0475) * CHOOSE(CONTROL!$C$15, $D$11, 100%, $F$11)</f>
        <v>8.048</v>
      </c>
      <c r="D203" s="8">
        <f>CHOOSE( CONTROL!$C$32, 8.0432, 8.0427) * CHOOSE( CONTROL!$C$15, $D$11, 100%, $F$11)</f>
        <v>8.0432000000000006</v>
      </c>
      <c r="E203" s="12">
        <f>CHOOSE( CONTROL!$C$32, 8.0437, 8.0432) * CHOOSE( CONTROL!$C$15, $D$11, 100%, $F$11)</f>
        <v>8.0436999999999994</v>
      </c>
      <c r="F203" s="4">
        <f>CHOOSE( CONTROL!$C$32, 8.747, 8.7465) * CHOOSE(CONTROL!$C$15, $D$11, 100%, $F$11)</f>
        <v>8.7469999999999999</v>
      </c>
      <c r="G203" s="8">
        <f>CHOOSE( CONTROL!$C$32, 7.9523, 7.9518) * CHOOSE( CONTROL!$C$15, $D$11, 100%, $F$11)</f>
        <v>7.9523000000000001</v>
      </c>
      <c r="H203" s="4">
        <f>CHOOSE( CONTROL!$C$32, 8.8912, 8.8907) * CHOOSE(CONTROL!$C$15, $D$11, 100%, $F$11)</f>
        <v>8.8911999999999995</v>
      </c>
      <c r="I203" s="8">
        <f>CHOOSE( CONTROL!$C$32, 7.8788, 7.8784) * CHOOSE(CONTROL!$C$15, $D$11, 100%, $F$11)</f>
        <v>7.8788</v>
      </c>
      <c r="J203" s="4">
        <f>CHOOSE( CONTROL!$C$32, 7.792, 7.7916) * CHOOSE(CONTROL!$C$15, $D$11, 100%, $F$11)</f>
        <v>7.7919999999999998</v>
      </c>
      <c r="K203" s="4"/>
      <c r="L203" s="9">
        <v>30.7165</v>
      </c>
      <c r="M203" s="9">
        <v>12.063700000000001</v>
      </c>
      <c r="N203" s="9">
        <v>4.9444999999999997</v>
      </c>
      <c r="O203" s="9">
        <v>0.37409999999999999</v>
      </c>
      <c r="P203" s="9">
        <v>1.2927</v>
      </c>
      <c r="Q203" s="9">
        <v>31.517700000000001</v>
      </c>
      <c r="R203" s="9"/>
      <c r="S203" s="11"/>
    </row>
    <row r="204" spans="1:19" ht="15.75">
      <c r="A204" s="13">
        <v>47331</v>
      </c>
      <c r="B204" s="8">
        <f>CHOOSE( CONTROL!$C$32, 7.4203, 7.4198) * CHOOSE(CONTROL!$C$15, $D$11, 100%, $F$11)</f>
        <v>7.4203000000000001</v>
      </c>
      <c r="C204" s="8">
        <f>CHOOSE( CONTROL!$C$32, 7.4283, 7.4278) * CHOOSE(CONTROL!$C$15, $D$11, 100%, $F$11)</f>
        <v>7.4283000000000001</v>
      </c>
      <c r="D204" s="8">
        <f>CHOOSE( CONTROL!$C$32, 7.4236, 7.4231) * CHOOSE( CONTROL!$C$15, $D$11, 100%, $F$11)</f>
        <v>7.4236000000000004</v>
      </c>
      <c r="E204" s="12">
        <f>CHOOSE( CONTROL!$C$32, 7.4241, 7.4236) * CHOOSE( CONTROL!$C$15, $D$11, 100%, $F$11)</f>
        <v>7.4241000000000001</v>
      </c>
      <c r="F204" s="4">
        <f>CHOOSE( CONTROL!$C$32, 8.1272, 8.1268) * CHOOSE(CONTROL!$C$15, $D$11, 100%, $F$11)</f>
        <v>8.1272000000000002</v>
      </c>
      <c r="G204" s="8">
        <f>CHOOSE( CONTROL!$C$32, 7.3399, 7.3394) * CHOOSE( CONTROL!$C$15, $D$11, 100%, $F$11)</f>
        <v>7.3399000000000001</v>
      </c>
      <c r="H204" s="4">
        <f>CHOOSE( CONTROL!$C$32, 8.2787, 8.2783) * CHOOSE(CONTROL!$C$15, $D$11, 100%, $F$11)</f>
        <v>8.2787000000000006</v>
      </c>
      <c r="I204" s="8">
        <f>CHOOSE( CONTROL!$C$32, 7.2775, 7.2771) * CHOOSE(CONTROL!$C$15, $D$11, 100%, $F$11)</f>
        <v>7.2774999999999999</v>
      </c>
      <c r="J204" s="4">
        <f>CHOOSE( CONTROL!$C$32, 7.1906, 7.1901) * CHOOSE(CONTROL!$C$15, $D$11, 100%, $F$11)</f>
        <v>7.1905999999999999</v>
      </c>
      <c r="K204" s="4"/>
      <c r="L204" s="9">
        <v>30.7165</v>
      </c>
      <c r="M204" s="9">
        <v>12.063700000000001</v>
      </c>
      <c r="N204" s="9">
        <v>4.9444999999999997</v>
      </c>
      <c r="O204" s="9">
        <v>0.37409999999999999</v>
      </c>
      <c r="P204" s="9">
        <v>1.2927</v>
      </c>
      <c r="Q204" s="9">
        <v>31.517700000000001</v>
      </c>
      <c r="R204" s="9"/>
      <c r="S204" s="11"/>
    </row>
    <row r="205" spans="1:19" ht="15.75">
      <c r="A205" s="13">
        <v>47362</v>
      </c>
      <c r="B205" s="8">
        <f>CHOOSE( CONTROL!$C$32, 7.2651, 7.2647) * CHOOSE(CONTROL!$C$15, $D$11, 100%, $F$11)</f>
        <v>7.2651000000000003</v>
      </c>
      <c r="C205" s="8">
        <f>CHOOSE( CONTROL!$C$32, 7.2731, 7.2726) * CHOOSE(CONTROL!$C$15, $D$11, 100%, $F$11)</f>
        <v>7.2731000000000003</v>
      </c>
      <c r="D205" s="8">
        <f>CHOOSE( CONTROL!$C$32, 7.2682, 7.2678) * CHOOSE( CONTROL!$C$15, $D$11, 100%, $F$11)</f>
        <v>7.2682000000000002</v>
      </c>
      <c r="E205" s="12">
        <f>CHOOSE( CONTROL!$C$32, 7.2688, 7.2683) * CHOOSE( CONTROL!$C$15, $D$11, 100%, $F$11)</f>
        <v>7.2687999999999997</v>
      </c>
      <c r="F205" s="4">
        <f>CHOOSE( CONTROL!$C$32, 7.972, 7.9716) * CHOOSE(CONTROL!$C$15, $D$11, 100%, $F$11)</f>
        <v>7.9720000000000004</v>
      </c>
      <c r="G205" s="8">
        <f>CHOOSE( CONTROL!$C$32, 7.1864, 7.1859) * CHOOSE( CONTROL!$C$15, $D$11, 100%, $F$11)</f>
        <v>7.1863999999999999</v>
      </c>
      <c r="H205" s="4">
        <f>CHOOSE( CONTROL!$C$32, 8.1253, 8.1249) * CHOOSE(CONTROL!$C$15, $D$11, 100%, $F$11)</f>
        <v>8.1252999999999993</v>
      </c>
      <c r="I205" s="8">
        <f>CHOOSE( CONTROL!$C$32, 7.1263, 7.1259) * CHOOSE(CONTROL!$C$15, $D$11, 100%, $F$11)</f>
        <v>7.1262999999999996</v>
      </c>
      <c r="J205" s="4">
        <f>CHOOSE( CONTROL!$C$32, 7.04, 7.0395) * CHOOSE(CONTROL!$C$15, $D$11, 100%, $F$11)</f>
        <v>7.04</v>
      </c>
      <c r="K205" s="4"/>
      <c r="L205" s="9">
        <v>29.7257</v>
      </c>
      <c r="M205" s="9">
        <v>11.6745</v>
      </c>
      <c r="N205" s="9">
        <v>4.7850000000000001</v>
      </c>
      <c r="O205" s="9">
        <v>0.36199999999999999</v>
      </c>
      <c r="P205" s="9">
        <v>1.2509999999999999</v>
      </c>
      <c r="Q205" s="9">
        <v>30.501000000000001</v>
      </c>
      <c r="R205" s="9"/>
      <c r="S205" s="11"/>
    </row>
    <row r="206" spans="1:19" ht="15.75">
      <c r="A206" s="13">
        <v>47392</v>
      </c>
      <c r="B206" s="8">
        <f>CHOOSE( CONTROL!$C$32, 7.5854, 7.5852) * CHOOSE(CONTROL!$C$15, $D$11, 100%, $F$11)</f>
        <v>7.5853999999999999</v>
      </c>
      <c r="C206" s="8">
        <f>CHOOSE( CONTROL!$C$32, 7.5908, 7.5905) * CHOOSE(CONTROL!$C$15, $D$11, 100%, $F$11)</f>
        <v>7.5907999999999998</v>
      </c>
      <c r="D206" s="8">
        <f>CHOOSE( CONTROL!$C$32, 7.591, 7.5907) * CHOOSE( CONTROL!$C$15, $D$11, 100%, $F$11)</f>
        <v>7.5910000000000002</v>
      </c>
      <c r="E206" s="12">
        <f>CHOOSE( CONTROL!$C$32, 7.5904, 7.5901) * CHOOSE( CONTROL!$C$15, $D$11, 100%, $F$11)</f>
        <v>7.5903999999999998</v>
      </c>
      <c r="F206" s="4">
        <f>CHOOSE( CONTROL!$C$32, 8.2941, 8.2938) * CHOOSE(CONTROL!$C$15, $D$11, 100%, $F$11)</f>
        <v>8.2941000000000003</v>
      </c>
      <c r="G206" s="8">
        <f>CHOOSE( CONTROL!$C$32, 7.5046, 7.5043) * CHOOSE( CONTROL!$C$15, $D$11, 100%, $F$11)</f>
        <v>7.5045999999999999</v>
      </c>
      <c r="H206" s="4">
        <f>CHOOSE( CONTROL!$C$32, 8.4436, 8.4433) * CHOOSE(CONTROL!$C$15, $D$11, 100%, $F$11)</f>
        <v>8.4436</v>
      </c>
      <c r="I206" s="8">
        <f>CHOOSE( CONTROL!$C$32, 7.4397, 7.4395) * CHOOSE(CONTROL!$C$15, $D$11, 100%, $F$11)</f>
        <v>7.4397000000000002</v>
      </c>
      <c r="J206" s="4">
        <f>CHOOSE( CONTROL!$C$32, 7.3525, 7.3522) * CHOOSE(CONTROL!$C$15, $D$11, 100%, $F$11)</f>
        <v>7.3525</v>
      </c>
      <c r="K206" s="4"/>
      <c r="L206" s="9">
        <v>31.095300000000002</v>
      </c>
      <c r="M206" s="9">
        <v>12.063700000000001</v>
      </c>
      <c r="N206" s="9">
        <v>4.9444999999999997</v>
      </c>
      <c r="O206" s="9">
        <v>0.37409999999999999</v>
      </c>
      <c r="P206" s="9">
        <v>1.2927</v>
      </c>
      <c r="Q206" s="9">
        <v>31.517700000000001</v>
      </c>
      <c r="R206" s="9"/>
      <c r="S206" s="11"/>
    </row>
    <row r="207" spans="1:19" ht="15.75">
      <c r="A207" s="13">
        <v>47423</v>
      </c>
      <c r="B207" s="8">
        <f>CHOOSE( CONTROL!$C$32, 8.1798, 8.1795) * CHOOSE(CONTROL!$C$15, $D$11, 100%, $F$11)</f>
        <v>8.1798000000000002</v>
      </c>
      <c r="C207" s="8">
        <f>CHOOSE( CONTROL!$C$32, 8.1849, 8.1846) * CHOOSE(CONTROL!$C$15, $D$11, 100%, $F$11)</f>
        <v>8.1849000000000007</v>
      </c>
      <c r="D207" s="8">
        <f>CHOOSE( CONTROL!$C$32, 8.1527, 8.1525) * CHOOSE( CONTROL!$C$15, $D$11, 100%, $F$11)</f>
        <v>8.1526999999999994</v>
      </c>
      <c r="E207" s="12">
        <f>CHOOSE( CONTROL!$C$32, 8.1639, 8.1637) * CHOOSE( CONTROL!$C$15, $D$11, 100%, $F$11)</f>
        <v>8.1638999999999999</v>
      </c>
      <c r="F207" s="4">
        <f>CHOOSE( CONTROL!$C$32, 8.8451, 8.8448) * CHOOSE(CONTROL!$C$15, $D$11, 100%, $F$11)</f>
        <v>8.8451000000000004</v>
      </c>
      <c r="G207" s="8">
        <f>CHOOSE( CONTROL!$C$32, 8.0814, 8.0811) * CHOOSE( CONTROL!$C$15, $D$11, 100%, $F$11)</f>
        <v>8.0814000000000004</v>
      </c>
      <c r="H207" s="4">
        <f>CHOOSE( CONTROL!$C$32, 8.9881, 8.9879) * CHOOSE(CONTROL!$C$15, $D$11, 100%, $F$11)</f>
        <v>8.9880999999999993</v>
      </c>
      <c r="I207" s="8">
        <f>CHOOSE( CONTROL!$C$32, 8.0681, 8.0678) * CHOOSE(CONTROL!$C$15, $D$11, 100%, $F$11)</f>
        <v>8.0680999999999994</v>
      </c>
      <c r="J207" s="4">
        <f>CHOOSE( CONTROL!$C$32, 7.9297, 7.9295) * CHOOSE(CONTROL!$C$15, $D$11, 100%, $F$11)</f>
        <v>7.9297000000000004</v>
      </c>
      <c r="K207" s="4"/>
      <c r="L207" s="9">
        <v>28.360600000000002</v>
      </c>
      <c r="M207" s="9">
        <v>11.6745</v>
      </c>
      <c r="N207" s="9">
        <v>4.7850000000000001</v>
      </c>
      <c r="O207" s="9">
        <v>0.36199999999999999</v>
      </c>
      <c r="P207" s="9">
        <v>1.2509999999999999</v>
      </c>
      <c r="Q207" s="9">
        <v>30.501000000000001</v>
      </c>
      <c r="R207" s="9"/>
      <c r="S207" s="11"/>
    </row>
    <row r="208" spans="1:19" ht="15.75">
      <c r="A208" s="13">
        <v>47453</v>
      </c>
      <c r="B208" s="8">
        <f>CHOOSE( CONTROL!$C$32, 8.1649, 8.1646) * CHOOSE(CONTROL!$C$15, $D$11, 100%, $F$11)</f>
        <v>8.1648999999999994</v>
      </c>
      <c r="C208" s="8">
        <f>CHOOSE( CONTROL!$C$32, 8.17, 8.1697) * CHOOSE(CONTROL!$C$15, $D$11, 100%, $F$11)</f>
        <v>8.17</v>
      </c>
      <c r="D208" s="8">
        <f>CHOOSE( CONTROL!$C$32, 8.1397, 8.1394) * CHOOSE( CONTROL!$C$15, $D$11, 100%, $F$11)</f>
        <v>8.1396999999999995</v>
      </c>
      <c r="E208" s="12">
        <f>CHOOSE( CONTROL!$C$32, 8.1502, 8.1499) * CHOOSE( CONTROL!$C$15, $D$11, 100%, $F$11)</f>
        <v>8.1501999999999999</v>
      </c>
      <c r="F208" s="4">
        <f>CHOOSE( CONTROL!$C$32, 8.8302, 8.8299) * CHOOSE(CONTROL!$C$15, $D$11, 100%, $F$11)</f>
        <v>8.8301999999999996</v>
      </c>
      <c r="G208" s="8">
        <f>CHOOSE( CONTROL!$C$32, 8.068, 8.0677) * CHOOSE( CONTROL!$C$15, $D$11, 100%, $F$11)</f>
        <v>8.0679999999999996</v>
      </c>
      <c r="H208" s="4">
        <f>CHOOSE( CONTROL!$C$32, 8.9734, 8.9732) * CHOOSE(CONTROL!$C$15, $D$11, 100%, $F$11)</f>
        <v>8.9733999999999998</v>
      </c>
      <c r="I208" s="8">
        <f>CHOOSE( CONTROL!$C$32, 8.0593, 8.0591) * CHOOSE(CONTROL!$C$15, $D$11, 100%, $F$11)</f>
        <v>8.0593000000000004</v>
      </c>
      <c r="J208" s="4">
        <f>CHOOSE( CONTROL!$C$32, 7.9153, 7.915) * CHOOSE(CONTROL!$C$15, $D$11, 100%, $F$11)</f>
        <v>7.9153000000000002</v>
      </c>
      <c r="K208" s="4"/>
      <c r="L208" s="9">
        <v>29.306000000000001</v>
      </c>
      <c r="M208" s="9">
        <v>12.063700000000001</v>
      </c>
      <c r="N208" s="9">
        <v>4.9444999999999997</v>
      </c>
      <c r="O208" s="9">
        <v>0.37409999999999999</v>
      </c>
      <c r="P208" s="9">
        <v>1.2927</v>
      </c>
      <c r="Q208" s="9">
        <v>31.517700000000001</v>
      </c>
      <c r="R208" s="9"/>
      <c r="S208" s="11"/>
    </row>
    <row r="209" spans="1:19" ht="15.75">
      <c r="A209" s="13">
        <v>47484</v>
      </c>
      <c r="B209" s="8">
        <f>CHOOSE( CONTROL!$C$32, 8.4568, 8.4565) * CHOOSE(CONTROL!$C$15, $D$11, 100%, $F$11)</f>
        <v>8.4567999999999994</v>
      </c>
      <c r="C209" s="8">
        <f>CHOOSE( CONTROL!$C$32, 8.4619, 8.4616) * CHOOSE(CONTROL!$C$15, $D$11, 100%, $F$11)</f>
        <v>8.4619</v>
      </c>
      <c r="D209" s="8">
        <f>CHOOSE( CONTROL!$C$32, 8.4595, 8.4592) * CHOOSE( CONTROL!$C$15, $D$11, 100%, $F$11)</f>
        <v>8.4595000000000002</v>
      </c>
      <c r="E209" s="12">
        <f>CHOOSE( CONTROL!$C$32, 8.4598, 8.4595) * CHOOSE( CONTROL!$C$15, $D$11, 100%, $F$11)</f>
        <v>8.4597999999999995</v>
      </c>
      <c r="F209" s="4">
        <f>CHOOSE( CONTROL!$C$32, 9.1221, 9.1218) * CHOOSE(CONTROL!$C$15, $D$11, 100%, $F$11)</f>
        <v>9.1220999999999997</v>
      </c>
      <c r="G209" s="8">
        <f>CHOOSE( CONTROL!$C$32, 8.3726, 8.3723) * CHOOSE( CONTROL!$C$15, $D$11, 100%, $F$11)</f>
        <v>8.3726000000000003</v>
      </c>
      <c r="H209" s="4">
        <f>CHOOSE( CONTROL!$C$32, 9.2619, 9.2616) * CHOOSE(CONTROL!$C$15, $D$11, 100%, $F$11)</f>
        <v>9.2619000000000007</v>
      </c>
      <c r="I209" s="8">
        <f>CHOOSE( CONTROL!$C$32, 8.3163, 8.316) * CHOOSE(CONTROL!$C$15, $D$11, 100%, $F$11)</f>
        <v>8.3163</v>
      </c>
      <c r="J209" s="4">
        <f>CHOOSE( CONTROL!$C$32, 8.1986, 8.1983) * CHOOSE(CONTROL!$C$15, $D$11, 100%, $F$11)</f>
        <v>8.1986000000000008</v>
      </c>
      <c r="K209" s="4"/>
      <c r="L209" s="9">
        <v>29.306000000000001</v>
      </c>
      <c r="M209" s="9">
        <v>12.063700000000001</v>
      </c>
      <c r="N209" s="9">
        <v>4.9444999999999997</v>
      </c>
      <c r="O209" s="9">
        <v>0.37409999999999999</v>
      </c>
      <c r="P209" s="9">
        <v>1.2927</v>
      </c>
      <c r="Q209" s="9">
        <v>31.333600000000001</v>
      </c>
      <c r="R209" s="9"/>
      <c r="S209" s="11"/>
    </row>
    <row r="210" spans="1:19" ht="15.75">
      <c r="A210" s="13">
        <v>47515</v>
      </c>
      <c r="B210" s="8">
        <f>CHOOSE( CONTROL!$C$32, 7.9107, 7.9104) * CHOOSE(CONTROL!$C$15, $D$11, 100%, $F$11)</f>
        <v>7.9107000000000003</v>
      </c>
      <c r="C210" s="8">
        <f>CHOOSE( CONTROL!$C$32, 7.9158, 7.9155) * CHOOSE(CONTROL!$C$15, $D$11, 100%, $F$11)</f>
        <v>7.9157999999999999</v>
      </c>
      <c r="D210" s="8">
        <f>CHOOSE( CONTROL!$C$32, 7.8957, 7.8955) * CHOOSE( CONTROL!$C$15, $D$11, 100%, $F$11)</f>
        <v>7.8956999999999997</v>
      </c>
      <c r="E210" s="12">
        <f>CHOOSE( CONTROL!$C$32, 7.9025, 7.9023) * CHOOSE( CONTROL!$C$15, $D$11, 100%, $F$11)</f>
        <v>7.9024999999999999</v>
      </c>
      <c r="F210" s="4">
        <f>CHOOSE( CONTROL!$C$32, 8.576, 8.5757) * CHOOSE(CONTROL!$C$15, $D$11, 100%, $F$11)</f>
        <v>8.5760000000000005</v>
      </c>
      <c r="G210" s="8">
        <f>CHOOSE( CONTROL!$C$32, 7.8217, 7.8215) * CHOOSE( CONTROL!$C$15, $D$11, 100%, $F$11)</f>
        <v>7.8216999999999999</v>
      </c>
      <c r="H210" s="4">
        <f>CHOOSE( CONTROL!$C$32, 8.7222, 8.7219) * CHOOSE(CONTROL!$C$15, $D$11, 100%, $F$11)</f>
        <v>8.7222000000000008</v>
      </c>
      <c r="I210" s="8">
        <f>CHOOSE( CONTROL!$C$32, 7.7864, 7.7862) * CHOOSE(CONTROL!$C$15, $D$11, 100%, $F$11)</f>
        <v>7.7864000000000004</v>
      </c>
      <c r="J210" s="4">
        <f>CHOOSE( CONTROL!$C$32, 7.6686, 7.6683) * CHOOSE(CONTROL!$C$15, $D$11, 100%, $F$11)</f>
        <v>7.6685999999999996</v>
      </c>
      <c r="K210" s="4"/>
      <c r="L210" s="9">
        <v>26.469899999999999</v>
      </c>
      <c r="M210" s="9">
        <v>10.8962</v>
      </c>
      <c r="N210" s="9">
        <v>4.4660000000000002</v>
      </c>
      <c r="O210" s="9">
        <v>0.33789999999999998</v>
      </c>
      <c r="P210" s="9">
        <v>1.1676</v>
      </c>
      <c r="Q210" s="9">
        <v>28.301300000000001</v>
      </c>
      <c r="R210" s="9"/>
      <c r="S210" s="11"/>
    </row>
    <row r="211" spans="1:19" ht="15.75">
      <c r="A211" s="13">
        <v>47543</v>
      </c>
      <c r="B211" s="8">
        <f>CHOOSE( CONTROL!$C$32, 7.7425, 7.7422) * CHOOSE(CONTROL!$C$15, $D$11, 100%, $F$11)</f>
        <v>7.7424999999999997</v>
      </c>
      <c r="C211" s="8">
        <f>CHOOSE( CONTROL!$C$32, 7.7476, 7.7473) * CHOOSE(CONTROL!$C$15, $D$11, 100%, $F$11)</f>
        <v>7.7476000000000003</v>
      </c>
      <c r="D211" s="8">
        <f>CHOOSE( CONTROL!$C$32, 7.7176, 7.7173) * CHOOSE( CONTROL!$C$15, $D$11, 100%, $F$11)</f>
        <v>7.7176</v>
      </c>
      <c r="E211" s="12">
        <f>CHOOSE( CONTROL!$C$32, 7.728, 7.7277) * CHOOSE( CONTROL!$C$15, $D$11, 100%, $F$11)</f>
        <v>7.7279999999999998</v>
      </c>
      <c r="F211" s="4">
        <f>CHOOSE( CONTROL!$C$32, 8.4078, 8.4075) * CHOOSE(CONTROL!$C$15, $D$11, 100%, $F$11)</f>
        <v>8.4077999999999999</v>
      </c>
      <c r="G211" s="8">
        <f>CHOOSE( CONTROL!$C$32, 7.6423, 7.642) * CHOOSE( CONTROL!$C$15, $D$11, 100%, $F$11)</f>
        <v>7.6422999999999996</v>
      </c>
      <c r="H211" s="4">
        <f>CHOOSE( CONTROL!$C$32, 8.5559, 8.5557) * CHOOSE(CONTROL!$C$15, $D$11, 100%, $F$11)</f>
        <v>8.5558999999999994</v>
      </c>
      <c r="I211" s="8">
        <f>CHOOSE( CONTROL!$C$32, 7.5879, 7.5876) * CHOOSE(CONTROL!$C$15, $D$11, 100%, $F$11)</f>
        <v>7.5879000000000003</v>
      </c>
      <c r="J211" s="4">
        <f>CHOOSE( CONTROL!$C$32, 7.5053, 7.5051) * CHOOSE(CONTROL!$C$15, $D$11, 100%, $F$11)</f>
        <v>7.5053000000000001</v>
      </c>
      <c r="K211" s="4"/>
      <c r="L211" s="9">
        <v>29.306000000000001</v>
      </c>
      <c r="M211" s="9">
        <v>12.063700000000001</v>
      </c>
      <c r="N211" s="9">
        <v>4.9444999999999997</v>
      </c>
      <c r="O211" s="9">
        <v>0.37409999999999999</v>
      </c>
      <c r="P211" s="9">
        <v>1.2927</v>
      </c>
      <c r="Q211" s="9">
        <v>31.333600000000001</v>
      </c>
      <c r="R211" s="9"/>
      <c r="S211" s="11"/>
    </row>
    <row r="212" spans="1:19" ht="15.75">
      <c r="A212" s="13">
        <v>47574</v>
      </c>
      <c r="B212" s="8">
        <f>CHOOSE( CONTROL!$C$32, 7.8608, 7.8605) * CHOOSE(CONTROL!$C$15, $D$11, 100%, $F$11)</f>
        <v>7.8608000000000002</v>
      </c>
      <c r="C212" s="8">
        <f>CHOOSE( CONTROL!$C$32, 7.8653, 7.865) * CHOOSE(CONTROL!$C$15, $D$11, 100%, $F$11)</f>
        <v>7.8653000000000004</v>
      </c>
      <c r="D212" s="8">
        <f>CHOOSE( CONTROL!$C$32, 7.8648, 7.8645) * CHOOSE( CONTROL!$C$15, $D$11, 100%, $F$11)</f>
        <v>7.8647999999999998</v>
      </c>
      <c r="E212" s="12">
        <f>CHOOSE( CONTROL!$C$32, 7.8645, 7.8642) * CHOOSE( CONTROL!$C$15, $D$11, 100%, $F$11)</f>
        <v>7.8644999999999996</v>
      </c>
      <c r="F212" s="4">
        <f>CHOOSE( CONTROL!$C$32, 8.5691, 8.5688) * CHOOSE(CONTROL!$C$15, $D$11, 100%, $F$11)</f>
        <v>8.5691000000000006</v>
      </c>
      <c r="G212" s="8">
        <f>CHOOSE( CONTROL!$C$32, 7.7754, 7.7752) * CHOOSE( CONTROL!$C$15, $D$11, 100%, $F$11)</f>
        <v>7.7754000000000003</v>
      </c>
      <c r="H212" s="4">
        <f>CHOOSE( CONTROL!$C$32, 8.7154, 8.7151) * CHOOSE(CONTROL!$C$15, $D$11, 100%, $F$11)</f>
        <v>8.7154000000000007</v>
      </c>
      <c r="I212" s="8">
        <f>CHOOSE( CONTROL!$C$32, 7.7026, 7.7023) * CHOOSE(CONTROL!$C$15, $D$11, 100%, $F$11)</f>
        <v>7.7026000000000003</v>
      </c>
      <c r="J212" s="4">
        <f>CHOOSE( CONTROL!$C$32, 7.6194, 7.6191) * CHOOSE(CONTROL!$C$15, $D$11, 100%, $F$11)</f>
        <v>7.6193999999999997</v>
      </c>
      <c r="K212" s="4"/>
      <c r="L212" s="9">
        <v>30.092199999999998</v>
      </c>
      <c r="M212" s="9">
        <v>11.6745</v>
      </c>
      <c r="N212" s="9">
        <v>4.7850000000000001</v>
      </c>
      <c r="O212" s="9">
        <v>0.36199999999999999</v>
      </c>
      <c r="P212" s="9">
        <v>1.2509999999999999</v>
      </c>
      <c r="Q212" s="9">
        <v>30.322800000000001</v>
      </c>
      <c r="R212" s="9"/>
      <c r="S212" s="11"/>
    </row>
    <row r="213" spans="1:19" ht="15.75">
      <c r="A213" s="13">
        <v>47604</v>
      </c>
      <c r="B213" s="8">
        <f>CHOOSE( CONTROL!$C$32, 8.0715, 8.0711) * CHOOSE(CONTROL!$C$15, $D$11, 100%, $F$11)</f>
        <v>8.0715000000000003</v>
      </c>
      <c r="C213" s="8">
        <f>CHOOSE( CONTROL!$C$32, 8.0795, 8.079) * CHOOSE(CONTROL!$C$15, $D$11, 100%, $F$11)</f>
        <v>8.0794999999999995</v>
      </c>
      <c r="D213" s="8">
        <f>CHOOSE( CONTROL!$C$32, 8.0738, 8.0733) * CHOOSE( CONTROL!$C$15, $D$11, 100%, $F$11)</f>
        <v>8.0738000000000003</v>
      </c>
      <c r="E213" s="12">
        <f>CHOOSE( CONTROL!$C$32, 8.0746, 8.0742) * CHOOSE( CONTROL!$C$15, $D$11, 100%, $F$11)</f>
        <v>8.0746000000000002</v>
      </c>
      <c r="F213" s="4">
        <f>CHOOSE( CONTROL!$C$32, 8.7785, 8.778) * CHOOSE(CONTROL!$C$15, $D$11, 100%, $F$11)</f>
        <v>8.7784999999999993</v>
      </c>
      <c r="G213" s="8">
        <f>CHOOSE( CONTROL!$C$32, 7.9827, 7.9822) * CHOOSE( CONTROL!$C$15, $D$11, 100%, $F$11)</f>
        <v>7.9827000000000004</v>
      </c>
      <c r="H213" s="4">
        <f>CHOOSE( CONTROL!$C$32, 8.9223, 8.9219) * CHOOSE(CONTROL!$C$15, $D$11, 100%, $F$11)</f>
        <v>8.9222999999999999</v>
      </c>
      <c r="I213" s="8">
        <f>CHOOSE( CONTROL!$C$32, 7.9064, 7.906) * CHOOSE(CONTROL!$C$15, $D$11, 100%, $F$11)</f>
        <v>7.9063999999999997</v>
      </c>
      <c r="J213" s="4">
        <f>CHOOSE( CONTROL!$C$32, 7.8226, 7.8221) * CHOOSE(CONTROL!$C$15, $D$11, 100%, $F$11)</f>
        <v>7.8226000000000004</v>
      </c>
      <c r="K213" s="4"/>
      <c r="L213" s="9">
        <v>30.7165</v>
      </c>
      <c r="M213" s="9">
        <v>12.063700000000001</v>
      </c>
      <c r="N213" s="9">
        <v>4.9444999999999997</v>
      </c>
      <c r="O213" s="9">
        <v>0.37409999999999999</v>
      </c>
      <c r="P213" s="9">
        <v>1.2927</v>
      </c>
      <c r="Q213" s="9">
        <v>31.333600000000001</v>
      </c>
      <c r="R213" s="9"/>
      <c r="S213" s="11"/>
    </row>
    <row r="214" spans="1:19" ht="15.75">
      <c r="A214" s="13">
        <v>47635</v>
      </c>
      <c r="B214" s="8">
        <f>CHOOSE( CONTROL!$C$32, 7.9419, 7.9415) * CHOOSE(CONTROL!$C$15, $D$11, 100%, $F$11)</f>
        <v>7.9419000000000004</v>
      </c>
      <c r="C214" s="8">
        <f>CHOOSE( CONTROL!$C$32, 7.9499, 7.9495) * CHOOSE(CONTROL!$C$15, $D$11, 100%, $F$11)</f>
        <v>7.9499000000000004</v>
      </c>
      <c r="D214" s="8">
        <f>CHOOSE( CONTROL!$C$32, 7.9446, 7.9442) * CHOOSE( CONTROL!$C$15, $D$11, 100%, $F$11)</f>
        <v>7.9446000000000003</v>
      </c>
      <c r="E214" s="12">
        <f>CHOOSE( CONTROL!$C$32, 7.9453, 7.9449) * CHOOSE( CONTROL!$C$15, $D$11, 100%, $F$11)</f>
        <v>7.9452999999999996</v>
      </c>
      <c r="F214" s="4">
        <f>CHOOSE( CONTROL!$C$32, 8.6489, 8.6484) * CHOOSE(CONTROL!$C$15, $D$11, 100%, $F$11)</f>
        <v>8.6488999999999994</v>
      </c>
      <c r="G214" s="8">
        <f>CHOOSE( CONTROL!$C$32, 7.8549, 7.8545) * CHOOSE( CONTROL!$C$15, $D$11, 100%, $F$11)</f>
        <v>7.8548999999999998</v>
      </c>
      <c r="H214" s="4">
        <f>CHOOSE( CONTROL!$C$32, 8.7942, 8.7938) * CHOOSE(CONTROL!$C$15, $D$11, 100%, $F$11)</f>
        <v>8.7942</v>
      </c>
      <c r="I214" s="8">
        <f>CHOOSE( CONTROL!$C$32, 7.782, 7.7816) * CHOOSE(CONTROL!$C$15, $D$11, 100%, $F$11)</f>
        <v>7.782</v>
      </c>
      <c r="J214" s="4">
        <f>CHOOSE( CONTROL!$C$32, 7.6968, 7.6964) * CHOOSE(CONTROL!$C$15, $D$11, 100%, $F$11)</f>
        <v>7.6967999999999996</v>
      </c>
      <c r="K214" s="4"/>
      <c r="L214" s="9">
        <v>29.7257</v>
      </c>
      <c r="M214" s="9">
        <v>11.6745</v>
      </c>
      <c r="N214" s="9">
        <v>4.7850000000000001</v>
      </c>
      <c r="O214" s="9">
        <v>0.36199999999999999</v>
      </c>
      <c r="P214" s="9">
        <v>1.2509999999999999</v>
      </c>
      <c r="Q214" s="9">
        <v>30.322800000000001</v>
      </c>
      <c r="R214" s="9"/>
      <c r="S214" s="11"/>
    </row>
    <row r="215" spans="1:19" ht="15.75">
      <c r="A215" s="13">
        <v>47665</v>
      </c>
      <c r="B215" s="8">
        <f>CHOOSE( CONTROL!$C$32, 8.2832, 8.2827) * CHOOSE(CONTROL!$C$15, $D$11, 100%, $F$11)</f>
        <v>8.2832000000000008</v>
      </c>
      <c r="C215" s="8">
        <f>CHOOSE( CONTROL!$C$32, 8.2912, 8.2907) * CHOOSE(CONTROL!$C$15, $D$11, 100%, $F$11)</f>
        <v>8.2911999999999999</v>
      </c>
      <c r="D215" s="8">
        <f>CHOOSE( CONTROL!$C$32, 8.2863, 8.2859) * CHOOSE( CONTROL!$C$15, $D$11, 100%, $F$11)</f>
        <v>8.2863000000000007</v>
      </c>
      <c r="E215" s="12">
        <f>CHOOSE( CONTROL!$C$32, 8.2869, 8.2864) * CHOOSE( CONTROL!$C$15, $D$11, 100%, $F$11)</f>
        <v>8.2868999999999993</v>
      </c>
      <c r="F215" s="4">
        <f>CHOOSE( CONTROL!$C$32, 8.9901, 8.9897) * CHOOSE(CONTROL!$C$15, $D$11, 100%, $F$11)</f>
        <v>8.9901</v>
      </c>
      <c r="G215" s="8">
        <f>CHOOSE( CONTROL!$C$32, 8.1926, 8.1921) * CHOOSE( CONTROL!$C$15, $D$11, 100%, $F$11)</f>
        <v>8.1926000000000005</v>
      </c>
      <c r="H215" s="4">
        <f>CHOOSE( CONTROL!$C$32, 9.1315, 9.131) * CHOOSE(CONTROL!$C$15, $D$11, 100%, $F$11)</f>
        <v>9.1315000000000008</v>
      </c>
      <c r="I215" s="8">
        <f>CHOOSE( CONTROL!$C$32, 8.1149, 8.1145) * CHOOSE(CONTROL!$C$15, $D$11, 100%, $F$11)</f>
        <v>8.1149000000000004</v>
      </c>
      <c r="J215" s="4">
        <f>CHOOSE( CONTROL!$C$32, 8.028, 8.0276) * CHOOSE(CONTROL!$C$15, $D$11, 100%, $F$11)</f>
        <v>8.0280000000000005</v>
      </c>
      <c r="K215" s="4"/>
      <c r="L215" s="9">
        <v>30.7165</v>
      </c>
      <c r="M215" s="9">
        <v>12.063700000000001</v>
      </c>
      <c r="N215" s="9">
        <v>4.9444999999999997</v>
      </c>
      <c r="O215" s="9">
        <v>0.37409999999999999</v>
      </c>
      <c r="P215" s="9">
        <v>1.2927</v>
      </c>
      <c r="Q215" s="9">
        <v>31.333600000000001</v>
      </c>
      <c r="R215" s="9"/>
      <c r="S215" s="11"/>
    </row>
    <row r="216" spans="1:19" ht="15.75">
      <c r="A216" s="13">
        <v>47696</v>
      </c>
      <c r="B216" s="8">
        <f>CHOOSE( CONTROL!$C$32, 7.6447, 7.6442) * CHOOSE(CONTROL!$C$15, $D$11, 100%, $F$11)</f>
        <v>7.6447000000000003</v>
      </c>
      <c r="C216" s="8">
        <f>CHOOSE( CONTROL!$C$32, 7.6527, 7.6522) * CHOOSE(CONTROL!$C$15, $D$11, 100%, $F$11)</f>
        <v>7.6527000000000003</v>
      </c>
      <c r="D216" s="8">
        <f>CHOOSE( CONTROL!$C$32, 7.6479, 7.6475) * CHOOSE( CONTROL!$C$15, $D$11, 100%, $F$11)</f>
        <v>7.6478999999999999</v>
      </c>
      <c r="E216" s="12">
        <f>CHOOSE( CONTROL!$C$32, 7.6484, 7.648) * CHOOSE( CONTROL!$C$15, $D$11, 100%, $F$11)</f>
        <v>7.6483999999999996</v>
      </c>
      <c r="F216" s="4">
        <f>CHOOSE( CONTROL!$C$32, 8.3516, 8.3512) * CHOOSE(CONTROL!$C$15, $D$11, 100%, $F$11)</f>
        <v>8.3515999999999995</v>
      </c>
      <c r="G216" s="8">
        <f>CHOOSE( CONTROL!$C$32, 7.5616, 7.5612) * CHOOSE( CONTROL!$C$15, $D$11, 100%, $F$11)</f>
        <v>7.5616000000000003</v>
      </c>
      <c r="H216" s="4">
        <f>CHOOSE( CONTROL!$C$32, 8.5005, 8.5) * CHOOSE(CONTROL!$C$15, $D$11, 100%, $F$11)</f>
        <v>8.5005000000000006</v>
      </c>
      <c r="I216" s="8">
        <f>CHOOSE( CONTROL!$C$32, 7.4954, 7.495) * CHOOSE(CONTROL!$C$15, $D$11, 100%, $F$11)</f>
        <v>7.4954000000000001</v>
      </c>
      <c r="J216" s="4">
        <f>CHOOSE( CONTROL!$C$32, 7.4083, 7.4079) * CHOOSE(CONTROL!$C$15, $D$11, 100%, $F$11)</f>
        <v>7.4082999999999997</v>
      </c>
      <c r="K216" s="4"/>
      <c r="L216" s="9">
        <v>30.7165</v>
      </c>
      <c r="M216" s="9">
        <v>12.063700000000001</v>
      </c>
      <c r="N216" s="9">
        <v>4.9444999999999997</v>
      </c>
      <c r="O216" s="9">
        <v>0.37409999999999999</v>
      </c>
      <c r="P216" s="9">
        <v>1.2927</v>
      </c>
      <c r="Q216" s="9">
        <v>31.333600000000001</v>
      </c>
      <c r="R216" s="9"/>
      <c r="S216" s="11"/>
    </row>
    <row r="217" spans="1:19" ht="15.75">
      <c r="A217" s="13">
        <v>47727</v>
      </c>
      <c r="B217" s="8">
        <f>CHOOSE( CONTROL!$C$32, 7.4848, 7.4843) * CHOOSE(CONTROL!$C$15, $D$11, 100%, $F$11)</f>
        <v>7.4847999999999999</v>
      </c>
      <c r="C217" s="8">
        <f>CHOOSE( CONTROL!$C$32, 7.4928, 7.4923) * CHOOSE(CONTROL!$C$15, $D$11, 100%, $F$11)</f>
        <v>7.4927999999999999</v>
      </c>
      <c r="D217" s="8">
        <f>CHOOSE( CONTROL!$C$32, 7.4879, 7.4874) * CHOOSE( CONTROL!$C$15, $D$11, 100%, $F$11)</f>
        <v>7.4878999999999998</v>
      </c>
      <c r="E217" s="12">
        <f>CHOOSE( CONTROL!$C$32, 7.4885, 7.488) * CHOOSE( CONTROL!$C$15, $D$11, 100%, $F$11)</f>
        <v>7.4885000000000002</v>
      </c>
      <c r="F217" s="4">
        <f>CHOOSE( CONTROL!$C$32, 8.1917, 8.1913) * CHOOSE(CONTROL!$C$15, $D$11, 100%, $F$11)</f>
        <v>8.1917000000000009</v>
      </c>
      <c r="G217" s="8">
        <f>CHOOSE( CONTROL!$C$32, 7.4035, 7.403) * CHOOSE( CONTROL!$C$15, $D$11, 100%, $F$11)</f>
        <v>7.4035000000000002</v>
      </c>
      <c r="H217" s="4">
        <f>CHOOSE( CONTROL!$C$32, 8.3424, 8.342) * CHOOSE(CONTROL!$C$15, $D$11, 100%, $F$11)</f>
        <v>8.3423999999999996</v>
      </c>
      <c r="I217" s="8">
        <f>CHOOSE( CONTROL!$C$32, 7.3396, 7.3392) * CHOOSE(CONTROL!$C$15, $D$11, 100%, $F$11)</f>
        <v>7.3395999999999999</v>
      </c>
      <c r="J217" s="4">
        <f>CHOOSE( CONTROL!$C$32, 7.2532, 7.2527) * CHOOSE(CONTROL!$C$15, $D$11, 100%, $F$11)</f>
        <v>7.2531999999999996</v>
      </c>
      <c r="K217" s="4"/>
      <c r="L217" s="9">
        <v>29.7257</v>
      </c>
      <c r="M217" s="9">
        <v>11.6745</v>
      </c>
      <c r="N217" s="9">
        <v>4.7850000000000001</v>
      </c>
      <c r="O217" s="9">
        <v>0.36199999999999999</v>
      </c>
      <c r="P217" s="9">
        <v>1.2509999999999999</v>
      </c>
      <c r="Q217" s="9">
        <v>30.322800000000001</v>
      </c>
      <c r="R217" s="9"/>
      <c r="S217" s="11"/>
    </row>
    <row r="218" spans="1:19" ht="15.75">
      <c r="A218" s="13">
        <v>47757</v>
      </c>
      <c r="B218" s="8">
        <f>CHOOSE( CONTROL!$C$32, 7.8149, 7.8146) * CHOOSE(CONTROL!$C$15, $D$11, 100%, $F$11)</f>
        <v>7.8148999999999997</v>
      </c>
      <c r="C218" s="8">
        <f>CHOOSE( CONTROL!$C$32, 7.8202, 7.8199) * CHOOSE(CONTROL!$C$15, $D$11, 100%, $F$11)</f>
        <v>7.8201999999999998</v>
      </c>
      <c r="D218" s="8">
        <f>CHOOSE( CONTROL!$C$32, 7.8204, 7.8201) * CHOOSE( CONTROL!$C$15, $D$11, 100%, $F$11)</f>
        <v>7.8204000000000002</v>
      </c>
      <c r="E218" s="12">
        <f>CHOOSE( CONTROL!$C$32, 7.8198, 7.8195) * CHOOSE( CONTROL!$C$15, $D$11, 100%, $F$11)</f>
        <v>7.8197999999999999</v>
      </c>
      <c r="F218" s="4">
        <f>CHOOSE( CONTROL!$C$32, 8.5235, 8.5233) * CHOOSE(CONTROL!$C$15, $D$11, 100%, $F$11)</f>
        <v>8.5235000000000003</v>
      </c>
      <c r="G218" s="8">
        <f>CHOOSE( CONTROL!$C$32, 7.7314, 7.7311) * CHOOSE( CONTROL!$C$15, $D$11, 100%, $F$11)</f>
        <v>7.7313999999999998</v>
      </c>
      <c r="H218" s="4">
        <f>CHOOSE( CONTROL!$C$32, 8.6704, 8.6701) * CHOOSE(CONTROL!$C$15, $D$11, 100%, $F$11)</f>
        <v>8.6704000000000008</v>
      </c>
      <c r="I218" s="8">
        <f>CHOOSE( CONTROL!$C$32, 7.6625, 7.6622) * CHOOSE(CONTROL!$C$15, $D$11, 100%, $F$11)</f>
        <v>7.6624999999999996</v>
      </c>
      <c r="J218" s="4">
        <f>CHOOSE( CONTROL!$C$32, 7.5752, 7.5749) * CHOOSE(CONTROL!$C$15, $D$11, 100%, $F$11)</f>
        <v>7.5751999999999997</v>
      </c>
      <c r="K218" s="4"/>
      <c r="L218" s="9">
        <v>31.095300000000002</v>
      </c>
      <c r="M218" s="9">
        <v>12.063700000000001</v>
      </c>
      <c r="N218" s="9">
        <v>4.9444999999999997</v>
      </c>
      <c r="O218" s="9">
        <v>0.37409999999999999</v>
      </c>
      <c r="P218" s="9">
        <v>1.2927</v>
      </c>
      <c r="Q218" s="9">
        <v>31.333600000000001</v>
      </c>
      <c r="R218" s="9"/>
      <c r="S218" s="11"/>
    </row>
    <row r="219" spans="1:19" ht="15.75">
      <c r="A219" s="13">
        <v>47788</v>
      </c>
      <c r="B219" s="8">
        <f>CHOOSE( CONTROL!$C$32, 8.4272, 8.427) * CHOOSE(CONTROL!$C$15, $D$11, 100%, $F$11)</f>
        <v>8.4271999999999991</v>
      </c>
      <c r="C219" s="8">
        <f>CHOOSE( CONTROL!$C$32, 8.4323, 8.432) * CHOOSE(CONTROL!$C$15, $D$11, 100%, $F$11)</f>
        <v>8.4322999999999997</v>
      </c>
      <c r="D219" s="8">
        <f>CHOOSE( CONTROL!$C$32, 8.4002, 8.3999) * CHOOSE( CONTROL!$C$15, $D$11, 100%, $F$11)</f>
        <v>8.4001999999999999</v>
      </c>
      <c r="E219" s="12">
        <f>CHOOSE( CONTROL!$C$32, 8.4114, 8.4111) * CHOOSE( CONTROL!$C$15, $D$11, 100%, $F$11)</f>
        <v>8.4114000000000004</v>
      </c>
      <c r="F219" s="4">
        <f>CHOOSE( CONTROL!$C$32, 9.0925, 9.0922) * CHOOSE(CONTROL!$C$15, $D$11, 100%, $F$11)</f>
        <v>9.0924999999999994</v>
      </c>
      <c r="G219" s="8">
        <f>CHOOSE( CONTROL!$C$32, 8.3259, 8.3256) * CHOOSE( CONTROL!$C$15, $D$11, 100%, $F$11)</f>
        <v>8.3259000000000007</v>
      </c>
      <c r="H219" s="4">
        <f>CHOOSE( CONTROL!$C$32, 9.2327, 9.2324) * CHOOSE(CONTROL!$C$15, $D$11, 100%, $F$11)</f>
        <v>9.2326999999999995</v>
      </c>
      <c r="I219" s="8">
        <f>CHOOSE( CONTROL!$C$32, 8.3083, 8.3081) * CHOOSE(CONTROL!$C$15, $D$11, 100%, $F$11)</f>
        <v>8.3082999999999991</v>
      </c>
      <c r="J219" s="4">
        <f>CHOOSE( CONTROL!$C$32, 8.1699, 8.1696) * CHOOSE(CONTROL!$C$15, $D$11, 100%, $F$11)</f>
        <v>8.1699000000000002</v>
      </c>
      <c r="K219" s="4"/>
      <c r="L219" s="9">
        <v>28.360600000000002</v>
      </c>
      <c r="M219" s="9">
        <v>11.6745</v>
      </c>
      <c r="N219" s="9">
        <v>4.7850000000000001</v>
      </c>
      <c r="O219" s="9">
        <v>0.36199999999999999</v>
      </c>
      <c r="P219" s="9">
        <v>1.2509999999999999</v>
      </c>
      <c r="Q219" s="9">
        <v>30.322800000000001</v>
      </c>
      <c r="R219" s="9"/>
      <c r="S219" s="11"/>
    </row>
    <row r="220" spans="1:19" ht="15.75">
      <c r="A220" s="13">
        <v>47818</v>
      </c>
      <c r="B220" s="8">
        <f>CHOOSE( CONTROL!$C$32, 8.4119, 8.4117) * CHOOSE(CONTROL!$C$15, $D$11, 100%, $F$11)</f>
        <v>8.4118999999999993</v>
      </c>
      <c r="C220" s="8">
        <f>CHOOSE( CONTROL!$C$32, 8.417, 8.4167) * CHOOSE(CONTROL!$C$15, $D$11, 100%, $F$11)</f>
        <v>8.4169999999999998</v>
      </c>
      <c r="D220" s="8">
        <f>CHOOSE( CONTROL!$C$32, 8.3867, 8.3864) * CHOOSE( CONTROL!$C$15, $D$11, 100%, $F$11)</f>
        <v>8.3866999999999994</v>
      </c>
      <c r="E220" s="12">
        <f>CHOOSE( CONTROL!$C$32, 8.3972, 8.3969) * CHOOSE( CONTROL!$C$15, $D$11, 100%, $F$11)</f>
        <v>8.3971999999999998</v>
      </c>
      <c r="F220" s="4">
        <f>CHOOSE( CONTROL!$C$32, 9.0772, 9.0769) * CHOOSE(CONTROL!$C$15, $D$11, 100%, $F$11)</f>
        <v>9.0771999999999995</v>
      </c>
      <c r="G220" s="8">
        <f>CHOOSE( CONTROL!$C$32, 8.3121, 8.3118) * CHOOSE( CONTROL!$C$15, $D$11, 100%, $F$11)</f>
        <v>8.3120999999999992</v>
      </c>
      <c r="H220" s="4">
        <f>CHOOSE( CONTROL!$C$32, 9.2175, 9.2173) * CHOOSE(CONTROL!$C$15, $D$11, 100%, $F$11)</f>
        <v>9.2174999999999994</v>
      </c>
      <c r="I220" s="8">
        <f>CHOOSE( CONTROL!$C$32, 8.2992, 8.2989) * CHOOSE(CONTROL!$C$15, $D$11, 100%, $F$11)</f>
        <v>8.2992000000000008</v>
      </c>
      <c r="J220" s="4">
        <f>CHOOSE( CONTROL!$C$32, 8.155, 8.1548) * CHOOSE(CONTROL!$C$15, $D$11, 100%, $F$11)</f>
        <v>8.1549999999999994</v>
      </c>
      <c r="K220" s="4"/>
      <c r="L220" s="9">
        <v>29.306000000000001</v>
      </c>
      <c r="M220" s="9">
        <v>12.063700000000001</v>
      </c>
      <c r="N220" s="9">
        <v>4.9444999999999997</v>
      </c>
      <c r="O220" s="9">
        <v>0.37409999999999999</v>
      </c>
      <c r="P220" s="9">
        <v>1.2927</v>
      </c>
      <c r="Q220" s="9">
        <v>31.333600000000001</v>
      </c>
      <c r="R220" s="9"/>
      <c r="S220" s="11"/>
    </row>
    <row r="221" spans="1:19" ht="15.75">
      <c r="A221" s="13">
        <v>47849</v>
      </c>
      <c r="B221" s="8">
        <f>CHOOSE( CONTROL!$C$32, 8.6921, 8.6918) * CHOOSE(CONTROL!$C$15, $D$11, 100%, $F$11)</f>
        <v>8.6920999999999999</v>
      </c>
      <c r="C221" s="8">
        <f>CHOOSE( CONTROL!$C$32, 8.6971, 8.6969) * CHOOSE(CONTROL!$C$15, $D$11, 100%, $F$11)</f>
        <v>8.6971000000000007</v>
      </c>
      <c r="D221" s="8">
        <f>CHOOSE( CONTROL!$C$32, 8.6948, 8.6945) * CHOOSE( CONTROL!$C$15, $D$11, 100%, $F$11)</f>
        <v>8.6948000000000008</v>
      </c>
      <c r="E221" s="12">
        <f>CHOOSE( CONTROL!$C$32, 8.6951, 8.6948) * CHOOSE( CONTROL!$C$15, $D$11, 100%, $F$11)</f>
        <v>8.6951000000000001</v>
      </c>
      <c r="F221" s="4">
        <f>CHOOSE( CONTROL!$C$32, 9.3573, 9.3571) * CHOOSE(CONTROL!$C$15, $D$11, 100%, $F$11)</f>
        <v>9.3573000000000004</v>
      </c>
      <c r="G221" s="8">
        <f>CHOOSE( CONTROL!$C$32, 8.6051, 8.6048) * CHOOSE( CONTROL!$C$15, $D$11, 100%, $F$11)</f>
        <v>8.6051000000000002</v>
      </c>
      <c r="H221" s="4">
        <f>CHOOSE( CONTROL!$C$32, 9.4944, 9.4941) * CHOOSE(CONTROL!$C$15, $D$11, 100%, $F$11)</f>
        <v>9.4944000000000006</v>
      </c>
      <c r="I221" s="8">
        <f>CHOOSE( CONTROL!$C$32, 8.5447, 8.5444) * CHOOSE(CONTROL!$C$15, $D$11, 100%, $F$11)</f>
        <v>8.5447000000000006</v>
      </c>
      <c r="J221" s="4">
        <f>CHOOSE( CONTROL!$C$32, 8.4269, 8.4266) * CHOOSE(CONTROL!$C$15, $D$11, 100%, $F$11)</f>
        <v>8.4268999999999998</v>
      </c>
      <c r="K221" s="4"/>
      <c r="L221" s="9">
        <v>29.306000000000001</v>
      </c>
      <c r="M221" s="9">
        <v>12.063700000000001</v>
      </c>
      <c r="N221" s="9">
        <v>4.9444999999999997</v>
      </c>
      <c r="O221" s="9">
        <v>0.37409999999999999</v>
      </c>
      <c r="P221" s="9">
        <v>1.2927</v>
      </c>
      <c r="Q221" s="9">
        <v>31.026700000000002</v>
      </c>
      <c r="R221" s="9"/>
      <c r="S221" s="11"/>
    </row>
    <row r="222" spans="1:19" ht="15.75">
      <c r="A222" s="13">
        <v>47880</v>
      </c>
      <c r="B222" s="8">
        <f>CHOOSE( CONTROL!$C$32, 8.1307, 8.1305) * CHOOSE(CONTROL!$C$15, $D$11, 100%, $F$11)</f>
        <v>8.1306999999999992</v>
      </c>
      <c r="C222" s="8">
        <f>CHOOSE( CONTROL!$C$32, 8.1358, 8.1355) * CHOOSE(CONTROL!$C$15, $D$11, 100%, $F$11)</f>
        <v>8.1357999999999997</v>
      </c>
      <c r="D222" s="8">
        <f>CHOOSE( CONTROL!$C$32, 8.1158, 8.1155) * CHOOSE( CONTROL!$C$15, $D$11, 100%, $F$11)</f>
        <v>8.1158000000000001</v>
      </c>
      <c r="E222" s="12">
        <f>CHOOSE( CONTROL!$C$32, 8.1226, 8.1223) * CHOOSE( CONTROL!$C$15, $D$11, 100%, $F$11)</f>
        <v>8.1226000000000003</v>
      </c>
      <c r="F222" s="4">
        <f>CHOOSE( CONTROL!$C$32, 8.796, 8.7957) * CHOOSE(CONTROL!$C$15, $D$11, 100%, $F$11)</f>
        <v>8.7959999999999994</v>
      </c>
      <c r="G222" s="8">
        <f>CHOOSE( CONTROL!$C$32, 8.0392, 8.0389) * CHOOSE( CONTROL!$C$15, $D$11, 100%, $F$11)</f>
        <v>8.0391999999999992</v>
      </c>
      <c r="H222" s="4">
        <f>CHOOSE( CONTROL!$C$32, 8.9396, 8.9394) * CHOOSE(CONTROL!$C$15, $D$11, 100%, $F$11)</f>
        <v>8.9396000000000004</v>
      </c>
      <c r="I222" s="8">
        <f>CHOOSE( CONTROL!$C$32, 8.0001, 7.9998) * CHOOSE(CONTROL!$C$15, $D$11, 100%, $F$11)</f>
        <v>8.0000999999999998</v>
      </c>
      <c r="J222" s="4">
        <f>CHOOSE( CONTROL!$C$32, 7.8821, 7.8819) * CHOOSE(CONTROL!$C$15, $D$11, 100%, $F$11)</f>
        <v>7.8821000000000003</v>
      </c>
      <c r="K222" s="4"/>
      <c r="L222" s="9">
        <v>26.469899999999999</v>
      </c>
      <c r="M222" s="9">
        <v>10.8962</v>
      </c>
      <c r="N222" s="9">
        <v>4.4660000000000002</v>
      </c>
      <c r="O222" s="9">
        <v>0.33789999999999998</v>
      </c>
      <c r="P222" s="9">
        <v>1.1676</v>
      </c>
      <c r="Q222" s="9">
        <v>28.024100000000001</v>
      </c>
      <c r="R222" s="9"/>
      <c r="S222" s="11"/>
    </row>
    <row r="223" spans="1:19" ht="15.75">
      <c r="A223" s="13">
        <v>47908</v>
      </c>
      <c r="B223" s="8">
        <f>CHOOSE( CONTROL!$C$32, 7.9578, 7.9576) * CHOOSE(CONTROL!$C$15, $D$11, 100%, $F$11)</f>
        <v>7.9577999999999998</v>
      </c>
      <c r="C223" s="8">
        <f>CHOOSE( CONTROL!$C$32, 7.9629, 7.9627) * CHOOSE(CONTROL!$C$15, $D$11, 100%, $F$11)</f>
        <v>7.9629000000000003</v>
      </c>
      <c r="D223" s="8">
        <f>CHOOSE( CONTROL!$C$32, 7.9329, 7.9327) * CHOOSE( CONTROL!$C$15, $D$11, 100%, $F$11)</f>
        <v>7.9329000000000001</v>
      </c>
      <c r="E223" s="12">
        <f>CHOOSE( CONTROL!$C$32, 7.9433, 7.9431) * CHOOSE( CONTROL!$C$15, $D$11, 100%, $F$11)</f>
        <v>7.9432999999999998</v>
      </c>
      <c r="F223" s="4">
        <f>CHOOSE( CONTROL!$C$32, 8.6231, 8.6229) * CHOOSE(CONTROL!$C$15, $D$11, 100%, $F$11)</f>
        <v>8.6231000000000009</v>
      </c>
      <c r="G223" s="8">
        <f>CHOOSE( CONTROL!$C$32, 7.8551, 7.8548) * CHOOSE( CONTROL!$C$15, $D$11, 100%, $F$11)</f>
        <v>7.8551000000000002</v>
      </c>
      <c r="H223" s="4">
        <f>CHOOSE( CONTROL!$C$32, 8.7688, 8.7685) * CHOOSE(CONTROL!$C$15, $D$11, 100%, $F$11)</f>
        <v>8.7688000000000006</v>
      </c>
      <c r="I223" s="8">
        <f>CHOOSE( CONTROL!$C$32, 7.797, 7.7968) * CHOOSE(CONTROL!$C$15, $D$11, 100%, $F$11)</f>
        <v>7.7969999999999997</v>
      </c>
      <c r="J223" s="4">
        <f>CHOOSE( CONTROL!$C$32, 7.7143, 7.7141) * CHOOSE(CONTROL!$C$15, $D$11, 100%, $F$11)</f>
        <v>7.7142999999999997</v>
      </c>
      <c r="K223" s="4"/>
      <c r="L223" s="9">
        <v>29.306000000000001</v>
      </c>
      <c r="M223" s="9">
        <v>12.063700000000001</v>
      </c>
      <c r="N223" s="9">
        <v>4.9444999999999997</v>
      </c>
      <c r="O223" s="9">
        <v>0.37409999999999999</v>
      </c>
      <c r="P223" s="9">
        <v>1.2927</v>
      </c>
      <c r="Q223" s="9">
        <v>31.026700000000002</v>
      </c>
      <c r="R223" s="9"/>
      <c r="S223" s="11"/>
    </row>
    <row r="224" spans="1:19" ht="15.75">
      <c r="A224" s="13">
        <v>47939</v>
      </c>
      <c r="B224" s="8">
        <f>CHOOSE( CONTROL!$C$32, 8.0794, 8.0791) * CHOOSE(CONTROL!$C$15, $D$11, 100%, $F$11)</f>
        <v>8.0793999999999997</v>
      </c>
      <c r="C224" s="8">
        <f>CHOOSE( CONTROL!$C$32, 8.0839, 8.0837) * CHOOSE(CONTROL!$C$15, $D$11, 100%, $F$11)</f>
        <v>8.0838999999999999</v>
      </c>
      <c r="D224" s="8">
        <f>CHOOSE( CONTROL!$C$32, 8.0834, 8.0832) * CHOOSE( CONTROL!$C$15, $D$11, 100%, $F$11)</f>
        <v>8.0833999999999993</v>
      </c>
      <c r="E224" s="12">
        <f>CHOOSE( CONTROL!$C$32, 8.0831, 8.0828) * CHOOSE( CONTROL!$C$15, $D$11, 100%, $F$11)</f>
        <v>8.0831</v>
      </c>
      <c r="F224" s="4">
        <f>CHOOSE( CONTROL!$C$32, 8.7877, 8.7875) * CHOOSE(CONTROL!$C$15, $D$11, 100%, $F$11)</f>
        <v>8.7876999999999992</v>
      </c>
      <c r="G224" s="8">
        <f>CHOOSE( CONTROL!$C$32, 7.9915, 7.9912) * CHOOSE( CONTROL!$C$15, $D$11, 100%, $F$11)</f>
        <v>7.9915000000000003</v>
      </c>
      <c r="H224" s="4">
        <f>CHOOSE( CONTROL!$C$32, 8.9315, 8.9312) * CHOOSE(CONTROL!$C$15, $D$11, 100%, $F$11)</f>
        <v>8.9314999999999998</v>
      </c>
      <c r="I224" s="8">
        <f>CHOOSE( CONTROL!$C$32, 7.9149, 7.9146) * CHOOSE(CONTROL!$C$15, $D$11, 100%, $F$11)</f>
        <v>7.9149000000000003</v>
      </c>
      <c r="J224" s="4">
        <f>CHOOSE( CONTROL!$C$32, 7.8316, 7.8313) * CHOOSE(CONTROL!$C$15, $D$11, 100%, $F$11)</f>
        <v>7.8315999999999999</v>
      </c>
      <c r="K224" s="4"/>
      <c r="L224" s="9">
        <v>30.092199999999998</v>
      </c>
      <c r="M224" s="9">
        <v>11.6745</v>
      </c>
      <c r="N224" s="9">
        <v>4.7850000000000001</v>
      </c>
      <c r="O224" s="9">
        <v>0.36199999999999999</v>
      </c>
      <c r="P224" s="9">
        <v>1.2509999999999999</v>
      </c>
      <c r="Q224" s="9">
        <v>30.0258</v>
      </c>
      <c r="R224" s="9"/>
      <c r="S224" s="11"/>
    </row>
    <row r="225" spans="1:19" ht="15.75">
      <c r="A225" s="13">
        <v>47969</v>
      </c>
      <c r="B225" s="8">
        <f>CHOOSE( CONTROL!$C$32, 8.296, 8.2955) * CHOOSE(CONTROL!$C$15, $D$11, 100%, $F$11)</f>
        <v>8.2959999999999994</v>
      </c>
      <c r="C225" s="8">
        <f>CHOOSE( CONTROL!$C$32, 8.304, 8.3035) * CHOOSE(CONTROL!$C$15, $D$11, 100%, $F$11)</f>
        <v>8.3040000000000003</v>
      </c>
      <c r="D225" s="8">
        <f>CHOOSE( CONTROL!$C$32, 8.2983, 8.2978) * CHOOSE( CONTROL!$C$15, $D$11, 100%, $F$11)</f>
        <v>8.2982999999999993</v>
      </c>
      <c r="E225" s="12">
        <f>CHOOSE( CONTROL!$C$32, 8.2991, 8.2986) * CHOOSE( CONTROL!$C$15, $D$11, 100%, $F$11)</f>
        <v>8.2990999999999993</v>
      </c>
      <c r="F225" s="4">
        <f>CHOOSE( CONTROL!$C$32, 9.0029, 9.0025) * CHOOSE(CONTROL!$C$15, $D$11, 100%, $F$11)</f>
        <v>9.0029000000000003</v>
      </c>
      <c r="G225" s="8">
        <f>CHOOSE( CONTROL!$C$32, 8.2045, 8.2041) * CHOOSE( CONTROL!$C$15, $D$11, 100%, $F$11)</f>
        <v>8.2044999999999995</v>
      </c>
      <c r="H225" s="4">
        <f>CHOOSE( CONTROL!$C$32, 9.1441, 9.1437) * CHOOSE(CONTROL!$C$15, $D$11, 100%, $F$11)</f>
        <v>9.1440999999999999</v>
      </c>
      <c r="I225" s="8">
        <f>CHOOSE( CONTROL!$C$32, 8.1244, 8.1239) * CHOOSE(CONTROL!$C$15, $D$11, 100%, $F$11)</f>
        <v>8.1243999999999996</v>
      </c>
      <c r="J225" s="4">
        <f>CHOOSE( CONTROL!$C$32, 8.0404, 8.04) * CHOOSE(CONTROL!$C$15, $D$11, 100%, $F$11)</f>
        <v>8.0404</v>
      </c>
      <c r="K225" s="4"/>
      <c r="L225" s="9">
        <v>30.7165</v>
      </c>
      <c r="M225" s="9">
        <v>12.063700000000001</v>
      </c>
      <c r="N225" s="9">
        <v>4.9444999999999997</v>
      </c>
      <c r="O225" s="9">
        <v>0.37409999999999999</v>
      </c>
      <c r="P225" s="9">
        <v>1.2927</v>
      </c>
      <c r="Q225" s="9">
        <v>31.026700000000002</v>
      </c>
      <c r="R225" s="9"/>
      <c r="S225" s="11"/>
    </row>
    <row r="226" spans="1:19" ht="15.75">
      <c r="A226" s="13">
        <v>48000</v>
      </c>
      <c r="B226" s="8">
        <f>CHOOSE( CONTROL!$C$32, 8.1628, 8.1623) * CHOOSE(CONTROL!$C$15, $D$11, 100%, $F$11)</f>
        <v>8.1628000000000007</v>
      </c>
      <c r="C226" s="8">
        <f>CHOOSE( CONTROL!$C$32, 8.1708, 8.1703) * CHOOSE(CONTROL!$C$15, $D$11, 100%, $F$11)</f>
        <v>8.1707999999999998</v>
      </c>
      <c r="D226" s="8">
        <f>CHOOSE( CONTROL!$C$32, 8.1655, 8.165) * CHOOSE( CONTROL!$C$15, $D$11, 100%, $F$11)</f>
        <v>8.1654999999999998</v>
      </c>
      <c r="E226" s="12">
        <f>CHOOSE( CONTROL!$C$32, 8.1662, 8.1657) * CHOOSE( CONTROL!$C$15, $D$11, 100%, $F$11)</f>
        <v>8.1661999999999999</v>
      </c>
      <c r="F226" s="4">
        <f>CHOOSE( CONTROL!$C$32, 8.8697, 8.8693) * CHOOSE(CONTROL!$C$15, $D$11, 100%, $F$11)</f>
        <v>8.8696999999999999</v>
      </c>
      <c r="G226" s="8">
        <f>CHOOSE( CONTROL!$C$32, 8.0732, 8.0728) * CHOOSE( CONTROL!$C$15, $D$11, 100%, $F$11)</f>
        <v>8.0731999999999999</v>
      </c>
      <c r="H226" s="4">
        <f>CHOOSE( CONTROL!$C$32, 9.0125, 9.0121) * CHOOSE(CONTROL!$C$15, $D$11, 100%, $F$11)</f>
        <v>9.0124999999999993</v>
      </c>
      <c r="I226" s="8">
        <f>CHOOSE( CONTROL!$C$32, 7.9965, 7.996) * CHOOSE(CONTROL!$C$15, $D$11, 100%, $F$11)</f>
        <v>7.9965000000000002</v>
      </c>
      <c r="J226" s="4">
        <f>CHOOSE( CONTROL!$C$32, 7.9112, 7.9107) * CHOOSE(CONTROL!$C$15, $D$11, 100%, $F$11)</f>
        <v>7.9112</v>
      </c>
      <c r="K226" s="4"/>
      <c r="L226" s="9">
        <v>29.7257</v>
      </c>
      <c r="M226" s="9">
        <v>11.6745</v>
      </c>
      <c r="N226" s="9">
        <v>4.7850000000000001</v>
      </c>
      <c r="O226" s="9">
        <v>0.36199999999999999</v>
      </c>
      <c r="P226" s="9">
        <v>1.2509999999999999</v>
      </c>
      <c r="Q226" s="9">
        <v>30.0258</v>
      </c>
      <c r="R226" s="9"/>
      <c r="S226" s="11"/>
    </row>
    <row r="227" spans="1:19" ht="15.75">
      <c r="A227" s="13">
        <v>48030</v>
      </c>
      <c r="B227" s="8">
        <f>CHOOSE( CONTROL!$C$32, 8.5135, 8.5131) * CHOOSE(CONTROL!$C$15, $D$11, 100%, $F$11)</f>
        <v>8.5135000000000005</v>
      </c>
      <c r="C227" s="8">
        <f>CHOOSE( CONTROL!$C$32, 8.5215, 8.5211) * CHOOSE(CONTROL!$C$15, $D$11, 100%, $F$11)</f>
        <v>8.5214999999999996</v>
      </c>
      <c r="D227" s="8">
        <f>CHOOSE( CONTROL!$C$32, 8.5167, 8.5162) * CHOOSE( CONTROL!$C$15, $D$11, 100%, $F$11)</f>
        <v>8.5167000000000002</v>
      </c>
      <c r="E227" s="12">
        <f>CHOOSE( CONTROL!$C$32, 8.5172, 8.5168) * CHOOSE( CONTROL!$C$15, $D$11, 100%, $F$11)</f>
        <v>8.5172000000000008</v>
      </c>
      <c r="F227" s="4">
        <f>CHOOSE( CONTROL!$C$32, 9.2205, 9.22) * CHOOSE(CONTROL!$C$15, $D$11, 100%, $F$11)</f>
        <v>9.2204999999999995</v>
      </c>
      <c r="G227" s="8">
        <f>CHOOSE( CONTROL!$C$32, 8.4202, 8.4198) * CHOOSE( CONTROL!$C$15, $D$11, 100%, $F$11)</f>
        <v>8.4201999999999995</v>
      </c>
      <c r="H227" s="4">
        <f>CHOOSE( CONTROL!$C$32, 9.3591, 9.3587) * CHOOSE(CONTROL!$C$15, $D$11, 100%, $F$11)</f>
        <v>9.3590999999999998</v>
      </c>
      <c r="I227" s="8">
        <f>CHOOSE( CONTROL!$C$32, 8.3386, 8.3382) * CHOOSE(CONTROL!$C$15, $D$11, 100%, $F$11)</f>
        <v>8.3385999999999996</v>
      </c>
      <c r="J227" s="4">
        <f>CHOOSE( CONTROL!$C$32, 8.2516, 8.2511) * CHOOSE(CONTROL!$C$15, $D$11, 100%, $F$11)</f>
        <v>8.2515999999999998</v>
      </c>
      <c r="K227" s="4"/>
      <c r="L227" s="9">
        <v>30.7165</v>
      </c>
      <c r="M227" s="9">
        <v>12.063700000000001</v>
      </c>
      <c r="N227" s="9">
        <v>4.9444999999999997</v>
      </c>
      <c r="O227" s="9">
        <v>0.37409999999999999</v>
      </c>
      <c r="P227" s="9">
        <v>1.2927</v>
      </c>
      <c r="Q227" s="9">
        <v>31.026700000000002</v>
      </c>
      <c r="R227" s="9"/>
      <c r="S227" s="11"/>
    </row>
    <row r="228" spans="1:19" ht="15.75">
      <c r="A228" s="13">
        <v>48061</v>
      </c>
      <c r="B228" s="8">
        <f>CHOOSE( CONTROL!$C$32, 7.8573, 7.8568) * CHOOSE(CONTROL!$C$15, $D$11, 100%, $F$11)</f>
        <v>7.8573000000000004</v>
      </c>
      <c r="C228" s="8">
        <f>CHOOSE( CONTROL!$C$32, 7.8652, 7.8648) * CHOOSE(CONTROL!$C$15, $D$11, 100%, $F$11)</f>
        <v>7.8651999999999997</v>
      </c>
      <c r="D228" s="8">
        <f>CHOOSE( CONTROL!$C$32, 7.8605, 7.8601) * CHOOSE( CONTROL!$C$15, $D$11, 100%, $F$11)</f>
        <v>7.8605</v>
      </c>
      <c r="E228" s="12">
        <f>CHOOSE( CONTROL!$C$32, 7.861, 7.8606) * CHOOSE( CONTROL!$C$15, $D$11, 100%, $F$11)</f>
        <v>7.8609999999999998</v>
      </c>
      <c r="F228" s="4">
        <f>CHOOSE( CONTROL!$C$32, 8.5642, 8.5637) * CHOOSE(CONTROL!$C$15, $D$11, 100%, $F$11)</f>
        <v>8.5641999999999996</v>
      </c>
      <c r="G228" s="8">
        <f>CHOOSE( CONTROL!$C$32, 7.7717, 7.7713) * CHOOSE( CONTROL!$C$15, $D$11, 100%, $F$11)</f>
        <v>7.7717000000000001</v>
      </c>
      <c r="H228" s="4">
        <f>CHOOSE( CONTROL!$C$32, 8.7105, 8.7101) * CHOOSE(CONTROL!$C$15, $D$11, 100%, $F$11)</f>
        <v>8.7104999999999997</v>
      </c>
      <c r="I228" s="8">
        <f>CHOOSE( CONTROL!$C$32, 7.7018, 7.7014) * CHOOSE(CONTROL!$C$15, $D$11, 100%, $F$11)</f>
        <v>7.7018000000000004</v>
      </c>
      <c r="J228" s="4">
        <f>CHOOSE( CONTROL!$C$32, 7.6146, 7.6142) * CHOOSE(CONTROL!$C$15, $D$11, 100%, $F$11)</f>
        <v>7.6146000000000003</v>
      </c>
      <c r="K228" s="4"/>
      <c r="L228" s="9">
        <v>30.7165</v>
      </c>
      <c r="M228" s="9">
        <v>12.063700000000001</v>
      </c>
      <c r="N228" s="9">
        <v>4.9444999999999997</v>
      </c>
      <c r="O228" s="9">
        <v>0.37409999999999999</v>
      </c>
      <c r="P228" s="9">
        <v>1.2927</v>
      </c>
      <c r="Q228" s="9">
        <v>31.026700000000002</v>
      </c>
      <c r="R228" s="9"/>
      <c r="S228" s="11"/>
    </row>
    <row r="229" spans="1:19" ht="15.75">
      <c r="A229" s="13">
        <v>48092</v>
      </c>
      <c r="B229" s="8">
        <f>CHOOSE( CONTROL!$C$32, 7.6929, 7.6925) * CHOOSE(CONTROL!$C$15, $D$11, 100%, $F$11)</f>
        <v>7.6928999999999998</v>
      </c>
      <c r="C229" s="8">
        <f>CHOOSE( CONTROL!$C$32, 7.7009, 7.7004) * CHOOSE(CONTROL!$C$15, $D$11, 100%, $F$11)</f>
        <v>7.7008999999999999</v>
      </c>
      <c r="D229" s="8">
        <f>CHOOSE( CONTROL!$C$32, 7.696, 7.6956) * CHOOSE( CONTROL!$C$15, $D$11, 100%, $F$11)</f>
        <v>7.6959999999999997</v>
      </c>
      <c r="E229" s="12">
        <f>CHOOSE( CONTROL!$C$32, 7.6966, 7.6961) * CHOOSE( CONTROL!$C$15, $D$11, 100%, $F$11)</f>
        <v>7.6966000000000001</v>
      </c>
      <c r="F229" s="4">
        <f>CHOOSE( CONTROL!$C$32, 8.3999, 8.3994) * CHOOSE(CONTROL!$C$15, $D$11, 100%, $F$11)</f>
        <v>8.3999000000000006</v>
      </c>
      <c r="G229" s="8">
        <f>CHOOSE( CONTROL!$C$32, 7.6092, 7.6087) * CHOOSE( CONTROL!$C$15, $D$11, 100%, $F$11)</f>
        <v>7.6092000000000004</v>
      </c>
      <c r="H229" s="4">
        <f>CHOOSE( CONTROL!$C$32, 8.5481, 8.5477) * CHOOSE(CONTROL!$C$15, $D$11, 100%, $F$11)</f>
        <v>8.5480999999999998</v>
      </c>
      <c r="I229" s="8">
        <f>CHOOSE( CONTROL!$C$32, 7.5417, 7.5413) * CHOOSE(CONTROL!$C$15, $D$11, 100%, $F$11)</f>
        <v>7.5416999999999996</v>
      </c>
      <c r="J229" s="4">
        <f>CHOOSE( CONTROL!$C$32, 7.4551, 7.4547) * CHOOSE(CONTROL!$C$15, $D$11, 100%, $F$11)</f>
        <v>7.4550999999999998</v>
      </c>
      <c r="K229" s="4"/>
      <c r="L229" s="9">
        <v>29.7257</v>
      </c>
      <c r="M229" s="9">
        <v>11.6745</v>
      </c>
      <c r="N229" s="9">
        <v>4.7850000000000001</v>
      </c>
      <c r="O229" s="9">
        <v>0.36199999999999999</v>
      </c>
      <c r="P229" s="9">
        <v>1.2509999999999999</v>
      </c>
      <c r="Q229" s="9">
        <v>30.0258</v>
      </c>
      <c r="R229" s="9"/>
      <c r="S229" s="11"/>
    </row>
    <row r="230" spans="1:19" ht="15.75">
      <c r="A230" s="13">
        <v>48122</v>
      </c>
      <c r="B230" s="8">
        <f>CHOOSE( CONTROL!$C$32, 8.0322, 8.032) * CHOOSE(CONTROL!$C$15, $D$11, 100%, $F$11)</f>
        <v>8.0321999999999996</v>
      </c>
      <c r="C230" s="8">
        <f>CHOOSE( CONTROL!$C$32, 8.0376, 8.0373) * CHOOSE(CONTROL!$C$15, $D$11, 100%, $F$11)</f>
        <v>8.0375999999999994</v>
      </c>
      <c r="D230" s="8">
        <f>CHOOSE( CONTROL!$C$32, 8.0378, 8.0375) * CHOOSE( CONTROL!$C$15, $D$11, 100%, $F$11)</f>
        <v>8.0378000000000007</v>
      </c>
      <c r="E230" s="12">
        <f>CHOOSE( CONTROL!$C$32, 8.0372, 8.0369) * CHOOSE( CONTROL!$C$15, $D$11, 100%, $F$11)</f>
        <v>8.0372000000000003</v>
      </c>
      <c r="F230" s="4">
        <f>CHOOSE( CONTROL!$C$32, 8.7409, 8.7406) * CHOOSE(CONTROL!$C$15, $D$11, 100%, $F$11)</f>
        <v>8.7408999999999999</v>
      </c>
      <c r="G230" s="8">
        <f>CHOOSE( CONTROL!$C$32, 7.9462, 7.9459) * CHOOSE( CONTROL!$C$15, $D$11, 100%, $F$11)</f>
        <v>7.9462000000000002</v>
      </c>
      <c r="H230" s="4">
        <f>CHOOSE( CONTROL!$C$32, 8.8852, 8.8849) * CHOOSE(CONTROL!$C$15, $D$11, 100%, $F$11)</f>
        <v>8.8851999999999993</v>
      </c>
      <c r="I230" s="8">
        <f>CHOOSE( CONTROL!$C$32, 7.8736, 7.8733) * CHOOSE(CONTROL!$C$15, $D$11, 100%, $F$11)</f>
        <v>7.8735999999999997</v>
      </c>
      <c r="J230" s="4">
        <f>CHOOSE( CONTROL!$C$32, 7.7861, 7.7859) * CHOOSE(CONTROL!$C$15, $D$11, 100%, $F$11)</f>
        <v>7.7861000000000002</v>
      </c>
      <c r="K230" s="4"/>
      <c r="L230" s="9">
        <v>31.095300000000002</v>
      </c>
      <c r="M230" s="9">
        <v>12.063700000000001</v>
      </c>
      <c r="N230" s="9">
        <v>4.9444999999999997</v>
      </c>
      <c r="O230" s="9">
        <v>0.37409999999999999</v>
      </c>
      <c r="P230" s="9">
        <v>1.2927</v>
      </c>
      <c r="Q230" s="9">
        <v>31.026700000000002</v>
      </c>
      <c r="R230" s="9"/>
      <c r="S230" s="11"/>
    </row>
    <row r="231" spans="1:19" ht="15.75">
      <c r="A231" s="13">
        <v>48153</v>
      </c>
      <c r="B231" s="8">
        <f>CHOOSE( CONTROL!$C$32, 8.6617, 8.6614) * CHOOSE(CONTROL!$C$15, $D$11, 100%, $F$11)</f>
        <v>8.6616999999999997</v>
      </c>
      <c r="C231" s="8">
        <f>CHOOSE( CONTROL!$C$32, 8.6667, 8.6665) * CHOOSE(CONTROL!$C$15, $D$11, 100%, $F$11)</f>
        <v>8.6667000000000005</v>
      </c>
      <c r="D231" s="8">
        <f>CHOOSE( CONTROL!$C$32, 8.6346, 8.6343) * CHOOSE( CONTROL!$C$15, $D$11, 100%, $F$11)</f>
        <v>8.6346000000000007</v>
      </c>
      <c r="E231" s="12">
        <f>CHOOSE( CONTROL!$C$32, 8.6458, 8.6455) * CHOOSE( CONTROL!$C$15, $D$11, 100%, $F$11)</f>
        <v>8.6457999999999995</v>
      </c>
      <c r="F231" s="4">
        <f>CHOOSE( CONTROL!$C$32, 9.3269, 9.3267) * CHOOSE(CONTROL!$C$15, $D$11, 100%, $F$11)</f>
        <v>9.3269000000000002</v>
      </c>
      <c r="G231" s="8">
        <f>CHOOSE( CONTROL!$C$32, 8.5576, 8.5573) * CHOOSE( CONTROL!$C$15, $D$11, 100%, $F$11)</f>
        <v>8.5576000000000008</v>
      </c>
      <c r="H231" s="4">
        <f>CHOOSE( CONTROL!$C$32, 9.4644, 9.4641) * CHOOSE(CONTROL!$C$15, $D$11, 100%, $F$11)</f>
        <v>9.4643999999999995</v>
      </c>
      <c r="I231" s="8">
        <f>CHOOSE( CONTROL!$C$32, 8.536, 8.5357) * CHOOSE(CONTROL!$C$15, $D$11, 100%, $F$11)</f>
        <v>8.5359999999999996</v>
      </c>
      <c r="J231" s="4">
        <f>CHOOSE( CONTROL!$C$32, 8.3974, 8.3971) * CHOOSE(CONTROL!$C$15, $D$11, 100%, $F$11)</f>
        <v>8.3973999999999993</v>
      </c>
      <c r="K231" s="4"/>
      <c r="L231" s="9">
        <v>28.360600000000002</v>
      </c>
      <c r="M231" s="9">
        <v>11.6745</v>
      </c>
      <c r="N231" s="9">
        <v>4.7850000000000001</v>
      </c>
      <c r="O231" s="9">
        <v>0.36199999999999999</v>
      </c>
      <c r="P231" s="9">
        <v>1.2509999999999999</v>
      </c>
      <c r="Q231" s="9">
        <v>30.0258</v>
      </c>
      <c r="R231" s="9"/>
      <c r="S231" s="11"/>
    </row>
    <row r="232" spans="1:19" ht="15.75">
      <c r="A232" s="13">
        <v>48183</v>
      </c>
      <c r="B232" s="8">
        <f>CHOOSE( CONTROL!$C$32, 8.6459, 8.6457) * CHOOSE(CONTROL!$C$15, $D$11, 100%, $F$11)</f>
        <v>8.6458999999999993</v>
      </c>
      <c r="C232" s="8">
        <f>CHOOSE( CONTROL!$C$32, 8.651, 8.6507) * CHOOSE(CONTROL!$C$15, $D$11, 100%, $F$11)</f>
        <v>8.6509999999999998</v>
      </c>
      <c r="D232" s="8">
        <f>CHOOSE( CONTROL!$C$32, 8.6207, 8.6204) * CHOOSE( CONTROL!$C$15, $D$11, 100%, $F$11)</f>
        <v>8.6206999999999994</v>
      </c>
      <c r="E232" s="12">
        <f>CHOOSE( CONTROL!$C$32, 8.6312, 8.6309) * CHOOSE( CONTROL!$C$15, $D$11, 100%, $F$11)</f>
        <v>8.6311999999999998</v>
      </c>
      <c r="F232" s="4">
        <f>CHOOSE( CONTROL!$C$32, 9.3112, 9.3109) * CHOOSE(CONTROL!$C$15, $D$11, 100%, $F$11)</f>
        <v>9.3111999999999995</v>
      </c>
      <c r="G232" s="8">
        <f>CHOOSE( CONTROL!$C$32, 8.5434, 8.5431) * CHOOSE( CONTROL!$C$15, $D$11, 100%, $F$11)</f>
        <v>8.5434000000000001</v>
      </c>
      <c r="H232" s="4">
        <f>CHOOSE( CONTROL!$C$32, 9.4488, 9.4485) * CHOOSE(CONTROL!$C$15, $D$11, 100%, $F$11)</f>
        <v>9.4488000000000003</v>
      </c>
      <c r="I232" s="8">
        <f>CHOOSE( CONTROL!$C$32, 8.5264, 8.5261) * CHOOSE(CONTROL!$C$15, $D$11, 100%, $F$11)</f>
        <v>8.5264000000000006</v>
      </c>
      <c r="J232" s="4">
        <f>CHOOSE( CONTROL!$C$32, 8.3821, 8.3819) * CHOOSE(CONTROL!$C$15, $D$11, 100%, $F$11)</f>
        <v>8.3820999999999994</v>
      </c>
      <c r="K232" s="4"/>
      <c r="L232" s="9">
        <v>29.306000000000001</v>
      </c>
      <c r="M232" s="9">
        <v>12.063700000000001</v>
      </c>
      <c r="N232" s="9">
        <v>4.9444999999999997</v>
      </c>
      <c r="O232" s="9">
        <v>0.37409999999999999</v>
      </c>
      <c r="P232" s="9">
        <v>1.2927</v>
      </c>
      <c r="Q232" s="9">
        <v>31.026700000000002</v>
      </c>
      <c r="R232" s="9"/>
      <c r="S232" s="11"/>
    </row>
    <row r="233" spans="1:19" ht="15.75">
      <c r="A233" s="13">
        <v>48214</v>
      </c>
      <c r="B233" s="8">
        <f>CHOOSE( CONTROL!$C$32, 8.9358, 8.9355) * CHOOSE(CONTROL!$C$15, $D$11, 100%, $F$11)</f>
        <v>8.9358000000000004</v>
      </c>
      <c r="C233" s="8">
        <f>CHOOSE( CONTROL!$C$32, 8.9409, 8.9406) * CHOOSE(CONTROL!$C$15, $D$11, 100%, $F$11)</f>
        <v>8.9408999999999992</v>
      </c>
      <c r="D233" s="8">
        <f>CHOOSE( CONTROL!$C$32, 8.9385, 8.9382) * CHOOSE( CONTROL!$C$15, $D$11, 100%, $F$11)</f>
        <v>8.9384999999999994</v>
      </c>
      <c r="E233" s="12">
        <f>CHOOSE( CONTROL!$C$32, 8.9388, 8.9385) * CHOOSE( CONTROL!$C$15, $D$11, 100%, $F$11)</f>
        <v>8.9388000000000005</v>
      </c>
      <c r="F233" s="4">
        <f>CHOOSE( CONTROL!$C$32, 9.6011, 9.6008) * CHOOSE(CONTROL!$C$15, $D$11, 100%, $F$11)</f>
        <v>9.6011000000000006</v>
      </c>
      <c r="G233" s="8">
        <f>CHOOSE( CONTROL!$C$32, 8.846, 8.8457) * CHOOSE( CONTROL!$C$15, $D$11, 100%, $F$11)</f>
        <v>8.8460000000000001</v>
      </c>
      <c r="H233" s="4">
        <f>CHOOSE( CONTROL!$C$32, 9.7353, 9.735) * CHOOSE(CONTROL!$C$15, $D$11, 100%, $F$11)</f>
        <v>9.7353000000000005</v>
      </c>
      <c r="I233" s="8">
        <f>CHOOSE( CONTROL!$C$32, 8.7814, 8.7811) * CHOOSE(CONTROL!$C$15, $D$11, 100%, $F$11)</f>
        <v>8.7813999999999997</v>
      </c>
      <c r="J233" s="4">
        <f>CHOOSE( CONTROL!$C$32, 8.6634, 8.6632) * CHOOSE(CONTROL!$C$15, $D$11, 100%, $F$11)</f>
        <v>8.6633999999999993</v>
      </c>
      <c r="K233" s="4"/>
      <c r="L233" s="9">
        <v>29.306000000000001</v>
      </c>
      <c r="M233" s="9">
        <v>12.063700000000001</v>
      </c>
      <c r="N233" s="9">
        <v>4.9444999999999997</v>
      </c>
      <c r="O233" s="9">
        <v>0.37409999999999999</v>
      </c>
      <c r="P233" s="9">
        <v>1.2927</v>
      </c>
      <c r="Q233" s="9">
        <v>30.8704</v>
      </c>
      <c r="R233" s="9"/>
      <c r="S233" s="11"/>
    </row>
    <row r="234" spans="1:19" ht="15.75">
      <c r="A234" s="13">
        <v>48245</v>
      </c>
      <c r="B234" s="8">
        <f>CHOOSE( CONTROL!$C$32, 8.3587, 8.3584) * CHOOSE(CONTROL!$C$15, $D$11, 100%, $F$11)</f>
        <v>8.3587000000000007</v>
      </c>
      <c r="C234" s="8">
        <f>CHOOSE( CONTROL!$C$32, 8.3638, 8.3635) * CHOOSE(CONTROL!$C$15, $D$11, 100%, $F$11)</f>
        <v>8.3637999999999995</v>
      </c>
      <c r="D234" s="8">
        <f>CHOOSE( CONTROL!$C$32, 8.3438, 8.3435) * CHOOSE( CONTROL!$C$15, $D$11, 100%, $F$11)</f>
        <v>8.3437999999999999</v>
      </c>
      <c r="E234" s="12">
        <f>CHOOSE( CONTROL!$C$32, 8.3506, 8.3503) * CHOOSE( CONTROL!$C$15, $D$11, 100%, $F$11)</f>
        <v>8.3506</v>
      </c>
      <c r="F234" s="4">
        <f>CHOOSE( CONTROL!$C$32, 9.024, 9.0237) * CHOOSE(CONTROL!$C$15, $D$11, 100%, $F$11)</f>
        <v>9.0239999999999991</v>
      </c>
      <c r="G234" s="8">
        <f>CHOOSE( CONTROL!$C$32, 8.2645, 8.2643) * CHOOSE( CONTROL!$C$15, $D$11, 100%, $F$11)</f>
        <v>8.2645</v>
      </c>
      <c r="H234" s="4">
        <f>CHOOSE( CONTROL!$C$32, 9.165, 9.1647) * CHOOSE(CONTROL!$C$15, $D$11, 100%, $F$11)</f>
        <v>9.1649999999999991</v>
      </c>
      <c r="I234" s="8">
        <f>CHOOSE( CONTROL!$C$32, 8.2215, 8.2212) * CHOOSE(CONTROL!$C$15, $D$11, 100%, $F$11)</f>
        <v>8.2215000000000007</v>
      </c>
      <c r="J234" s="4">
        <f>CHOOSE( CONTROL!$C$32, 8.1034, 8.1031) * CHOOSE(CONTROL!$C$15, $D$11, 100%, $F$11)</f>
        <v>8.1034000000000006</v>
      </c>
      <c r="K234" s="4"/>
      <c r="L234" s="9">
        <v>27.415299999999998</v>
      </c>
      <c r="M234" s="9">
        <v>11.285299999999999</v>
      </c>
      <c r="N234" s="9">
        <v>4.6254999999999997</v>
      </c>
      <c r="O234" s="9">
        <v>0.34989999999999999</v>
      </c>
      <c r="P234" s="9">
        <v>1.2093</v>
      </c>
      <c r="Q234" s="9">
        <v>28.878799999999998</v>
      </c>
      <c r="R234" s="9"/>
      <c r="S234" s="11"/>
    </row>
    <row r="235" spans="1:19" ht="15.75">
      <c r="A235" s="13">
        <v>48274</v>
      </c>
      <c r="B235" s="8">
        <f>CHOOSE( CONTROL!$C$32, 8.181, 8.1807) * CHOOSE(CONTROL!$C$15, $D$11, 100%, $F$11)</f>
        <v>8.1809999999999992</v>
      </c>
      <c r="C235" s="8">
        <f>CHOOSE( CONTROL!$C$32, 8.1861, 8.1858) * CHOOSE(CONTROL!$C$15, $D$11, 100%, $F$11)</f>
        <v>8.1860999999999997</v>
      </c>
      <c r="D235" s="8">
        <f>CHOOSE( CONTROL!$C$32, 8.1561, 8.1558) * CHOOSE( CONTROL!$C$15, $D$11, 100%, $F$11)</f>
        <v>8.1561000000000003</v>
      </c>
      <c r="E235" s="12">
        <f>CHOOSE( CONTROL!$C$32, 8.1665, 8.1662) * CHOOSE( CONTROL!$C$15, $D$11, 100%, $F$11)</f>
        <v>8.1664999999999992</v>
      </c>
      <c r="F235" s="4">
        <f>CHOOSE( CONTROL!$C$32, 8.8463, 8.846) * CHOOSE(CONTROL!$C$15, $D$11, 100%, $F$11)</f>
        <v>8.8462999999999994</v>
      </c>
      <c r="G235" s="8">
        <f>CHOOSE( CONTROL!$C$32, 8.0756, 8.0754) * CHOOSE( CONTROL!$C$15, $D$11, 100%, $F$11)</f>
        <v>8.0755999999999997</v>
      </c>
      <c r="H235" s="4">
        <f>CHOOSE( CONTROL!$C$32, 8.9893, 8.989) * CHOOSE(CONTROL!$C$15, $D$11, 100%, $F$11)</f>
        <v>8.9893000000000001</v>
      </c>
      <c r="I235" s="8">
        <f>CHOOSE( CONTROL!$C$32, 8.0137, 8.0134) * CHOOSE(CONTROL!$C$15, $D$11, 100%, $F$11)</f>
        <v>8.0137</v>
      </c>
      <c r="J235" s="4">
        <f>CHOOSE( CONTROL!$C$32, 7.9309, 7.9306) * CHOOSE(CONTROL!$C$15, $D$11, 100%, $F$11)</f>
        <v>7.9309000000000003</v>
      </c>
      <c r="K235" s="4"/>
      <c r="L235" s="9">
        <v>29.306000000000001</v>
      </c>
      <c r="M235" s="9">
        <v>12.063700000000001</v>
      </c>
      <c r="N235" s="9">
        <v>4.9444999999999997</v>
      </c>
      <c r="O235" s="9">
        <v>0.37409999999999999</v>
      </c>
      <c r="P235" s="9">
        <v>1.2927</v>
      </c>
      <c r="Q235" s="9">
        <v>30.8704</v>
      </c>
      <c r="R235" s="9"/>
      <c r="S235" s="11"/>
    </row>
    <row r="236" spans="1:19" ht="15.75">
      <c r="A236" s="13">
        <v>48305</v>
      </c>
      <c r="B236" s="8">
        <f>CHOOSE( CONTROL!$C$32, 8.3059, 8.3057) * CHOOSE(CONTROL!$C$15, $D$11, 100%, $F$11)</f>
        <v>8.3058999999999994</v>
      </c>
      <c r="C236" s="8">
        <f>CHOOSE( CONTROL!$C$32, 8.3105, 8.3102) * CHOOSE(CONTROL!$C$15, $D$11, 100%, $F$11)</f>
        <v>8.3104999999999993</v>
      </c>
      <c r="D236" s="8">
        <f>CHOOSE( CONTROL!$C$32, 8.31, 8.3097) * CHOOSE( CONTROL!$C$15, $D$11, 100%, $F$11)</f>
        <v>8.31</v>
      </c>
      <c r="E236" s="12">
        <f>CHOOSE( CONTROL!$C$32, 8.3096, 8.3094) * CHOOSE( CONTROL!$C$15, $D$11, 100%, $F$11)</f>
        <v>8.3095999999999997</v>
      </c>
      <c r="F236" s="4">
        <f>CHOOSE( CONTROL!$C$32, 9.0143, 9.014) * CHOOSE(CONTROL!$C$15, $D$11, 100%, $F$11)</f>
        <v>9.0143000000000004</v>
      </c>
      <c r="G236" s="8">
        <f>CHOOSE( CONTROL!$C$32, 8.2154, 8.2151) * CHOOSE( CONTROL!$C$15, $D$11, 100%, $F$11)</f>
        <v>8.2154000000000007</v>
      </c>
      <c r="H236" s="4">
        <f>CHOOSE( CONTROL!$C$32, 9.1553, 9.1551) * CHOOSE(CONTROL!$C$15, $D$11, 100%, $F$11)</f>
        <v>9.1553000000000004</v>
      </c>
      <c r="I236" s="8">
        <f>CHOOSE( CONTROL!$C$32, 8.1348, 8.1345) * CHOOSE(CONTROL!$C$15, $D$11, 100%, $F$11)</f>
        <v>8.1348000000000003</v>
      </c>
      <c r="J236" s="4">
        <f>CHOOSE( CONTROL!$C$32, 8.0514, 8.0512) * CHOOSE(CONTROL!$C$15, $D$11, 100%, $F$11)</f>
        <v>8.0513999999999992</v>
      </c>
      <c r="K236" s="4"/>
      <c r="L236" s="9">
        <v>30.092199999999998</v>
      </c>
      <c r="M236" s="9">
        <v>11.6745</v>
      </c>
      <c r="N236" s="9">
        <v>4.7850000000000001</v>
      </c>
      <c r="O236" s="9">
        <v>0.36199999999999999</v>
      </c>
      <c r="P236" s="9">
        <v>1.2509999999999999</v>
      </c>
      <c r="Q236" s="9">
        <v>29.874600000000001</v>
      </c>
      <c r="R236" s="9"/>
      <c r="S236" s="11"/>
    </row>
    <row r="237" spans="1:19" ht="15.75">
      <c r="A237" s="13">
        <v>48335</v>
      </c>
      <c r="B237" s="8">
        <f>CHOOSE( CONTROL!$C$32, 8.5285, 8.5281) * CHOOSE(CONTROL!$C$15, $D$11, 100%, $F$11)</f>
        <v>8.5284999999999993</v>
      </c>
      <c r="C237" s="8">
        <f>CHOOSE( CONTROL!$C$32, 8.5365, 8.5361) * CHOOSE(CONTROL!$C$15, $D$11, 100%, $F$11)</f>
        <v>8.5365000000000002</v>
      </c>
      <c r="D237" s="8">
        <f>CHOOSE( CONTROL!$C$32, 8.5308, 8.5304) * CHOOSE( CONTROL!$C$15, $D$11, 100%, $F$11)</f>
        <v>8.5307999999999993</v>
      </c>
      <c r="E237" s="12">
        <f>CHOOSE( CONTROL!$C$32, 8.5316, 8.5312) * CHOOSE( CONTROL!$C$15, $D$11, 100%, $F$11)</f>
        <v>8.5315999999999992</v>
      </c>
      <c r="F237" s="4">
        <f>CHOOSE( CONTROL!$C$32, 9.2355, 9.235) * CHOOSE(CONTROL!$C$15, $D$11, 100%, $F$11)</f>
        <v>9.2355</v>
      </c>
      <c r="G237" s="8">
        <f>CHOOSE( CONTROL!$C$32, 8.4344, 8.4339) * CHOOSE( CONTROL!$C$15, $D$11, 100%, $F$11)</f>
        <v>8.4344000000000001</v>
      </c>
      <c r="H237" s="4">
        <f>CHOOSE( CONTROL!$C$32, 9.374, 9.3735) * CHOOSE(CONTROL!$C$15, $D$11, 100%, $F$11)</f>
        <v>9.3740000000000006</v>
      </c>
      <c r="I237" s="8">
        <f>CHOOSE( CONTROL!$C$32, 8.3502, 8.3498) * CHOOSE(CONTROL!$C$15, $D$11, 100%, $F$11)</f>
        <v>8.3501999999999992</v>
      </c>
      <c r="J237" s="4">
        <f>CHOOSE( CONTROL!$C$32, 8.2661, 8.2657) * CHOOSE(CONTROL!$C$15, $D$11, 100%, $F$11)</f>
        <v>8.2660999999999998</v>
      </c>
      <c r="K237" s="4"/>
      <c r="L237" s="9">
        <v>30.7165</v>
      </c>
      <c r="M237" s="9">
        <v>12.063700000000001</v>
      </c>
      <c r="N237" s="9">
        <v>4.9444999999999997</v>
      </c>
      <c r="O237" s="9">
        <v>0.37409999999999999</v>
      </c>
      <c r="P237" s="9">
        <v>1.2927</v>
      </c>
      <c r="Q237" s="9">
        <v>30.8704</v>
      </c>
      <c r="R237" s="9"/>
      <c r="S237" s="11"/>
    </row>
    <row r="238" spans="1:19" ht="15.75">
      <c r="A238" s="13">
        <v>48366</v>
      </c>
      <c r="B238" s="8">
        <f>CHOOSE( CONTROL!$C$32, 8.3916, 8.3912) * CHOOSE(CONTROL!$C$15, $D$11, 100%, $F$11)</f>
        <v>8.3916000000000004</v>
      </c>
      <c r="C238" s="8">
        <f>CHOOSE( CONTROL!$C$32, 8.3996, 8.3991) * CHOOSE(CONTROL!$C$15, $D$11, 100%, $F$11)</f>
        <v>8.3995999999999995</v>
      </c>
      <c r="D238" s="8">
        <f>CHOOSE( CONTROL!$C$32, 8.3943, 8.3938) * CHOOSE( CONTROL!$C$15, $D$11, 100%, $F$11)</f>
        <v>8.3942999999999994</v>
      </c>
      <c r="E238" s="12">
        <f>CHOOSE( CONTROL!$C$32, 8.395, 8.3945) * CHOOSE( CONTROL!$C$15, $D$11, 100%, $F$11)</f>
        <v>8.3949999999999996</v>
      </c>
      <c r="F238" s="4">
        <f>CHOOSE( CONTROL!$C$32, 9.0986, 9.0981) * CHOOSE(CONTROL!$C$15, $D$11, 100%, $F$11)</f>
        <v>9.0985999999999994</v>
      </c>
      <c r="G238" s="8">
        <f>CHOOSE( CONTROL!$C$32, 8.2994, 8.2989) * CHOOSE( CONTROL!$C$15, $D$11, 100%, $F$11)</f>
        <v>8.2994000000000003</v>
      </c>
      <c r="H238" s="4">
        <f>CHOOSE( CONTROL!$C$32, 9.2386, 9.2382) * CHOOSE(CONTROL!$C$15, $D$11, 100%, $F$11)</f>
        <v>9.2385999999999999</v>
      </c>
      <c r="I238" s="8">
        <f>CHOOSE( CONTROL!$C$32, 8.2187, 8.2182) * CHOOSE(CONTROL!$C$15, $D$11, 100%, $F$11)</f>
        <v>8.2187000000000001</v>
      </c>
      <c r="J238" s="4">
        <f>CHOOSE( CONTROL!$C$32, 8.1332, 8.1328) * CHOOSE(CONTROL!$C$15, $D$11, 100%, $F$11)</f>
        <v>8.1332000000000004</v>
      </c>
      <c r="K238" s="4"/>
      <c r="L238" s="9">
        <v>29.7257</v>
      </c>
      <c r="M238" s="9">
        <v>11.6745</v>
      </c>
      <c r="N238" s="9">
        <v>4.7850000000000001</v>
      </c>
      <c r="O238" s="9">
        <v>0.36199999999999999</v>
      </c>
      <c r="P238" s="9">
        <v>1.2509999999999999</v>
      </c>
      <c r="Q238" s="9">
        <v>29.874600000000001</v>
      </c>
      <c r="R238" s="9"/>
      <c r="S238" s="11"/>
    </row>
    <row r="239" spans="1:19" ht="15.75">
      <c r="A239" s="13">
        <v>48396</v>
      </c>
      <c r="B239" s="8">
        <f>CHOOSE( CONTROL!$C$32, 8.7522, 8.7518) * CHOOSE(CONTROL!$C$15, $D$11, 100%, $F$11)</f>
        <v>8.7522000000000002</v>
      </c>
      <c r="C239" s="8">
        <f>CHOOSE( CONTROL!$C$32, 8.7602, 8.7597) * CHOOSE(CONTROL!$C$15, $D$11, 100%, $F$11)</f>
        <v>8.7601999999999993</v>
      </c>
      <c r="D239" s="8">
        <f>CHOOSE( CONTROL!$C$32, 8.7553, 8.7549) * CHOOSE( CONTROL!$C$15, $D$11, 100%, $F$11)</f>
        <v>8.7553000000000001</v>
      </c>
      <c r="E239" s="12">
        <f>CHOOSE( CONTROL!$C$32, 8.7559, 8.7554) * CHOOSE( CONTROL!$C$15, $D$11, 100%, $F$11)</f>
        <v>8.7559000000000005</v>
      </c>
      <c r="F239" s="4">
        <f>CHOOSE( CONTROL!$C$32, 9.4591, 9.4587) * CHOOSE(CONTROL!$C$15, $D$11, 100%, $F$11)</f>
        <v>9.4590999999999994</v>
      </c>
      <c r="G239" s="8">
        <f>CHOOSE( CONTROL!$C$32, 8.6561, 8.6556) * CHOOSE( CONTROL!$C$15, $D$11, 100%, $F$11)</f>
        <v>8.6561000000000003</v>
      </c>
      <c r="H239" s="4">
        <f>CHOOSE( CONTROL!$C$32, 9.595, 9.5946) * CHOOSE(CONTROL!$C$15, $D$11, 100%, $F$11)</f>
        <v>9.5950000000000006</v>
      </c>
      <c r="I239" s="8">
        <f>CHOOSE( CONTROL!$C$32, 8.5703, 8.5699) * CHOOSE(CONTROL!$C$15, $D$11, 100%, $F$11)</f>
        <v>8.5702999999999996</v>
      </c>
      <c r="J239" s="4">
        <f>CHOOSE( CONTROL!$C$32, 8.4832, 8.4828) * CHOOSE(CONTROL!$C$15, $D$11, 100%, $F$11)</f>
        <v>8.4832000000000001</v>
      </c>
      <c r="K239" s="4"/>
      <c r="L239" s="9">
        <v>30.7165</v>
      </c>
      <c r="M239" s="9">
        <v>12.063700000000001</v>
      </c>
      <c r="N239" s="9">
        <v>4.9444999999999997</v>
      </c>
      <c r="O239" s="9">
        <v>0.37409999999999999</v>
      </c>
      <c r="P239" s="9">
        <v>1.2927</v>
      </c>
      <c r="Q239" s="9">
        <v>30.8704</v>
      </c>
      <c r="R239" s="9"/>
      <c r="S239" s="11"/>
    </row>
    <row r="240" spans="1:19" ht="15.75">
      <c r="A240" s="13">
        <v>48427</v>
      </c>
      <c r="B240" s="8">
        <f>CHOOSE( CONTROL!$C$32, 8.0775, 8.077) * CHOOSE(CONTROL!$C$15, $D$11, 100%, $F$11)</f>
        <v>8.0775000000000006</v>
      </c>
      <c r="C240" s="8">
        <f>CHOOSE( CONTROL!$C$32, 8.0855, 8.085) * CHOOSE(CONTROL!$C$15, $D$11, 100%, $F$11)</f>
        <v>8.0854999999999997</v>
      </c>
      <c r="D240" s="8">
        <f>CHOOSE( CONTROL!$C$32, 8.0808, 8.0803) * CHOOSE( CONTROL!$C$15, $D$11, 100%, $F$11)</f>
        <v>8.0808</v>
      </c>
      <c r="E240" s="12">
        <f>CHOOSE( CONTROL!$C$32, 8.0813, 8.0808) * CHOOSE( CONTROL!$C$15, $D$11, 100%, $F$11)</f>
        <v>8.0813000000000006</v>
      </c>
      <c r="F240" s="4">
        <f>CHOOSE( CONTROL!$C$32, 8.7844, 8.784) * CHOOSE(CONTROL!$C$15, $D$11, 100%, $F$11)</f>
        <v>8.7843999999999998</v>
      </c>
      <c r="G240" s="8">
        <f>CHOOSE( CONTROL!$C$32, 7.9894, 7.9889) * CHOOSE( CONTROL!$C$15, $D$11, 100%, $F$11)</f>
        <v>7.9893999999999998</v>
      </c>
      <c r="H240" s="4">
        <f>CHOOSE( CONTROL!$C$32, 8.9282, 8.9278) * CHOOSE(CONTROL!$C$15, $D$11, 100%, $F$11)</f>
        <v>8.9282000000000004</v>
      </c>
      <c r="I240" s="8">
        <f>CHOOSE( CONTROL!$C$32, 7.9157, 7.9152) * CHOOSE(CONTROL!$C$15, $D$11, 100%, $F$11)</f>
        <v>7.9157000000000002</v>
      </c>
      <c r="J240" s="4">
        <f>CHOOSE( CONTROL!$C$32, 7.8284, 7.8279) * CHOOSE(CONTROL!$C$15, $D$11, 100%, $F$11)</f>
        <v>7.8284000000000002</v>
      </c>
      <c r="K240" s="4"/>
      <c r="L240" s="9">
        <v>30.7165</v>
      </c>
      <c r="M240" s="9">
        <v>12.063700000000001</v>
      </c>
      <c r="N240" s="9">
        <v>4.9444999999999997</v>
      </c>
      <c r="O240" s="9">
        <v>0.37409999999999999</v>
      </c>
      <c r="P240" s="9">
        <v>1.2927</v>
      </c>
      <c r="Q240" s="9">
        <v>30.8704</v>
      </c>
      <c r="R240" s="9"/>
      <c r="S240" s="11"/>
    </row>
    <row r="241" spans="1:19" ht="15.75">
      <c r="A241" s="13">
        <v>48458</v>
      </c>
      <c r="B241" s="8">
        <f>CHOOSE( CONTROL!$C$32, 7.9085, 7.9081) * CHOOSE(CONTROL!$C$15, $D$11, 100%, $F$11)</f>
        <v>7.9085000000000001</v>
      </c>
      <c r="C241" s="8">
        <f>CHOOSE( CONTROL!$C$32, 7.9165, 7.9161) * CHOOSE(CONTROL!$C$15, $D$11, 100%, $F$11)</f>
        <v>7.9165000000000001</v>
      </c>
      <c r="D241" s="8">
        <f>CHOOSE( CONTROL!$C$32, 7.9117, 7.9112) * CHOOSE( CONTROL!$C$15, $D$11, 100%, $F$11)</f>
        <v>7.9116999999999997</v>
      </c>
      <c r="E241" s="12">
        <f>CHOOSE( CONTROL!$C$32, 7.9122, 7.9118) * CHOOSE( CONTROL!$C$15, $D$11, 100%, $F$11)</f>
        <v>7.9122000000000003</v>
      </c>
      <c r="F241" s="4">
        <f>CHOOSE( CONTROL!$C$32, 8.6155, 8.615) * CHOOSE(CONTROL!$C$15, $D$11, 100%, $F$11)</f>
        <v>8.6155000000000008</v>
      </c>
      <c r="G241" s="8">
        <f>CHOOSE( CONTROL!$C$32, 7.8223, 7.8218) * CHOOSE( CONTROL!$C$15, $D$11, 100%, $F$11)</f>
        <v>7.8223000000000003</v>
      </c>
      <c r="H241" s="4">
        <f>CHOOSE( CONTROL!$C$32, 8.7612, 8.7608) * CHOOSE(CONTROL!$C$15, $D$11, 100%, $F$11)</f>
        <v>8.7612000000000005</v>
      </c>
      <c r="I241" s="8">
        <f>CHOOSE( CONTROL!$C$32, 7.7511, 7.7507) * CHOOSE(CONTROL!$C$15, $D$11, 100%, $F$11)</f>
        <v>7.7511000000000001</v>
      </c>
      <c r="J241" s="4">
        <f>CHOOSE( CONTROL!$C$32, 7.6644, 7.664) * CHOOSE(CONTROL!$C$15, $D$11, 100%, $F$11)</f>
        <v>7.6643999999999997</v>
      </c>
      <c r="K241" s="4"/>
      <c r="L241" s="9">
        <v>29.7257</v>
      </c>
      <c r="M241" s="9">
        <v>11.6745</v>
      </c>
      <c r="N241" s="9">
        <v>4.7850000000000001</v>
      </c>
      <c r="O241" s="9">
        <v>0.36199999999999999</v>
      </c>
      <c r="P241" s="9">
        <v>1.2509999999999999</v>
      </c>
      <c r="Q241" s="9">
        <v>29.874600000000001</v>
      </c>
      <c r="R241" s="9"/>
      <c r="S241" s="11"/>
    </row>
    <row r="242" spans="1:19" ht="15.75">
      <c r="A242" s="13">
        <v>48488</v>
      </c>
      <c r="B242" s="8">
        <f>CHOOSE( CONTROL!$C$32, 8.2574, 8.2572) * CHOOSE(CONTROL!$C$15, $D$11, 100%, $F$11)</f>
        <v>8.2574000000000005</v>
      </c>
      <c r="C242" s="8">
        <f>CHOOSE( CONTROL!$C$32, 8.2628, 8.2625) * CHOOSE(CONTROL!$C$15, $D$11, 100%, $F$11)</f>
        <v>8.2628000000000004</v>
      </c>
      <c r="D242" s="8">
        <f>CHOOSE( CONTROL!$C$32, 8.263, 8.2627) * CHOOSE( CONTROL!$C$15, $D$11, 100%, $F$11)</f>
        <v>8.2629999999999999</v>
      </c>
      <c r="E242" s="12">
        <f>CHOOSE( CONTROL!$C$32, 8.2624, 8.2621) * CHOOSE( CONTROL!$C$15, $D$11, 100%, $F$11)</f>
        <v>8.2623999999999995</v>
      </c>
      <c r="F242" s="4">
        <f>CHOOSE( CONTROL!$C$32, 8.9661, 8.9658) * CHOOSE(CONTROL!$C$15, $D$11, 100%, $F$11)</f>
        <v>8.9661000000000008</v>
      </c>
      <c r="G242" s="8">
        <f>CHOOSE( CONTROL!$C$32, 8.1688, 8.1685) * CHOOSE( CONTROL!$C$15, $D$11, 100%, $F$11)</f>
        <v>8.1687999999999992</v>
      </c>
      <c r="H242" s="4">
        <f>CHOOSE( CONTROL!$C$32, 9.1078, 9.1075) * CHOOSE(CONTROL!$C$15, $D$11, 100%, $F$11)</f>
        <v>9.1077999999999992</v>
      </c>
      <c r="I242" s="8">
        <f>CHOOSE( CONTROL!$C$32, 8.0922, 8.092) * CHOOSE(CONTROL!$C$15, $D$11, 100%, $F$11)</f>
        <v>8.0922000000000001</v>
      </c>
      <c r="J242" s="4">
        <f>CHOOSE( CONTROL!$C$32, 8.0047, 8.0044) * CHOOSE(CONTROL!$C$15, $D$11, 100%, $F$11)</f>
        <v>8.0046999999999997</v>
      </c>
      <c r="K242" s="4"/>
      <c r="L242" s="9">
        <v>31.095300000000002</v>
      </c>
      <c r="M242" s="9">
        <v>12.063700000000001</v>
      </c>
      <c r="N242" s="9">
        <v>4.9444999999999997</v>
      </c>
      <c r="O242" s="9">
        <v>0.37409999999999999</v>
      </c>
      <c r="P242" s="9">
        <v>1.2927</v>
      </c>
      <c r="Q242" s="9">
        <v>30.8704</v>
      </c>
      <c r="R242" s="9"/>
      <c r="S242" s="11"/>
    </row>
    <row r="243" spans="1:19" ht="15.75">
      <c r="A243" s="13">
        <v>48519</v>
      </c>
      <c r="B243" s="8">
        <f>CHOOSE( CONTROL!$C$32, 8.9046, 8.9043) * CHOOSE(CONTROL!$C$15, $D$11, 100%, $F$11)</f>
        <v>8.9046000000000003</v>
      </c>
      <c r="C243" s="8">
        <f>CHOOSE( CONTROL!$C$32, 8.9096, 8.9094) * CHOOSE(CONTROL!$C$15, $D$11, 100%, $F$11)</f>
        <v>8.9095999999999993</v>
      </c>
      <c r="D243" s="8">
        <f>CHOOSE( CONTROL!$C$32, 8.8775, 8.8772) * CHOOSE( CONTROL!$C$15, $D$11, 100%, $F$11)</f>
        <v>8.8774999999999995</v>
      </c>
      <c r="E243" s="12">
        <f>CHOOSE( CONTROL!$C$32, 8.8887, 8.8884) * CHOOSE( CONTROL!$C$15, $D$11, 100%, $F$11)</f>
        <v>8.8887</v>
      </c>
      <c r="F243" s="4">
        <f>CHOOSE( CONTROL!$C$32, 9.5698, 9.5696) * CHOOSE(CONTROL!$C$15, $D$11, 100%, $F$11)</f>
        <v>9.5698000000000008</v>
      </c>
      <c r="G243" s="8">
        <f>CHOOSE( CONTROL!$C$32, 8.7976, 8.7974) * CHOOSE( CONTROL!$C$15, $D$11, 100%, $F$11)</f>
        <v>8.7975999999999992</v>
      </c>
      <c r="H243" s="4">
        <f>CHOOSE( CONTROL!$C$32, 9.7044, 9.7041) * CHOOSE(CONTROL!$C$15, $D$11, 100%, $F$11)</f>
        <v>9.7043999999999997</v>
      </c>
      <c r="I243" s="8">
        <f>CHOOSE( CONTROL!$C$32, 8.7718, 8.7715) * CHOOSE(CONTROL!$C$15, $D$11, 100%, $F$11)</f>
        <v>8.7718000000000007</v>
      </c>
      <c r="J243" s="4">
        <f>CHOOSE( CONTROL!$C$32, 8.6331, 8.6329) * CHOOSE(CONTROL!$C$15, $D$11, 100%, $F$11)</f>
        <v>8.6331000000000007</v>
      </c>
      <c r="K243" s="4"/>
      <c r="L243" s="9">
        <v>28.360600000000002</v>
      </c>
      <c r="M243" s="9">
        <v>11.6745</v>
      </c>
      <c r="N243" s="9">
        <v>4.7850000000000001</v>
      </c>
      <c r="O243" s="9">
        <v>0.36199999999999999</v>
      </c>
      <c r="P243" s="9">
        <v>1.2509999999999999</v>
      </c>
      <c r="Q243" s="9">
        <v>29.874600000000001</v>
      </c>
      <c r="R243" s="9"/>
      <c r="S243" s="11"/>
    </row>
    <row r="244" spans="1:19" ht="15.75">
      <c r="A244" s="13">
        <v>48549</v>
      </c>
      <c r="B244" s="8">
        <f>CHOOSE( CONTROL!$C$32, 8.8884, 8.8881) * CHOOSE(CONTROL!$C$15, $D$11, 100%, $F$11)</f>
        <v>8.8884000000000007</v>
      </c>
      <c r="C244" s="8">
        <f>CHOOSE( CONTROL!$C$32, 8.8935, 8.8932) * CHOOSE(CONTROL!$C$15, $D$11, 100%, $F$11)</f>
        <v>8.8934999999999995</v>
      </c>
      <c r="D244" s="8">
        <f>CHOOSE( CONTROL!$C$32, 8.8632, 8.8629) * CHOOSE( CONTROL!$C$15, $D$11, 100%, $F$11)</f>
        <v>8.8632000000000009</v>
      </c>
      <c r="E244" s="12">
        <f>CHOOSE( CONTROL!$C$32, 8.8737, 8.8734) * CHOOSE( CONTROL!$C$15, $D$11, 100%, $F$11)</f>
        <v>8.8736999999999995</v>
      </c>
      <c r="F244" s="4">
        <f>CHOOSE( CONTROL!$C$32, 9.5537, 9.5534) * CHOOSE(CONTROL!$C$15, $D$11, 100%, $F$11)</f>
        <v>9.5536999999999992</v>
      </c>
      <c r="G244" s="8">
        <f>CHOOSE( CONTROL!$C$32, 8.783, 8.7827) * CHOOSE( CONTROL!$C$15, $D$11, 100%, $F$11)</f>
        <v>8.7829999999999995</v>
      </c>
      <c r="H244" s="4">
        <f>CHOOSE( CONTROL!$C$32, 9.6884, 9.6882) * CHOOSE(CONTROL!$C$15, $D$11, 100%, $F$11)</f>
        <v>9.6883999999999997</v>
      </c>
      <c r="I244" s="8">
        <f>CHOOSE( CONTROL!$C$32, 8.7618, 8.7615) * CHOOSE(CONTROL!$C$15, $D$11, 100%, $F$11)</f>
        <v>8.7617999999999991</v>
      </c>
      <c r="J244" s="4">
        <f>CHOOSE( CONTROL!$C$32, 8.6174, 8.6172) * CHOOSE(CONTROL!$C$15, $D$11, 100%, $F$11)</f>
        <v>8.6173999999999999</v>
      </c>
      <c r="K244" s="4"/>
      <c r="L244" s="9">
        <v>29.306000000000001</v>
      </c>
      <c r="M244" s="9">
        <v>12.063700000000001</v>
      </c>
      <c r="N244" s="9">
        <v>4.9444999999999997</v>
      </c>
      <c r="O244" s="9">
        <v>0.37409999999999999</v>
      </c>
      <c r="P244" s="9">
        <v>1.2927</v>
      </c>
      <c r="Q244" s="9">
        <v>30.8704</v>
      </c>
      <c r="R244" s="9"/>
      <c r="S244" s="11"/>
    </row>
    <row r="245" spans="1:19" ht="15.75">
      <c r="A245" s="13">
        <v>48580</v>
      </c>
      <c r="B245" s="8">
        <f>CHOOSE( CONTROL!$C$32, 9.1811, 9.1808) * CHOOSE(CONTROL!$C$15, $D$11, 100%, $F$11)</f>
        <v>9.1811000000000007</v>
      </c>
      <c r="C245" s="8">
        <f>CHOOSE( CONTROL!$C$32, 9.1862, 9.1859) * CHOOSE(CONTROL!$C$15, $D$11, 100%, $F$11)</f>
        <v>9.1861999999999995</v>
      </c>
      <c r="D245" s="8">
        <f>CHOOSE( CONTROL!$C$32, 9.1838, 9.1835) * CHOOSE( CONTROL!$C$15, $D$11, 100%, $F$11)</f>
        <v>9.1837999999999997</v>
      </c>
      <c r="E245" s="12">
        <f>CHOOSE( CONTROL!$C$32, 9.1841, 9.1838) * CHOOSE( CONTROL!$C$15, $D$11, 100%, $F$11)</f>
        <v>9.1841000000000008</v>
      </c>
      <c r="F245" s="4">
        <f>CHOOSE( CONTROL!$C$32, 9.8464, 9.8461) * CHOOSE(CONTROL!$C$15, $D$11, 100%, $F$11)</f>
        <v>9.8463999999999992</v>
      </c>
      <c r="G245" s="8">
        <f>CHOOSE( CONTROL!$C$32, 9.0884, 9.0881) * CHOOSE( CONTROL!$C$15, $D$11, 100%, $F$11)</f>
        <v>9.0884</v>
      </c>
      <c r="H245" s="4">
        <f>CHOOSE( CONTROL!$C$32, 9.9777, 9.9774) * CHOOSE(CONTROL!$C$15, $D$11, 100%, $F$11)</f>
        <v>9.9777000000000005</v>
      </c>
      <c r="I245" s="8">
        <f>CHOOSE( CONTROL!$C$32, 9.0196, 9.0193) * CHOOSE(CONTROL!$C$15, $D$11, 100%, $F$11)</f>
        <v>9.0196000000000005</v>
      </c>
      <c r="J245" s="4">
        <f>CHOOSE( CONTROL!$C$32, 8.9015, 8.9012) * CHOOSE(CONTROL!$C$15, $D$11, 100%, $F$11)</f>
        <v>8.9015000000000004</v>
      </c>
      <c r="K245" s="4"/>
      <c r="L245" s="9">
        <v>29.306000000000001</v>
      </c>
      <c r="M245" s="9">
        <v>12.063700000000001</v>
      </c>
      <c r="N245" s="9">
        <v>4.9444999999999997</v>
      </c>
      <c r="O245" s="9">
        <v>0.37409999999999999</v>
      </c>
      <c r="P245" s="9">
        <v>1.2927</v>
      </c>
      <c r="Q245" s="9">
        <v>30.773700000000002</v>
      </c>
      <c r="R245" s="9"/>
      <c r="S245" s="11"/>
    </row>
    <row r="246" spans="1:19" ht="15.75">
      <c r="A246" s="13">
        <v>48611</v>
      </c>
      <c r="B246" s="8">
        <f>CHOOSE( CONTROL!$C$32, 8.5881, 8.5879) * CHOOSE(CONTROL!$C$15, $D$11, 100%, $F$11)</f>
        <v>8.5881000000000007</v>
      </c>
      <c r="C246" s="8">
        <f>CHOOSE( CONTROL!$C$32, 8.5932, 8.593) * CHOOSE(CONTROL!$C$15, $D$11, 100%, $F$11)</f>
        <v>8.5931999999999995</v>
      </c>
      <c r="D246" s="8">
        <f>CHOOSE( CONTROL!$C$32, 8.5732, 8.5729) * CHOOSE( CONTROL!$C$15, $D$11, 100%, $F$11)</f>
        <v>8.5731999999999999</v>
      </c>
      <c r="E246" s="12">
        <f>CHOOSE( CONTROL!$C$32, 8.58, 8.5797) * CHOOSE( CONTROL!$C$15, $D$11, 100%, $F$11)</f>
        <v>8.58</v>
      </c>
      <c r="F246" s="4">
        <f>CHOOSE( CONTROL!$C$32, 9.2534, 9.2532) * CHOOSE(CONTROL!$C$15, $D$11, 100%, $F$11)</f>
        <v>9.2533999999999992</v>
      </c>
      <c r="G246" s="8">
        <f>CHOOSE( CONTROL!$C$32, 8.4913, 8.491) * CHOOSE( CONTROL!$C$15, $D$11, 100%, $F$11)</f>
        <v>8.4913000000000007</v>
      </c>
      <c r="H246" s="4">
        <f>CHOOSE( CONTROL!$C$32, 9.3917, 9.3914) * CHOOSE(CONTROL!$C$15, $D$11, 100%, $F$11)</f>
        <v>9.3917000000000002</v>
      </c>
      <c r="I246" s="8">
        <f>CHOOSE( CONTROL!$C$32, 8.4442, 8.444) * CHOOSE(CONTROL!$C$15, $D$11, 100%, $F$11)</f>
        <v>8.4442000000000004</v>
      </c>
      <c r="J246" s="4">
        <f>CHOOSE( CONTROL!$C$32, 8.326, 8.3258) * CHOOSE(CONTROL!$C$15, $D$11, 100%, $F$11)</f>
        <v>8.3260000000000005</v>
      </c>
      <c r="K246" s="4"/>
      <c r="L246" s="9">
        <v>26.469899999999999</v>
      </c>
      <c r="M246" s="9">
        <v>10.8962</v>
      </c>
      <c r="N246" s="9">
        <v>4.4660000000000002</v>
      </c>
      <c r="O246" s="9">
        <v>0.33789999999999998</v>
      </c>
      <c r="P246" s="9">
        <v>1.1676</v>
      </c>
      <c r="Q246" s="9">
        <v>27.7956</v>
      </c>
      <c r="R246" s="9"/>
      <c r="S246" s="11"/>
    </row>
    <row r="247" spans="1:19" ht="15.75">
      <c r="A247" s="13">
        <v>48639</v>
      </c>
      <c r="B247" s="8">
        <f>CHOOSE( CONTROL!$C$32, 8.4055, 8.4053) * CHOOSE(CONTROL!$C$15, $D$11, 100%, $F$11)</f>
        <v>8.4055</v>
      </c>
      <c r="C247" s="8">
        <f>CHOOSE( CONTROL!$C$32, 8.4106, 8.4103) * CHOOSE(CONTROL!$C$15, $D$11, 100%, $F$11)</f>
        <v>8.4106000000000005</v>
      </c>
      <c r="D247" s="8">
        <f>CHOOSE( CONTROL!$C$32, 8.3806, 8.3803) * CHOOSE( CONTROL!$C$15, $D$11, 100%, $F$11)</f>
        <v>8.3805999999999994</v>
      </c>
      <c r="E247" s="12">
        <f>CHOOSE( CONTROL!$C$32, 8.391, 8.3907) * CHOOSE( CONTROL!$C$15, $D$11, 100%, $F$11)</f>
        <v>8.391</v>
      </c>
      <c r="F247" s="4">
        <f>CHOOSE( CONTROL!$C$32, 9.0708, 9.0705) * CHOOSE(CONTROL!$C$15, $D$11, 100%, $F$11)</f>
        <v>9.0708000000000002</v>
      </c>
      <c r="G247" s="8">
        <f>CHOOSE( CONTROL!$C$32, 8.2975, 8.2973) * CHOOSE( CONTROL!$C$15, $D$11, 100%, $F$11)</f>
        <v>8.2974999999999994</v>
      </c>
      <c r="H247" s="4">
        <f>CHOOSE( CONTROL!$C$32, 9.2112, 9.211) * CHOOSE(CONTROL!$C$15, $D$11, 100%, $F$11)</f>
        <v>9.2111999999999998</v>
      </c>
      <c r="I247" s="8">
        <f>CHOOSE( CONTROL!$C$32, 8.2317, 8.2314) * CHOOSE(CONTROL!$C$15, $D$11, 100%, $F$11)</f>
        <v>8.2317</v>
      </c>
      <c r="J247" s="4">
        <f>CHOOSE( CONTROL!$C$32, 8.1488, 8.1485) * CHOOSE(CONTROL!$C$15, $D$11, 100%, $F$11)</f>
        <v>8.1487999999999996</v>
      </c>
      <c r="K247" s="4"/>
      <c r="L247" s="9">
        <v>29.306000000000001</v>
      </c>
      <c r="M247" s="9">
        <v>12.063700000000001</v>
      </c>
      <c r="N247" s="9">
        <v>4.9444999999999997</v>
      </c>
      <c r="O247" s="9">
        <v>0.37409999999999999</v>
      </c>
      <c r="P247" s="9">
        <v>1.2927</v>
      </c>
      <c r="Q247" s="9">
        <v>30.773700000000002</v>
      </c>
      <c r="R247" s="9"/>
      <c r="S247" s="11"/>
    </row>
    <row r="248" spans="1:19" ht="15.75">
      <c r="A248" s="13">
        <v>48670</v>
      </c>
      <c r="B248" s="8">
        <f>CHOOSE( CONTROL!$C$32, 8.5339, 8.5336) * CHOOSE(CONTROL!$C$15, $D$11, 100%, $F$11)</f>
        <v>8.5338999999999992</v>
      </c>
      <c r="C248" s="8">
        <f>CHOOSE( CONTROL!$C$32, 8.5384, 8.5381) * CHOOSE(CONTROL!$C$15, $D$11, 100%, $F$11)</f>
        <v>8.5383999999999993</v>
      </c>
      <c r="D248" s="8">
        <f>CHOOSE( CONTROL!$C$32, 8.5379, 8.5376) * CHOOSE( CONTROL!$C$15, $D$11, 100%, $F$11)</f>
        <v>8.5379000000000005</v>
      </c>
      <c r="E248" s="12">
        <f>CHOOSE( CONTROL!$C$32, 8.5376, 8.5373) * CHOOSE( CONTROL!$C$15, $D$11, 100%, $F$11)</f>
        <v>8.5375999999999994</v>
      </c>
      <c r="F248" s="4">
        <f>CHOOSE( CONTROL!$C$32, 9.2422, 9.2419) * CHOOSE(CONTROL!$C$15, $D$11, 100%, $F$11)</f>
        <v>9.2422000000000004</v>
      </c>
      <c r="G248" s="8">
        <f>CHOOSE( CONTROL!$C$32, 8.4407, 8.4404) * CHOOSE( CONTROL!$C$15, $D$11, 100%, $F$11)</f>
        <v>8.4406999999999996</v>
      </c>
      <c r="H248" s="4">
        <f>CHOOSE( CONTROL!$C$32, 9.3806, 9.3804) * CHOOSE(CONTROL!$C$15, $D$11, 100%, $F$11)</f>
        <v>9.3805999999999994</v>
      </c>
      <c r="I248" s="8">
        <f>CHOOSE( CONTROL!$C$32, 8.3562, 8.3559) * CHOOSE(CONTROL!$C$15, $D$11, 100%, $F$11)</f>
        <v>8.3561999999999994</v>
      </c>
      <c r="J248" s="4">
        <f>CHOOSE( CONTROL!$C$32, 8.2727, 8.2724) * CHOOSE(CONTROL!$C$15, $D$11, 100%, $F$11)</f>
        <v>8.2727000000000004</v>
      </c>
      <c r="K248" s="4"/>
      <c r="L248" s="9">
        <v>30.092199999999998</v>
      </c>
      <c r="M248" s="9">
        <v>11.6745</v>
      </c>
      <c r="N248" s="9">
        <v>4.7850000000000001</v>
      </c>
      <c r="O248" s="9">
        <v>0.36199999999999999</v>
      </c>
      <c r="P248" s="9">
        <v>1.2509999999999999</v>
      </c>
      <c r="Q248" s="9">
        <v>29.780999999999999</v>
      </c>
      <c r="R248" s="9"/>
      <c r="S248" s="11"/>
    </row>
    <row r="249" spans="1:19" ht="15.75">
      <c r="A249" s="13">
        <v>48700</v>
      </c>
      <c r="B249" s="8">
        <f>CHOOSE( CONTROL!$C$32, 8.7626, 8.7621) * CHOOSE(CONTROL!$C$15, $D$11, 100%, $F$11)</f>
        <v>8.7626000000000008</v>
      </c>
      <c r="C249" s="8">
        <f>CHOOSE( CONTROL!$C$32, 8.7705, 8.7701) * CHOOSE(CONTROL!$C$15, $D$11, 100%, $F$11)</f>
        <v>8.7705000000000002</v>
      </c>
      <c r="D249" s="8">
        <f>CHOOSE( CONTROL!$C$32, 8.7648, 8.7644) * CHOOSE( CONTROL!$C$15, $D$11, 100%, $F$11)</f>
        <v>8.7647999999999993</v>
      </c>
      <c r="E249" s="12">
        <f>CHOOSE( CONTROL!$C$32, 8.7657, 8.7652) * CHOOSE( CONTROL!$C$15, $D$11, 100%, $F$11)</f>
        <v>8.7657000000000007</v>
      </c>
      <c r="F249" s="4">
        <f>CHOOSE( CONTROL!$C$32, 9.4695, 9.4691) * CHOOSE(CONTROL!$C$15, $D$11, 100%, $F$11)</f>
        <v>9.4695</v>
      </c>
      <c r="G249" s="8">
        <f>CHOOSE( CONTROL!$C$32, 8.6656, 8.6652) * CHOOSE( CONTROL!$C$15, $D$11, 100%, $F$11)</f>
        <v>8.6655999999999995</v>
      </c>
      <c r="H249" s="4">
        <f>CHOOSE( CONTROL!$C$32, 9.6053, 9.6048) * CHOOSE(CONTROL!$C$15, $D$11, 100%, $F$11)</f>
        <v>9.6052999999999997</v>
      </c>
      <c r="I249" s="8">
        <f>CHOOSE( CONTROL!$C$32, 8.5774, 8.577) * CHOOSE(CONTROL!$C$15, $D$11, 100%, $F$11)</f>
        <v>8.5774000000000008</v>
      </c>
      <c r="J249" s="4">
        <f>CHOOSE( CONTROL!$C$32, 8.4933, 8.4928) * CHOOSE(CONTROL!$C$15, $D$11, 100%, $F$11)</f>
        <v>8.4932999999999996</v>
      </c>
      <c r="K249" s="4"/>
      <c r="L249" s="9">
        <v>30.7165</v>
      </c>
      <c r="M249" s="9">
        <v>12.063700000000001</v>
      </c>
      <c r="N249" s="9">
        <v>4.9444999999999997</v>
      </c>
      <c r="O249" s="9">
        <v>0.37409999999999999</v>
      </c>
      <c r="P249" s="9">
        <v>1.2927</v>
      </c>
      <c r="Q249" s="9">
        <v>30.773700000000002</v>
      </c>
      <c r="R249" s="9"/>
      <c r="S249" s="11"/>
    </row>
    <row r="250" spans="1:19" ht="15.75">
      <c r="A250" s="13">
        <v>48731</v>
      </c>
      <c r="B250" s="8">
        <f>CHOOSE( CONTROL!$C$32, 8.6219, 8.6214) * CHOOSE(CONTROL!$C$15, $D$11, 100%, $F$11)</f>
        <v>8.6219000000000001</v>
      </c>
      <c r="C250" s="8">
        <f>CHOOSE( CONTROL!$C$32, 8.6299, 8.6294) * CHOOSE(CONTROL!$C$15, $D$11, 100%, $F$11)</f>
        <v>8.6298999999999992</v>
      </c>
      <c r="D250" s="8">
        <f>CHOOSE( CONTROL!$C$32, 8.6246, 8.6241) * CHOOSE( CONTROL!$C$15, $D$11, 100%, $F$11)</f>
        <v>8.6245999999999992</v>
      </c>
      <c r="E250" s="12">
        <f>CHOOSE( CONTROL!$C$32, 8.6253, 8.6248) * CHOOSE( CONTROL!$C$15, $D$11, 100%, $F$11)</f>
        <v>8.6252999999999993</v>
      </c>
      <c r="F250" s="4">
        <f>CHOOSE( CONTROL!$C$32, 9.3288, 9.3284) * CHOOSE(CONTROL!$C$15, $D$11, 100%, $F$11)</f>
        <v>9.3287999999999993</v>
      </c>
      <c r="G250" s="8">
        <f>CHOOSE( CONTROL!$C$32, 8.5269, 8.5265) * CHOOSE( CONTROL!$C$15, $D$11, 100%, $F$11)</f>
        <v>8.5268999999999995</v>
      </c>
      <c r="H250" s="4">
        <f>CHOOSE( CONTROL!$C$32, 9.4662, 9.4658) * CHOOSE(CONTROL!$C$15, $D$11, 100%, $F$11)</f>
        <v>9.4662000000000006</v>
      </c>
      <c r="I250" s="8">
        <f>CHOOSE( CONTROL!$C$32, 8.4422, 8.4418) * CHOOSE(CONTROL!$C$15, $D$11, 100%, $F$11)</f>
        <v>8.4421999999999997</v>
      </c>
      <c r="J250" s="4">
        <f>CHOOSE( CONTROL!$C$32, 8.3567, 8.3563) * CHOOSE(CONTROL!$C$15, $D$11, 100%, $F$11)</f>
        <v>8.3567</v>
      </c>
      <c r="K250" s="4"/>
      <c r="L250" s="9">
        <v>29.7257</v>
      </c>
      <c r="M250" s="9">
        <v>11.6745</v>
      </c>
      <c r="N250" s="9">
        <v>4.7850000000000001</v>
      </c>
      <c r="O250" s="9">
        <v>0.36199999999999999</v>
      </c>
      <c r="P250" s="9">
        <v>1.2509999999999999</v>
      </c>
      <c r="Q250" s="9">
        <v>29.780999999999999</v>
      </c>
      <c r="R250" s="9"/>
      <c r="S250" s="11"/>
    </row>
    <row r="251" spans="1:19" ht="15.75">
      <c r="A251" s="13">
        <v>48761</v>
      </c>
      <c r="B251" s="8">
        <f>CHOOSE( CONTROL!$C$32, 8.9924, 8.9919) * CHOOSE(CONTROL!$C$15, $D$11, 100%, $F$11)</f>
        <v>8.9923999999999999</v>
      </c>
      <c r="C251" s="8">
        <f>CHOOSE( CONTROL!$C$32, 9.0004, 8.9999) * CHOOSE(CONTROL!$C$15, $D$11, 100%, $F$11)</f>
        <v>9.0004000000000008</v>
      </c>
      <c r="D251" s="8">
        <f>CHOOSE( CONTROL!$C$32, 8.9955, 8.9951) * CHOOSE( CONTROL!$C$15, $D$11, 100%, $F$11)</f>
        <v>8.9954999999999998</v>
      </c>
      <c r="E251" s="12">
        <f>CHOOSE( CONTROL!$C$32, 8.9961, 8.9956) * CHOOSE( CONTROL!$C$15, $D$11, 100%, $F$11)</f>
        <v>8.9961000000000002</v>
      </c>
      <c r="F251" s="4">
        <f>CHOOSE( CONTROL!$C$32, 9.6993, 9.6989) * CHOOSE(CONTROL!$C$15, $D$11, 100%, $F$11)</f>
        <v>9.6992999999999991</v>
      </c>
      <c r="G251" s="8">
        <f>CHOOSE( CONTROL!$C$32, 8.8935, 8.893) * CHOOSE( CONTROL!$C$15, $D$11, 100%, $F$11)</f>
        <v>8.8934999999999995</v>
      </c>
      <c r="H251" s="4">
        <f>CHOOSE( CONTROL!$C$32, 9.8324, 9.8319) * CHOOSE(CONTROL!$C$15, $D$11, 100%, $F$11)</f>
        <v>9.8323999999999998</v>
      </c>
      <c r="I251" s="8">
        <f>CHOOSE( CONTROL!$C$32, 8.8035, 8.8031) * CHOOSE(CONTROL!$C$15, $D$11, 100%, $F$11)</f>
        <v>8.8034999999999997</v>
      </c>
      <c r="J251" s="4">
        <f>CHOOSE( CONTROL!$C$32, 8.7163, 8.7158) * CHOOSE(CONTROL!$C$15, $D$11, 100%, $F$11)</f>
        <v>8.7163000000000004</v>
      </c>
      <c r="K251" s="4"/>
      <c r="L251" s="9">
        <v>30.7165</v>
      </c>
      <c r="M251" s="9">
        <v>12.063700000000001</v>
      </c>
      <c r="N251" s="9">
        <v>4.9444999999999997</v>
      </c>
      <c r="O251" s="9">
        <v>0.37409999999999999</v>
      </c>
      <c r="P251" s="9">
        <v>1.2927</v>
      </c>
      <c r="Q251" s="9">
        <v>30.773700000000002</v>
      </c>
      <c r="R251" s="9"/>
      <c r="S251" s="11"/>
    </row>
    <row r="252" spans="1:19" ht="15.75">
      <c r="A252" s="13">
        <v>48792</v>
      </c>
      <c r="B252" s="8">
        <f>CHOOSE( CONTROL!$C$32, 8.2991, 8.2987) * CHOOSE(CONTROL!$C$15, $D$11, 100%, $F$11)</f>
        <v>8.2990999999999993</v>
      </c>
      <c r="C252" s="8">
        <f>CHOOSE( CONTROL!$C$32, 8.3071, 8.3067) * CHOOSE(CONTROL!$C$15, $D$11, 100%, $F$11)</f>
        <v>8.3071000000000002</v>
      </c>
      <c r="D252" s="8">
        <f>CHOOSE( CONTROL!$C$32, 8.3024, 8.3019) * CHOOSE( CONTROL!$C$15, $D$11, 100%, $F$11)</f>
        <v>8.3024000000000004</v>
      </c>
      <c r="E252" s="12">
        <f>CHOOSE( CONTROL!$C$32, 8.3029, 8.3024) * CHOOSE( CONTROL!$C$15, $D$11, 100%, $F$11)</f>
        <v>8.3028999999999993</v>
      </c>
      <c r="F252" s="4">
        <f>CHOOSE( CONTROL!$C$32, 9.0061, 9.0056) * CHOOSE(CONTROL!$C$15, $D$11, 100%, $F$11)</f>
        <v>9.0061</v>
      </c>
      <c r="G252" s="8">
        <f>CHOOSE( CONTROL!$C$32, 8.2084, 8.208) * CHOOSE( CONTROL!$C$15, $D$11, 100%, $F$11)</f>
        <v>8.2083999999999993</v>
      </c>
      <c r="H252" s="4">
        <f>CHOOSE( CONTROL!$C$32, 9.1472, 9.1468) * CHOOSE(CONTROL!$C$15, $D$11, 100%, $F$11)</f>
        <v>9.1471999999999998</v>
      </c>
      <c r="I252" s="8">
        <f>CHOOSE( CONTROL!$C$32, 8.1309, 8.1304) * CHOOSE(CONTROL!$C$15, $D$11, 100%, $F$11)</f>
        <v>8.1309000000000005</v>
      </c>
      <c r="J252" s="4">
        <f>CHOOSE( CONTROL!$C$32, 8.0435, 8.043) * CHOOSE(CONTROL!$C$15, $D$11, 100%, $F$11)</f>
        <v>8.0434999999999999</v>
      </c>
      <c r="K252" s="4"/>
      <c r="L252" s="9">
        <v>30.7165</v>
      </c>
      <c r="M252" s="9">
        <v>12.063700000000001</v>
      </c>
      <c r="N252" s="9">
        <v>4.9444999999999997</v>
      </c>
      <c r="O252" s="9">
        <v>0.37409999999999999</v>
      </c>
      <c r="P252" s="9">
        <v>1.2927</v>
      </c>
      <c r="Q252" s="9">
        <v>30.773700000000002</v>
      </c>
      <c r="R252" s="9"/>
      <c r="S252" s="11"/>
    </row>
    <row r="253" spans="1:19" ht="15.75">
      <c r="A253" s="13">
        <v>48823</v>
      </c>
      <c r="B253" s="8">
        <f>CHOOSE( CONTROL!$C$32, 8.1255, 8.1251) * CHOOSE(CONTROL!$C$15, $D$11, 100%, $F$11)</f>
        <v>8.1255000000000006</v>
      </c>
      <c r="C253" s="8">
        <f>CHOOSE( CONTROL!$C$32, 8.1335, 8.1331) * CHOOSE(CONTROL!$C$15, $D$11, 100%, $F$11)</f>
        <v>8.1334999999999997</v>
      </c>
      <c r="D253" s="8">
        <f>CHOOSE( CONTROL!$C$32, 8.1286, 8.1282) * CHOOSE( CONTROL!$C$15, $D$11, 100%, $F$11)</f>
        <v>8.1286000000000005</v>
      </c>
      <c r="E253" s="12">
        <f>CHOOSE( CONTROL!$C$32, 8.1292, 8.1288) * CHOOSE( CONTROL!$C$15, $D$11, 100%, $F$11)</f>
        <v>8.1292000000000009</v>
      </c>
      <c r="F253" s="4">
        <f>CHOOSE( CONTROL!$C$32, 8.8325, 8.832) * CHOOSE(CONTROL!$C$15, $D$11, 100%, $F$11)</f>
        <v>8.8324999999999996</v>
      </c>
      <c r="G253" s="8">
        <f>CHOOSE( CONTROL!$C$32, 8.0367, 8.0363) * CHOOSE( CONTROL!$C$15, $D$11, 100%, $F$11)</f>
        <v>8.0366999999999997</v>
      </c>
      <c r="H253" s="4">
        <f>CHOOSE( CONTROL!$C$32, 8.9757, 8.9752) * CHOOSE(CONTROL!$C$15, $D$11, 100%, $F$11)</f>
        <v>8.9756999999999998</v>
      </c>
      <c r="I253" s="8">
        <f>CHOOSE( CONTROL!$C$32, 7.9618, 7.9614) * CHOOSE(CONTROL!$C$15, $D$11, 100%, $F$11)</f>
        <v>7.9618000000000002</v>
      </c>
      <c r="J253" s="4">
        <f>CHOOSE( CONTROL!$C$32, 7.875, 7.8746) * CHOOSE(CONTROL!$C$15, $D$11, 100%, $F$11)</f>
        <v>7.875</v>
      </c>
      <c r="K253" s="4"/>
      <c r="L253" s="9">
        <v>29.7257</v>
      </c>
      <c r="M253" s="9">
        <v>11.6745</v>
      </c>
      <c r="N253" s="9">
        <v>4.7850000000000001</v>
      </c>
      <c r="O253" s="9">
        <v>0.36199999999999999</v>
      </c>
      <c r="P253" s="9">
        <v>1.2509999999999999</v>
      </c>
      <c r="Q253" s="9">
        <v>29.780999999999999</v>
      </c>
      <c r="R253" s="9"/>
      <c r="S253" s="11"/>
    </row>
    <row r="254" spans="1:19" ht="15.75">
      <c r="A254" s="13">
        <v>48853</v>
      </c>
      <c r="B254" s="8">
        <f>CHOOSE( CONTROL!$C$32, 8.4841, 8.4838) * CHOOSE(CONTROL!$C$15, $D$11, 100%, $F$11)</f>
        <v>8.4840999999999998</v>
      </c>
      <c r="C254" s="8">
        <f>CHOOSE( CONTROL!$C$32, 8.4894, 8.4891) * CHOOSE(CONTROL!$C$15, $D$11, 100%, $F$11)</f>
        <v>8.4893999999999998</v>
      </c>
      <c r="D254" s="8">
        <f>CHOOSE( CONTROL!$C$32, 8.4896, 8.4893) * CHOOSE( CONTROL!$C$15, $D$11, 100%, $F$11)</f>
        <v>8.4895999999999994</v>
      </c>
      <c r="E254" s="12">
        <f>CHOOSE( CONTROL!$C$32, 8.489, 8.4887) * CHOOSE( CONTROL!$C$15, $D$11, 100%, $F$11)</f>
        <v>8.4890000000000008</v>
      </c>
      <c r="F254" s="4">
        <f>CHOOSE( CONTROL!$C$32, 9.1927, 9.1925) * CHOOSE(CONTROL!$C$15, $D$11, 100%, $F$11)</f>
        <v>9.1927000000000003</v>
      </c>
      <c r="G254" s="8">
        <f>CHOOSE( CONTROL!$C$32, 8.3927, 8.3925) * CHOOSE( CONTROL!$C$15, $D$11, 100%, $F$11)</f>
        <v>8.3926999999999996</v>
      </c>
      <c r="H254" s="4">
        <f>CHOOSE( CONTROL!$C$32, 9.3317, 9.3315) * CHOOSE(CONTROL!$C$15, $D$11, 100%, $F$11)</f>
        <v>9.3316999999999997</v>
      </c>
      <c r="I254" s="8">
        <f>CHOOSE( CONTROL!$C$32, 8.3123, 8.312) * CHOOSE(CONTROL!$C$15, $D$11, 100%, $F$11)</f>
        <v>8.3123000000000005</v>
      </c>
      <c r="J254" s="4">
        <f>CHOOSE( CONTROL!$C$32, 8.2246, 8.2244) * CHOOSE(CONTROL!$C$15, $D$11, 100%, $F$11)</f>
        <v>8.2246000000000006</v>
      </c>
      <c r="K254" s="4"/>
      <c r="L254" s="9">
        <v>31.095300000000002</v>
      </c>
      <c r="M254" s="9">
        <v>12.063700000000001</v>
      </c>
      <c r="N254" s="9">
        <v>4.9444999999999997</v>
      </c>
      <c r="O254" s="9">
        <v>0.37409999999999999</v>
      </c>
      <c r="P254" s="9">
        <v>1.2927</v>
      </c>
      <c r="Q254" s="9">
        <v>30.773700000000002</v>
      </c>
      <c r="R254" s="9"/>
      <c r="S254" s="11"/>
    </row>
    <row r="255" spans="1:19" ht="15.75">
      <c r="A255" s="13">
        <v>48884</v>
      </c>
      <c r="B255" s="8">
        <f>CHOOSE( CONTROL!$C$32, 9.149, 9.1487) * CHOOSE(CONTROL!$C$15, $D$11, 100%, $F$11)</f>
        <v>9.1489999999999991</v>
      </c>
      <c r="C255" s="8">
        <f>CHOOSE( CONTROL!$C$32, 9.1541, 9.1538) * CHOOSE(CONTROL!$C$15, $D$11, 100%, $F$11)</f>
        <v>9.1540999999999997</v>
      </c>
      <c r="D255" s="8">
        <f>CHOOSE( CONTROL!$C$32, 9.1219, 9.1217) * CHOOSE( CONTROL!$C$15, $D$11, 100%, $F$11)</f>
        <v>9.1219000000000001</v>
      </c>
      <c r="E255" s="12">
        <f>CHOOSE( CONTROL!$C$32, 9.1331, 9.1329) * CHOOSE( CONTROL!$C$15, $D$11, 100%, $F$11)</f>
        <v>9.1331000000000007</v>
      </c>
      <c r="F255" s="4">
        <f>CHOOSE( CONTROL!$C$32, 9.8143, 9.814) * CHOOSE(CONTROL!$C$15, $D$11, 100%, $F$11)</f>
        <v>9.8142999999999994</v>
      </c>
      <c r="G255" s="8">
        <f>CHOOSE( CONTROL!$C$32, 9.0392, 9.0389) * CHOOSE( CONTROL!$C$15, $D$11, 100%, $F$11)</f>
        <v>9.0391999999999992</v>
      </c>
      <c r="H255" s="4">
        <f>CHOOSE( CONTROL!$C$32, 9.946, 9.9457) * CHOOSE(CONTROL!$C$15, $D$11, 100%, $F$11)</f>
        <v>9.9459999999999997</v>
      </c>
      <c r="I255" s="8">
        <f>CHOOSE( CONTROL!$C$32, 9.0091, 9.0089) * CHOOSE(CONTROL!$C$15, $D$11, 100%, $F$11)</f>
        <v>9.0091000000000001</v>
      </c>
      <c r="J255" s="4">
        <f>CHOOSE( CONTROL!$C$32, 8.8703, 8.8701) * CHOOSE(CONTROL!$C$15, $D$11, 100%, $F$11)</f>
        <v>8.8703000000000003</v>
      </c>
      <c r="K255" s="4"/>
      <c r="L255" s="9">
        <v>28.360600000000002</v>
      </c>
      <c r="M255" s="9">
        <v>11.6745</v>
      </c>
      <c r="N255" s="9">
        <v>4.7850000000000001</v>
      </c>
      <c r="O255" s="9">
        <v>0.36199999999999999</v>
      </c>
      <c r="P255" s="9">
        <v>1.2509999999999999</v>
      </c>
      <c r="Q255" s="9">
        <v>29.780999999999999</v>
      </c>
      <c r="R255" s="9"/>
      <c r="S255" s="11"/>
    </row>
    <row r="256" spans="1:19" ht="15.75">
      <c r="A256" s="13">
        <v>48914</v>
      </c>
      <c r="B256" s="8">
        <f>CHOOSE( CONTROL!$C$32, 9.1324, 9.1321) * CHOOSE(CONTROL!$C$15, $D$11, 100%, $F$11)</f>
        <v>9.1324000000000005</v>
      </c>
      <c r="C256" s="8">
        <f>CHOOSE( CONTROL!$C$32, 9.1374, 9.1372) * CHOOSE(CONTROL!$C$15, $D$11, 100%, $F$11)</f>
        <v>9.1373999999999995</v>
      </c>
      <c r="D256" s="8">
        <f>CHOOSE( CONTROL!$C$32, 9.1071, 9.1069) * CHOOSE( CONTROL!$C$15, $D$11, 100%, $F$11)</f>
        <v>9.1071000000000009</v>
      </c>
      <c r="E256" s="12">
        <f>CHOOSE( CONTROL!$C$32, 9.1176, 9.1174) * CHOOSE( CONTROL!$C$15, $D$11, 100%, $F$11)</f>
        <v>9.1175999999999995</v>
      </c>
      <c r="F256" s="4">
        <f>CHOOSE( CONTROL!$C$32, 9.7976, 9.7974) * CHOOSE(CONTROL!$C$15, $D$11, 100%, $F$11)</f>
        <v>9.7975999999999992</v>
      </c>
      <c r="G256" s="8">
        <f>CHOOSE( CONTROL!$C$32, 9.0241, 9.0238) * CHOOSE( CONTROL!$C$15, $D$11, 100%, $F$11)</f>
        <v>9.0241000000000007</v>
      </c>
      <c r="H256" s="4">
        <f>CHOOSE( CONTROL!$C$32, 9.9295, 9.9293) * CHOOSE(CONTROL!$C$15, $D$11, 100%, $F$11)</f>
        <v>9.9295000000000009</v>
      </c>
      <c r="I256" s="8">
        <f>CHOOSE( CONTROL!$C$32, 8.9987, 8.9984) * CHOOSE(CONTROL!$C$15, $D$11, 100%, $F$11)</f>
        <v>8.9986999999999995</v>
      </c>
      <c r="J256" s="4">
        <f>CHOOSE( CONTROL!$C$32, 8.8542, 8.8539) * CHOOSE(CONTROL!$C$15, $D$11, 100%, $F$11)</f>
        <v>8.8542000000000005</v>
      </c>
      <c r="K256" s="4"/>
      <c r="L256" s="9">
        <v>29.306000000000001</v>
      </c>
      <c r="M256" s="9">
        <v>12.063700000000001</v>
      </c>
      <c r="N256" s="9">
        <v>4.9444999999999997</v>
      </c>
      <c r="O256" s="9">
        <v>0.37409999999999999</v>
      </c>
      <c r="P256" s="9">
        <v>1.2927</v>
      </c>
      <c r="Q256" s="9">
        <v>30.773700000000002</v>
      </c>
      <c r="R256" s="9"/>
      <c r="S256" s="11"/>
    </row>
    <row r="257" spans="1:19" ht="15.75">
      <c r="A257" s="13">
        <v>48945</v>
      </c>
      <c r="B257" s="8">
        <f>CHOOSE( CONTROL!$C$32, 9.3485, 9.3482) * CHOOSE(CONTROL!$C$15, $D$11, 100%, $F$11)</f>
        <v>9.3484999999999996</v>
      </c>
      <c r="C257" s="8">
        <f>CHOOSE( CONTROL!$C$32, 9.3536, 9.3533) * CHOOSE(CONTROL!$C$15, $D$11, 100%, $F$11)</f>
        <v>9.3536000000000001</v>
      </c>
      <c r="D257" s="8">
        <f>CHOOSE( CONTROL!$C$32, 9.3512, 9.3509) * CHOOSE( CONTROL!$C$15, $D$11, 100%, $F$11)</f>
        <v>9.3512000000000004</v>
      </c>
      <c r="E257" s="12">
        <f>CHOOSE( CONTROL!$C$32, 9.3515, 9.3512) * CHOOSE( CONTROL!$C$15, $D$11, 100%, $F$11)</f>
        <v>9.3514999999999997</v>
      </c>
      <c r="F257" s="4">
        <f>CHOOSE( CONTROL!$C$32, 10.0138, 10.0135) * CHOOSE(CONTROL!$C$15, $D$11, 100%, $F$11)</f>
        <v>10.0138</v>
      </c>
      <c r="G257" s="8">
        <f>CHOOSE( CONTROL!$C$32, 9.2538, 9.2536) * CHOOSE( CONTROL!$C$15, $D$11, 100%, $F$11)</f>
        <v>9.2538</v>
      </c>
      <c r="H257" s="4">
        <f>CHOOSE( CONTROL!$C$32, 10.1432, 10.1429) * CHOOSE(CONTROL!$C$15, $D$11, 100%, $F$11)</f>
        <v>10.1432</v>
      </c>
      <c r="I257" s="8">
        <f>CHOOSE( CONTROL!$C$32, 9.1821, 9.1818) * CHOOSE(CONTROL!$C$15, $D$11, 100%, $F$11)</f>
        <v>9.1821000000000002</v>
      </c>
      <c r="J257" s="4">
        <f>CHOOSE( CONTROL!$C$32, 9.064, 9.0637) * CHOOSE(CONTROL!$C$15, $D$11, 100%, $F$11)</f>
        <v>9.0640000000000001</v>
      </c>
      <c r="K257" s="4"/>
      <c r="L257" s="9">
        <v>29.306000000000001</v>
      </c>
      <c r="M257" s="9">
        <v>12.063700000000001</v>
      </c>
      <c r="N257" s="9">
        <v>4.9444999999999997</v>
      </c>
      <c r="O257" s="9">
        <v>0.37409999999999999</v>
      </c>
      <c r="P257" s="9">
        <v>1.2927</v>
      </c>
      <c r="Q257" s="9">
        <v>30.7105</v>
      </c>
      <c r="R257" s="9"/>
      <c r="S257" s="11"/>
    </row>
    <row r="258" spans="1:19" ht="15.75">
      <c r="A258" s="13">
        <v>48976</v>
      </c>
      <c r="B258" s="8">
        <f>CHOOSE( CONTROL!$C$32, 8.7447, 8.7445) * CHOOSE(CONTROL!$C$15, $D$11, 100%, $F$11)</f>
        <v>8.7446999999999999</v>
      </c>
      <c r="C258" s="8">
        <f>CHOOSE( CONTROL!$C$32, 8.7498, 8.7495) * CHOOSE(CONTROL!$C$15, $D$11, 100%, $F$11)</f>
        <v>8.7498000000000005</v>
      </c>
      <c r="D258" s="8">
        <f>CHOOSE( CONTROL!$C$32, 8.7298, 8.7295) * CHOOSE( CONTROL!$C$15, $D$11, 100%, $F$11)</f>
        <v>8.7297999999999991</v>
      </c>
      <c r="E258" s="12">
        <f>CHOOSE( CONTROL!$C$32, 8.7366, 8.7363) * CHOOSE( CONTROL!$C$15, $D$11, 100%, $F$11)</f>
        <v>8.7365999999999993</v>
      </c>
      <c r="F258" s="4">
        <f>CHOOSE( CONTROL!$C$32, 9.41, 9.4097) * CHOOSE(CONTROL!$C$15, $D$11, 100%, $F$11)</f>
        <v>9.41</v>
      </c>
      <c r="G258" s="8">
        <f>CHOOSE( CONTROL!$C$32, 8.646, 8.6458) * CHOOSE( CONTROL!$C$15, $D$11, 100%, $F$11)</f>
        <v>8.6460000000000008</v>
      </c>
      <c r="H258" s="4">
        <f>CHOOSE( CONTROL!$C$32, 9.5465, 9.5462) * CHOOSE(CONTROL!$C$15, $D$11, 100%, $F$11)</f>
        <v>9.5465</v>
      </c>
      <c r="I258" s="8">
        <f>CHOOSE( CONTROL!$C$32, 8.5963, 8.596) * CHOOSE(CONTROL!$C$15, $D$11, 100%, $F$11)</f>
        <v>8.5962999999999994</v>
      </c>
      <c r="J258" s="4">
        <f>CHOOSE( CONTROL!$C$32, 8.478, 8.4778) * CHOOSE(CONTROL!$C$15, $D$11, 100%, $F$11)</f>
        <v>8.4779999999999998</v>
      </c>
      <c r="K258" s="4"/>
      <c r="L258" s="9">
        <v>26.469899999999999</v>
      </c>
      <c r="M258" s="9">
        <v>10.8962</v>
      </c>
      <c r="N258" s="9">
        <v>4.4660000000000002</v>
      </c>
      <c r="O258" s="9">
        <v>0.33789999999999998</v>
      </c>
      <c r="P258" s="9">
        <v>1.1676</v>
      </c>
      <c r="Q258" s="9">
        <v>27.738499999999998</v>
      </c>
      <c r="R258" s="9"/>
      <c r="S258" s="11"/>
    </row>
    <row r="259" spans="1:19" ht="15.75">
      <c r="A259" s="13">
        <v>49004</v>
      </c>
      <c r="B259" s="8">
        <f>CHOOSE( CONTROL!$C$32, 8.5588, 8.5585) * CHOOSE(CONTROL!$C$15, $D$11, 100%, $F$11)</f>
        <v>8.5587999999999997</v>
      </c>
      <c r="C259" s="8">
        <f>CHOOSE( CONTROL!$C$32, 8.5639, 8.5636) * CHOOSE(CONTROL!$C$15, $D$11, 100%, $F$11)</f>
        <v>8.5639000000000003</v>
      </c>
      <c r="D259" s="8">
        <f>CHOOSE( CONTROL!$C$32, 8.5339, 8.5336) * CHOOSE( CONTROL!$C$15, $D$11, 100%, $F$11)</f>
        <v>8.5338999999999992</v>
      </c>
      <c r="E259" s="12">
        <f>CHOOSE( CONTROL!$C$32, 8.5443, 8.544) * CHOOSE( CONTROL!$C$15, $D$11, 100%, $F$11)</f>
        <v>8.5442999999999998</v>
      </c>
      <c r="F259" s="4">
        <f>CHOOSE( CONTROL!$C$32, 9.2241, 9.2238) * CHOOSE(CONTROL!$C$15, $D$11, 100%, $F$11)</f>
        <v>9.2241</v>
      </c>
      <c r="G259" s="8">
        <f>CHOOSE( CONTROL!$C$32, 8.449, 8.4487) * CHOOSE( CONTROL!$C$15, $D$11, 100%, $F$11)</f>
        <v>8.4489999999999998</v>
      </c>
      <c r="H259" s="4">
        <f>CHOOSE( CONTROL!$C$32, 9.3627, 9.3624) * CHOOSE(CONTROL!$C$15, $D$11, 100%, $F$11)</f>
        <v>9.3627000000000002</v>
      </c>
      <c r="I259" s="8">
        <f>CHOOSE( CONTROL!$C$32, 8.3805, 8.3803) * CHOOSE(CONTROL!$C$15, $D$11, 100%, $F$11)</f>
        <v>8.3804999999999996</v>
      </c>
      <c r="J259" s="4">
        <f>CHOOSE( CONTROL!$C$32, 8.2975, 8.2973) * CHOOSE(CONTROL!$C$15, $D$11, 100%, $F$11)</f>
        <v>8.2974999999999994</v>
      </c>
      <c r="K259" s="4"/>
      <c r="L259" s="9">
        <v>29.306000000000001</v>
      </c>
      <c r="M259" s="9">
        <v>12.063700000000001</v>
      </c>
      <c r="N259" s="9">
        <v>4.9444999999999997</v>
      </c>
      <c r="O259" s="9">
        <v>0.37409999999999999</v>
      </c>
      <c r="P259" s="9">
        <v>1.2927</v>
      </c>
      <c r="Q259" s="9">
        <v>30.7105</v>
      </c>
      <c r="R259" s="9"/>
      <c r="S259" s="11"/>
    </row>
    <row r="260" spans="1:19" ht="15.75">
      <c r="A260" s="13">
        <v>49035</v>
      </c>
      <c r="B260" s="8">
        <f>CHOOSE( CONTROL!$C$32, 8.6895, 8.6892) * CHOOSE(CONTROL!$C$15, $D$11, 100%, $F$11)</f>
        <v>8.6895000000000007</v>
      </c>
      <c r="C260" s="8">
        <f>CHOOSE( CONTROL!$C$32, 8.694, 8.6937) * CHOOSE(CONTROL!$C$15, $D$11, 100%, $F$11)</f>
        <v>8.6940000000000008</v>
      </c>
      <c r="D260" s="8">
        <f>CHOOSE( CONTROL!$C$32, 8.6935, 8.6932) * CHOOSE( CONTROL!$C$15, $D$11, 100%, $F$11)</f>
        <v>8.6935000000000002</v>
      </c>
      <c r="E260" s="12">
        <f>CHOOSE( CONTROL!$C$32, 8.6932, 8.6929) * CHOOSE( CONTROL!$C$15, $D$11, 100%, $F$11)</f>
        <v>8.6931999999999992</v>
      </c>
      <c r="F260" s="4">
        <f>CHOOSE( CONTROL!$C$32, 9.3978, 9.3975) * CHOOSE(CONTROL!$C$15, $D$11, 100%, $F$11)</f>
        <v>9.3978000000000002</v>
      </c>
      <c r="G260" s="8">
        <f>CHOOSE( CONTROL!$C$32, 8.5944, 8.5942) * CHOOSE( CONTROL!$C$15, $D$11, 100%, $F$11)</f>
        <v>8.5944000000000003</v>
      </c>
      <c r="H260" s="4">
        <f>CHOOSE( CONTROL!$C$32, 9.5344, 9.5341) * CHOOSE(CONTROL!$C$15, $D$11, 100%, $F$11)</f>
        <v>9.5343999999999998</v>
      </c>
      <c r="I260" s="8">
        <f>CHOOSE( CONTROL!$C$32, 8.5072, 8.507) * CHOOSE(CONTROL!$C$15, $D$11, 100%, $F$11)</f>
        <v>8.5071999999999992</v>
      </c>
      <c r="J260" s="4">
        <f>CHOOSE( CONTROL!$C$32, 8.4237, 8.4234) * CHOOSE(CONTROL!$C$15, $D$11, 100%, $F$11)</f>
        <v>8.4237000000000002</v>
      </c>
      <c r="K260" s="4"/>
      <c r="L260" s="9">
        <v>30.092199999999998</v>
      </c>
      <c r="M260" s="9">
        <v>11.6745</v>
      </c>
      <c r="N260" s="9">
        <v>4.7850000000000001</v>
      </c>
      <c r="O260" s="9">
        <v>0.36199999999999999</v>
      </c>
      <c r="P260" s="9">
        <v>1.2509999999999999</v>
      </c>
      <c r="Q260" s="9">
        <v>29.719799999999999</v>
      </c>
      <c r="R260" s="9"/>
      <c r="S260" s="11"/>
    </row>
    <row r="261" spans="1:19" ht="15.75">
      <c r="A261" s="13">
        <v>49065</v>
      </c>
      <c r="B261" s="8">
        <f>CHOOSE( CONTROL!$C$32, 8.9223, 8.9219) * CHOOSE(CONTROL!$C$15, $D$11, 100%, $F$11)</f>
        <v>8.9222999999999999</v>
      </c>
      <c r="C261" s="8">
        <f>CHOOSE( CONTROL!$C$32, 8.9303, 8.9298) * CHOOSE(CONTROL!$C$15, $D$11, 100%, $F$11)</f>
        <v>8.9303000000000008</v>
      </c>
      <c r="D261" s="8">
        <f>CHOOSE( CONTROL!$C$32, 8.9246, 8.9241) * CHOOSE( CONTROL!$C$15, $D$11, 100%, $F$11)</f>
        <v>8.9245999999999999</v>
      </c>
      <c r="E261" s="12">
        <f>CHOOSE( CONTROL!$C$32, 8.9254, 8.925) * CHOOSE( CONTROL!$C$15, $D$11, 100%, $F$11)</f>
        <v>8.9253999999999998</v>
      </c>
      <c r="F261" s="4">
        <f>CHOOSE( CONTROL!$C$32, 9.6293, 9.6288) * CHOOSE(CONTROL!$C$15, $D$11, 100%, $F$11)</f>
        <v>9.6293000000000006</v>
      </c>
      <c r="G261" s="8">
        <f>CHOOSE( CONTROL!$C$32, 8.8235, 8.8231) * CHOOSE( CONTROL!$C$15, $D$11, 100%, $F$11)</f>
        <v>8.8234999999999992</v>
      </c>
      <c r="H261" s="4">
        <f>CHOOSE( CONTROL!$C$32, 9.7631, 9.7627) * CHOOSE(CONTROL!$C$15, $D$11, 100%, $F$11)</f>
        <v>9.7630999999999997</v>
      </c>
      <c r="I261" s="8">
        <f>CHOOSE( CONTROL!$C$32, 8.7325, 8.7321) * CHOOSE(CONTROL!$C$15, $D$11, 100%, $F$11)</f>
        <v>8.7324999999999999</v>
      </c>
      <c r="J261" s="4">
        <f>CHOOSE( CONTROL!$C$32, 8.6483, 8.6478) * CHOOSE(CONTROL!$C$15, $D$11, 100%, $F$11)</f>
        <v>8.6483000000000008</v>
      </c>
      <c r="K261" s="4"/>
      <c r="L261" s="9">
        <v>30.7165</v>
      </c>
      <c r="M261" s="9">
        <v>12.063700000000001</v>
      </c>
      <c r="N261" s="9">
        <v>4.9444999999999997</v>
      </c>
      <c r="O261" s="9">
        <v>0.37409999999999999</v>
      </c>
      <c r="P261" s="9">
        <v>1.2927</v>
      </c>
      <c r="Q261" s="9">
        <v>30.7105</v>
      </c>
      <c r="R261" s="9"/>
      <c r="S261" s="11"/>
    </row>
    <row r="262" spans="1:19" ht="15.75">
      <c r="A262" s="13">
        <v>49096</v>
      </c>
      <c r="B262" s="8">
        <f>CHOOSE( CONTROL!$C$32, 8.779, 8.7786) * CHOOSE(CONTROL!$C$15, $D$11, 100%, $F$11)</f>
        <v>8.7789999999999999</v>
      </c>
      <c r="C262" s="8">
        <f>CHOOSE( CONTROL!$C$32, 8.787, 8.7866) * CHOOSE(CONTROL!$C$15, $D$11, 100%, $F$11)</f>
        <v>8.7870000000000008</v>
      </c>
      <c r="D262" s="8">
        <f>CHOOSE( CONTROL!$C$32, 8.7817, 8.7813) * CHOOSE( CONTROL!$C$15, $D$11, 100%, $F$11)</f>
        <v>8.7817000000000007</v>
      </c>
      <c r="E262" s="12">
        <f>CHOOSE( CONTROL!$C$32, 8.7824, 8.782) * CHOOSE( CONTROL!$C$15, $D$11, 100%, $F$11)</f>
        <v>8.7824000000000009</v>
      </c>
      <c r="F262" s="4">
        <f>CHOOSE( CONTROL!$C$32, 9.486, 9.4855) * CHOOSE(CONTROL!$C$15, $D$11, 100%, $F$11)</f>
        <v>9.4860000000000007</v>
      </c>
      <c r="G262" s="8">
        <f>CHOOSE( CONTROL!$C$32, 8.6823, 8.6818) * CHOOSE( CONTROL!$C$15, $D$11, 100%, $F$11)</f>
        <v>8.6822999999999997</v>
      </c>
      <c r="H262" s="4">
        <f>CHOOSE( CONTROL!$C$32, 9.6215, 9.6211) * CHOOSE(CONTROL!$C$15, $D$11, 100%, $F$11)</f>
        <v>9.6214999999999993</v>
      </c>
      <c r="I262" s="8">
        <f>CHOOSE( CONTROL!$C$32, 8.5948, 8.5944) * CHOOSE(CONTROL!$C$15, $D$11, 100%, $F$11)</f>
        <v>8.5947999999999993</v>
      </c>
      <c r="J262" s="4">
        <f>CHOOSE( CONTROL!$C$32, 8.5092, 8.5088) * CHOOSE(CONTROL!$C$15, $D$11, 100%, $F$11)</f>
        <v>8.5091999999999999</v>
      </c>
      <c r="K262" s="4"/>
      <c r="L262" s="9">
        <v>29.7257</v>
      </c>
      <c r="M262" s="9">
        <v>11.6745</v>
      </c>
      <c r="N262" s="9">
        <v>4.7850000000000001</v>
      </c>
      <c r="O262" s="9">
        <v>0.36199999999999999</v>
      </c>
      <c r="P262" s="9">
        <v>1.2509999999999999</v>
      </c>
      <c r="Q262" s="9">
        <v>29.719799999999999</v>
      </c>
      <c r="R262" s="9"/>
      <c r="S262" s="11"/>
    </row>
    <row r="263" spans="1:19" ht="15.75">
      <c r="A263" s="13">
        <v>49126</v>
      </c>
      <c r="B263" s="8">
        <f>CHOOSE( CONTROL!$C$32, 9.1563, 9.1559) * CHOOSE(CONTROL!$C$15, $D$11, 100%, $F$11)</f>
        <v>9.1562999999999999</v>
      </c>
      <c r="C263" s="8">
        <f>CHOOSE( CONTROL!$C$32, 9.1643, 9.1638) * CHOOSE(CONTROL!$C$15, $D$11, 100%, $F$11)</f>
        <v>9.1643000000000008</v>
      </c>
      <c r="D263" s="8">
        <f>CHOOSE( CONTROL!$C$32, 9.1594, 9.159) * CHOOSE( CONTROL!$C$15, $D$11, 100%, $F$11)</f>
        <v>9.1593999999999998</v>
      </c>
      <c r="E263" s="12">
        <f>CHOOSE( CONTROL!$C$32, 9.16, 9.1595) * CHOOSE( CONTROL!$C$15, $D$11, 100%, $F$11)</f>
        <v>9.16</v>
      </c>
      <c r="F263" s="4">
        <f>CHOOSE( CONTROL!$C$32, 9.8633, 9.8628) * CHOOSE(CONTROL!$C$15, $D$11, 100%, $F$11)</f>
        <v>9.8633000000000006</v>
      </c>
      <c r="G263" s="8">
        <f>CHOOSE( CONTROL!$C$32, 9.0555, 9.055) * CHOOSE( CONTROL!$C$15, $D$11, 100%, $F$11)</f>
        <v>9.0555000000000003</v>
      </c>
      <c r="H263" s="4">
        <f>CHOOSE( CONTROL!$C$32, 9.9944, 9.9939) * CHOOSE(CONTROL!$C$15, $D$11, 100%, $F$11)</f>
        <v>9.9944000000000006</v>
      </c>
      <c r="I263" s="8">
        <f>CHOOSE( CONTROL!$C$32, 8.9627, 8.9623) * CHOOSE(CONTROL!$C$15, $D$11, 100%, $F$11)</f>
        <v>8.9626999999999999</v>
      </c>
      <c r="J263" s="4">
        <f>CHOOSE( CONTROL!$C$32, 8.8754, 8.8749) * CHOOSE(CONTROL!$C$15, $D$11, 100%, $F$11)</f>
        <v>8.8754000000000008</v>
      </c>
      <c r="K263" s="4"/>
      <c r="L263" s="9">
        <v>30.7165</v>
      </c>
      <c r="M263" s="9">
        <v>12.063700000000001</v>
      </c>
      <c r="N263" s="9">
        <v>4.9444999999999997</v>
      </c>
      <c r="O263" s="9">
        <v>0.37409999999999999</v>
      </c>
      <c r="P263" s="9">
        <v>1.2927</v>
      </c>
      <c r="Q263" s="9">
        <v>30.7105</v>
      </c>
      <c r="R263" s="9"/>
      <c r="S263" s="11"/>
    </row>
    <row r="264" spans="1:19" ht="15.75">
      <c r="A264" s="13">
        <v>49157</v>
      </c>
      <c r="B264" s="8">
        <f>CHOOSE( CONTROL!$C$32, 8.4504, 8.45) * CHOOSE(CONTROL!$C$15, $D$11, 100%, $F$11)</f>
        <v>8.4504000000000001</v>
      </c>
      <c r="C264" s="8">
        <f>CHOOSE( CONTROL!$C$32, 8.4584, 8.4579) * CHOOSE(CONTROL!$C$15, $D$11, 100%, $F$11)</f>
        <v>8.4583999999999993</v>
      </c>
      <c r="D264" s="8">
        <f>CHOOSE( CONTROL!$C$32, 8.4537, 8.4532) * CHOOSE( CONTROL!$C$15, $D$11, 100%, $F$11)</f>
        <v>8.4536999999999995</v>
      </c>
      <c r="E264" s="12">
        <f>CHOOSE( CONTROL!$C$32, 8.4542, 8.4537) * CHOOSE( CONTROL!$C$15, $D$11, 100%, $F$11)</f>
        <v>8.4542000000000002</v>
      </c>
      <c r="F264" s="4">
        <f>CHOOSE( CONTROL!$C$32, 9.1573, 9.1569) * CHOOSE(CONTROL!$C$15, $D$11, 100%, $F$11)</f>
        <v>9.1572999999999993</v>
      </c>
      <c r="G264" s="8">
        <f>CHOOSE( CONTROL!$C$32, 8.3579, 8.3575) * CHOOSE( CONTROL!$C$15, $D$11, 100%, $F$11)</f>
        <v>8.3579000000000008</v>
      </c>
      <c r="H264" s="4">
        <f>CHOOSE( CONTROL!$C$32, 9.2968, 9.2963) * CHOOSE(CONTROL!$C$15, $D$11, 100%, $F$11)</f>
        <v>9.2967999999999993</v>
      </c>
      <c r="I264" s="8">
        <f>CHOOSE( CONTROL!$C$32, 8.2778, 8.2773) * CHOOSE(CONTROL!$C$15, $D$11, 100%, $F$11)</f>
        <v>8.2777999999999992</v>
      </c>
      <c r="J264" s="4">
        <f>CHOOSE( CONTROL!$C$32, 8.1903, 8.1899) * CHOOSE(CONTROL!$C$15, $D$11, 100%, $F$11)</f>
        <v>8.1903000000000006</v>
      </c>
      <c r="K264" s="4"/>
      <c r="L264" s="9">
        <v>30.7165</v>
      </c>
      <c r="M264" s="9">
        <v>12.063700000000001</v>
      </c>
      <c r="N264" s="9">
        <v>4.9444999999999997</v>
      </c>
      <c r="O264" s="9">
        <v>0.37409999999999999</v>
      </c>
      <c r="P264" s="9">
        <v>1.2927</v>
      </c>
      <c r="Q264" s="9">
        <v>30.7105</v>
      </c>
      <c r="R264" s="9"/>
      <c r="S264" s="11"/>
    </row>
    <row r="265" spans="1:19" ht="15.75">
      <c r="A265" s="13">
        <v>49188</v>
      </c>
      <c r="B265" s="8">
        <f>CHOOSE( CONTROL!$C$32, 8.2736, 8.2732) * CHOOSE(CONTROL!$C$15, $D$11, 100%, $F$11)</f>
        <v>8.2736000000000001</v>
      </c>
      <c r="C265" s="8">
        <f>CHOOSE( CONTROL!$C$32, 8.2816, 8.2812) * CHOOSE(CONTROL!$C$15, $D$11, 100%, $F$11)</f>
        <v>8.2815999999999992</v>
      </c>
      <c r="D265" s="8">
        <f>CHOOSE( CONTROL!$C$32, 8.2768, 8.2763) * CHOOSE( CONTROL!$C$15, $D$11, 100%, $F$11)</f>
        <v>8.2767999999999997</v>
      </c>
      <c r="E265" s="12">
        <f>CHOOSE( CONTROL!$C$32, 8.2773, 8.2769) * CHOOSE( CONTROL!$C$15, $D$11, 100%, $F$11)</f>
        <v>8.2773000000000003</v>
      </c>
      <c r="F265" s="4">
        <f>CHOOSE( CONTROL!$C$32, 8.9806, 8.9801) * CHOOSE(CONTROL!$C$15, $D$11, 100%, $F$11)</f>
        <v>8.9806000000000008</v>
      </c>
      <c r="G265" s="8">
        <f>CHOOSE( CONTROL!$C$32, 8.1831, 8.1827) * CHOOSE( CONTROL!$C$15, $D$11, 100%, $F$11)</f>
        <v>8.1830999999999996</v>
      </c>
      <c r="H265" s="4">
        <f>CHOOSE( CONTROL!$C$32, 9.1221, 9.1216) * CHOOSE(CONTROL!$C$15, $D$11, 100%, $F$11)</f>
        <v>9.1220999999999997</v>
      </c>
      <c r="I265" s="8">
        <f>CHOOSE( CONTROL!$C$32, 8.1056, 8.1052) * CHOOSE(CONTROL!$C$15, $D$11, 100%, $F$11)</f>
        <v>8.1056000000000008</v>
      </c>
      <c r="J265" s="4">
        <f>CHOOSE( CONTROL!$C$32, 8.0187, 8.0183) * CHOOSE(CONTROL!$C$15, $D$11, 100%, $F$11)</f>
        <v>8.0187000000000008</v>
      </c>
      <c r="K265" s="4"/>
      <c r="L265" s="9">
        <v>29.7257</v>
      </c>
      <c r="M265" s="9">
        <v>11.6745</v>
      </c>
      <c r="N265" s="9">
        <v>4.7850000000000001</v>
      </c>
      <c r="O265" s="9">
        <v>0.36199999999999999</v>
      </c>
      <c r="P265" s="9">
        <v>1.2509999999999999</v>
      </c>
      <c r="Q265" s="9">
        <v>29.719799999999999</v>
      </c>
      <c r="R265" s="9"/>
      <c r="S265" s="11"/>
    </row>
    <row r="266" spans="1:19" ht="15.75">
      <c r="A266" s="13">
        <v>49218</v>
      </c>
      <c r="B266" s="8">
        <f>CHOOSE( CONTROL!$C$32, 8.6388, 8.6385) * CHOOSE(CONTROL!$C$15, $D$11, 100%, $F$11)</f>
        <v>8.6387999999999998</v>
      </c>
      <c r="C266" s="8">
        <f>CHOOSE( CONTROL!$C$32, 8.6441, 8.6438) * CHOOSE(CONTROL!$C$15, $D$11, 100%, $F$11)</f>
        <v>8.6440999999999999</v>
      </c>
      <c r="D266" s="8">
        <f>CHOOSE( CONTROL!$C$32, 8.6443, 8.644) * CHOOSE( CONTROL!$C$15, $D$11, 100%, $F$11)</f>
        <v>8.6442999999999994</v>
      </c>
      <c r="E266" s="12">
        <f>CHOOSE( CONTROL!$C$32, 8.6437, 8.6434) * CHOOSE( CONTROL!$C$15, $D$11, 100%, $F$11)</f>
        <v>8.6437000000000008</v>
      </c>
      <c r="F266" s="4">
        <f>CHOOSE( CONTROL!$C$32, 9.3474, 9.3472) * CHOOSE(CONTROL!$C$15, $D$11, 100%, $F$11)</f>
        <v>9.3474000000000004</v>
      </c>
      <c r="G266" s="8">
        <f>CHOOSE( CONTROL!$C$32, 8.5456, 8.5453) * CHOOSE( CONTROL!$C$15, $D$11, 100%, $F$11)</f>
        <v>8.5456000000000003</v>
      </c>
      <c r="H266" s="4">
        <f>CHOOSE( CONTROL!$C$32, 9.4846, 9.4843) * CHOOSE(CONTROL!$C$15, $D$11, 100%, $F$11)</f>
        <v>9.4846000000000004</v>
      </c>
      <c r="I266" s="8">
        <f>CHOOSE( CONTROL!$C$32, 8.4625, 8.4622) * CHOOSE(CONTROL!$C$15, $D$11, 100%, $F$11)</f>
        <v>8.4625000000000004</v>
      </c>
      <c r="J266" s="4">
        <f>CHOOSE( CONTROL!$C$32, 8.3748, 8.3745) * CHOOSE(CONTROL!$C$15, $D$11, 100%, $F$11)</f>
        <v>8.3748000000000005</v>
      </c>
      <c r="K266" s="4"/>
      <c r="L266" s="9">
        <v>31.095300000000002</v>
      </c>
      <c r="M266" s="9">
        <v>12.063700000000001</v>
      </c>
      <c r="N266" s="9">
        <v>4.9444999999999997</v>
      </c>
      <c r="O266" s="9">
        <v>0.37409999999999999</v>
      </c>
      <c r="P266" s="9">
        <v>1.2927</v>
      </c>
      <c r="Q266" s="9">
        <v>30.7105</v>
      </c>
      <c r="R266" s="9"/>
      <c r="S266" s="11"/>
    </row>
    <row r="267" spans="1:19" ht="15.75">
      <c r="A267" s="13">
        <v>49249</v>
      </c>
      <c r="B267" s="8">
        <f>CHOOSE( CONTROL!$C$32, 9.3158, 9.3155) * CHOOSE(CONTROL!$C$15, $D$11, 100%, $F$11)</f>
        <v>9.3157999999999994</v>
      </c>
      <c r="C267" s="8">
        <f>CHOOSE( CONTROL!$C$32, 9.3209, 9.3206) * CHOOSE(CONTROL!$C$15, $D$11, 100%, $F$11)</f>
        <v>9.3209</v>
      </c>
      <c r="D267" s="8">
        <f>CHOOSE( CONTROL!$C$32, 9.2888, 9.2885) * CHOOSE( CONTROL!$C$15, $D$11, 100%, $F$11)</f>
        <v>9.2888000000000002</v>
      </c>
      <c r="E267" s="12">
        <f>CHOOSE( CONTROL!$C$32, 9.3, 9.2997) * CHOOSE( CONTROL!$C$15, $D$11, 100%, $F$11)</f>
        <v>9.3000000000000007</v>
      </c>
      <c r="F267" s="4">
        <f>CHOOSE( CONTROL!$C$32, 9.9811, 9.9808) * CHOOSE(CONTROL!$C$15, $D$11, 100%, $F$11)</f>
        <v>9.9810999999999996</v>
      </c>
      <c r="G267" s="8">
        <f>CHOOSE( CONTROL!$C$32, 9.2041, 9.2038) * CHOOSE( CONTROL!$C$15, $D$11, 100%, $F$11)</f>
        <v>9.2041000000000004</v>
      </c>
      <c r="H267" s="4">
        <f>CHOOSE( CONTROL!$C$32, 10.1109, 10.1106) * CHOOSE(CONTROL!$C$15, $D$11, 100%, $F$11)</f>
        <v>10.110900000000001</v>
      </c>
      <c r="I267" s="8">
        <f>CHOOSE( CONTROL!$C$32, 9.1711, 9.1709) * CHOOSE(CONTROL!$C$15, $D$11, 100%, $F$11)</f>
        <v>9.1710999999999991</v>
      </c>
      <c r="J267" s="4">
        <f>CHOOSE( CONTROL!$C$32, 9.0322, 9.032) * CHOOSE(CONTROL!$C$15, $D$11, 100%, $F$11)</f>
        <v>9.0321999999999996</v>
      </c>
      <c r="K267" s="4"/>
      <c r="L267" s="9">
        <v>28.360600000000002</v>
      </c>
      <c r="M267" s="9">
        <v>11.6745</v>
      </c>
      <c r="N267" s="9">
        <v>4.7850000000000001</v>
      </c>
      <c r="O267" s="9">
        <v>0.36199999999999999</v>
      </c>
      <c r="P267" s="9">
        <v>1.2509999999999999</v>
      </c>
      <c r="Q267" s="9">
        <v>29.719799999999999</v>
      </c>
      <c r="R267" s="9"/>
      <c r="S267" s="11"/>
    </row>
    <row r="268" spans="1:19" ht="15.75">
      <c r="A268" s="13">
        <v>49279</v>
      </c>
      <c r="B268" s="8">
        <f>CHOOSE( CONTROL!$C$32, 9.2989, 9.2986) * CHOOSE(CONTROL!$C$15, $D$11, 100%, $F$11)</f>
        <v>9.2988999999999997</v>
      </c>
      <c r="C268" s="8">
        <f>CHOOSE( CONTROL!$C$32, 9.304, 9.3037) * CHOOSE(CONTROL!$C$15, $D$11, 100%, $F$11)</f>
        <v>9.3040000000000003</v>
      </c>
      <c r="D268" s="8">
        <f>CHOOSE( CONTROL!$C$32, 9.2737, 9.2734) * CHOOSE( CONTROL!$C$15, $D$11, 100%, $F$11)</f>
        <v>9.2736999999999998</v>
      </c>
      <c r="E268" s="12">
        <f>CHOOSE( CONTROL!$C$32, 9.2842, 9.2839) * CHOOSE( CONTROL!$C$15, $D$11, 100%, $F$11)</f>
        <v>9.2842000000000002</v>
      </c>
      <c r="F268" s="4">
        <f>CHOOSE( CONTROL!$C$32, 9.9642, 9.9639) * CHOOSE(CONTROL!$C$15, $D$11, 100%, $F$11)</f>
        <v>9.9641999999999999</v>
      </c>
      <c r="G268" s="8">
        <f>CHOOSE( CONTROL!$C$32, 9.1887, 9.1884) * CHOOSE( CONTROL!$C$15, $D$11, 100%, $F$11)</f>
        <v>9.1887000000000008</v>
      </c>
      <c r="H268" s="4">
        <f>CHOOSE( CONTROL!$C$32, 10.0941, 10.0939) * CHOOSE(CONTROL!$C$15, $D$11, 100%, $F$11)</f>
        <v>10.094099999999999</v>
      </c>
      <c r="I268" s="8">
        <f>CHOOSE( CONTROL!$C$32, 9.1604, 9.1601) * CHOOSE(CONTROL!$C$15, $D$11, 100%, $F$11)</f>
        <v>9.1603999999999992</v>
      </c>
      <c r="J268" s="4">
        <f>CHOOSE( CONTROL!$C$32, 9.0158, 9.0156) * CHOOSE(CONTROL!$C$15, $D$11, 100%, $F$11)</f>
        <v>9.0158000000000005</v>
      </c>
      <c r="K268" s="4"/>
      <c r="L268" s="9">
        <v>29.306000000000001</v>
      </c>
      <c r="M268" s="9">
        <v>12.063700000000001</v>
      </c>
      <c r="N268" s="9">
        <v>4.9444999999999997</v>
      </c>
      <c r="O268" s="9">
        <v>0.37409999999999999</v>
      </c>
      <c r="P268" s="9">
        <v>1.2927</v>
      </c>
      <c r="Q268" s="9">
        <v>30.7105</v>
      </c>
      <c r="R268" s="9"/>
      <c r="S268" s="11"/>
    </row>
    <row r="269" spans="1:19" ht="15.75">
      <c r="A269" s="13">
        <v>49310</v>
      </c>
      <c r="B269" s="8">
        <f>CHOOSE( CONTROL!$C$32, 9.5329, 9.5326) * CHOOSE(CONTROL!$C$15, $D$11, 100%, $F$11)</f>
        <v>9.5328999999999997</v>
      </c>
      <c r="C269" s="8">
        <f>CHOOSE( CONTROL!$C$32, 9.538, 9.5377) * CHOOSE(CONTROL!$C$15, $D$11, 100%, $F$11)</f>
        <v>9.5380000000000003</v>
      </c>
      <c r="D269" s="8">
        <f>CHOOSE( CONTROL!$C$32, 9.5356, 9.5353) * CHOOSE( CONTROL!$C$15, $D$11, 100%, $F$11)</f>
        <v>9.5356000000000005</v>
      </c>
      <c r="E269" s="12">
        <f>CHOOSE( CONTROL!$C$32, 9.5359, 9.5356) * CHOOSE( CONTROL!$C$15, $D$11, 100%, $F$11)</f>
        <v>9.5358999999999998</v>
      </c>
      <c r="F269" s="4">
        <f>CHOOSE( CONTROL!$C$32, 10.1982, 10.1979) * CHOOSE(CONTROL!$C$15, $D$11, 100%, $F$11)</f>
        <v>10.1982</v>
      </c>
      <c r="G269" s="8">
        <f>CHOOSE( CONTROL!$C$32, 9.4361, 9.4358) * CHOOSE( CONTROL!$C$15, $D$11, 100%, $F$11)</f>
        <v>9.4360999999999997</v>
      </c>
      <c r="H269" s="4">
        <f>CHOOSE( CONTROL!$C$32, 10.3254, 10.3251) * CHOOSE(CONTROL!$C$15, $D$11, 100%, $F$11)</f>
        <v>10.3254</v>
      </c>
      <c r="I269" s="8">
        <f>CHOOSE( CONTROL!$C$32, 9.3611, 9.3609) * CHOOSE(CONTROL!$C$15, $D$11, 100%, $F$11)</f>
        <v>9.3611000000000004</v>
      </c>
      <c r="J269" s="4">
        <f>CHOOSE( CONTROL!$C$32, 9.2429, 9.2426) * CHOOSE(CONTROL!$C$15, $D$11, 100%, $F$11)</f>
        <v>9.2429000000000006</v>
      </c>
      <c r="K269" s="4"/>
      <c r="L269" s="9">
        <v>29.306000000000001</v>
      </c>
      <c r="M269" s="9">
        <v>12.063700000000001</v>
      </c>
      <c r="N269" s="9">
        <v>4.9444999999999997</v>
      </c>
      <c r="O269" s="9">
        <v>0.37409999999999999</v>
      </c>
      <c r="P269" s="9">
        <v>1.2927</v>
      </c>
      <c r="Q269" s="9">
        <v>30.645399999999999</v>
      </c>
      <c r="R269" s="9"/>
      <c r="S269" s="11"/>
    </row>
    <row r="270" spans="1:19" ht="15.75">
      <c r="A270" s="13">
        <v>49341</v>
      </c>
      <c r="B270" s="8">
        <f>CHOOSE( CONTROL!$C$32, 8.9172, 8.9169) * CHOOSE(CONTROL!$C$15, $D$11, 100%, $F$11)</f>
        <v>8.9171999999999993</v>
      </c>
      <c r="C270" s="8">
        <f>CHOOSE( CONTROL!$C$32, 8.9223, 8.922) * CHOOSE(CONTROL!$C$15, $D$11, 100%, $F$11)</f>
        <v>8.9222999999999999</v>
      </c>
      <c r="D270" s="8">
        <f>CHOOSE( CONTROL!$C$32, 8.9022, 8.902) * CHOOSE( CONTROL!$C$15, $D$11, 100%, $F$11)</f>
        <v>8.9022000000000006</v>
      </c>
      <c r="E270" s="12">
        <f>CHOOSE( CONTROL!$C$32, 8.909, 8.9088) * CHOOSE( CONTROL!$C$15, $D$11, 100%, $F$11)</f>
        <v>8.9090000000000007</v>
      </c>
      <c r="F270" s="4">
        <f>CHOOSE( CONTROL!$C$32, 9.5825, 9.5822) * CHOOSE(CONTROL!$C$15, $D$11, 100%, $F$11)</f>
        <v>9.5824999999999996</v>
      </c>
      <c r="G270" s="8">
        <f>CHOOSE( CONTROL!$C$32, 8.8165, 8.8162) * CHOOSE( CONTROL!$C$15, $D$11, 100%, $F$11)</f>
        <v>8.8164999999999996</v>
      </c>
      <c r="H270" s="4">
        <f>CHOOSE( CONTROL!$C$32, 9.7169, 9.7166) * CHOOSE(CONTROL!$C$15, $D$11, 100%, $F$11)</f>
        <v>9.7169000000000008</v>
      </c>
      <c r="I270" s="8">
        <f>CHOOSE( CONTROL!$C$32, 8.7637, 8.7635) * CHOOSE(CONTROL!$C$15, $D$11, 100%, $F$11)</f>
        <v>8.7637</v>
      </c>
      <c r="J270" s="4">
        <f>CHOOSE( CONTROL!$C$32, 8.6454, 8.6451) * CHOOSE(CONTROL!$C$15, $D$11, 100%, $F$11)</f>
        <v>8.6454000000000004</v>
      </c>
      <c r="K270" s="4"/>
      <c r="L270" s="9">
        <v>26.469899999999999</v>
      </c>
      <c r="M270" s="9">
        <v>10.8962</v>
      </c>
      <c r="N270" s="9">
        <v>4.4660000000000002</v>
      </c>
      <c r="O270" s="9">
        <v>0.33789999999999998</v>
      </c>
      <c r="P270" s="9">
        <v>1.1676</v>
      </c>
      <c r="Q270" s="9">
        <v>27.6797</v>
      </c>
      <c r="R270" s="9"/>
      <c r="S270" s="11"/>
    </row>
    <row r="271" spans="1:19" ht="15.75">
      <c r="A271" s="13">
        <v>49369</v>
      </c>
      <c r="B271" s="8">
        <f>CHOOSE( CONTROL!$C$32, 8.7276, 8.7273) * CHOOSE(CONTROL!$C$15, $D$11, 100%, $F$11)</f>
        <v>8.7276000000000007</v>
      </c>
      <c r="C271" s="8">
        <f>CHOOSE( CONTROL!$C$32, 8.7326, 8.7324) * CHOOSE(CONTROL!$C$15, $D$11, 100%, $F$11)</f>
        <v>8.7325999999999997</v>
      </c>
      <c r="D271" s="8">
        <f>CHOOSE( CONTROL!$C$32, 8.7027, 8.7024) * CHOOSE( CONTROL!$C$15, $D$11, 100%, $F$11)</f>
        <v>8.7027000000000001</v>
      </c>
      <c r="E271" s="12">
        <f>CHOOSE( CONTROL!$C$32, 8.7131, 8.7128) * CHOOSE( CONTROL!$C$15, $D$11, 100%, $F$11)</f>
        <v>8.7131000000000007</v>
      </c>
      <c r="F271" s="4">
        <f>CHOOSE( CONTROL!$C$32, 9.3928, 9.3926) * CHOOSE(CONTROL!$C$15, $D$11, 100%, $F$11)</f>
        <v>9.3927999999999994</v>
      </c>
      <c r="G271" s="8">
        <f>CHOOSE( CONTROL!$C$32, 8.6158, 8.6155) * CHOOSE( CONTROL!$C$15, $D$11, 100%, $F$11)</f>
        <v>8.6158000000000001</v>
      </c>
      <c r="H271" s="4">
        <f>CHOOSE( CONTROL!$C$32, 9.5295, 9.5292) * CHOOSE(CONTROL!$C$15, $D$11, 100%, $F$11)</f>
        <v>9.5295000000000005</v>
      </c>
      <c r="I271" s="8">
        <f>CHOOSE( CONTROL!$C$32, 8.5444, 8.5441) * CHOOSE(CONTROL!$C$15, $D$11, 100%, $F$11)</f>
        <v>8.5443999999999996</v>
      </c>
      <c r="J271" s="4">
        <f>CHOOSE( CONTROL!$C$32, 8.4614, 8.4611) * CHOOSE(CONTROL!$C$15, $D$11, 100%, $F$11)</f>
        <v>8.4613999999999994</v>
      </c>
      <c r="K271" s="4"/>
      <c r="L271" s="9">
        <v>29.306000000000001</v>
      </c>
      <c r="M271" s="9">
        <v>12.063700000000001</v>
      </c>
      <c r="N271" s="9">
        <v>4.9444999999999997</v>
      </c>
      <c r="O271" s="9">
        <v>0.37409999999999999</v>
      </c>
      <c r="P271" s="9">
        <v>1.2927</v>
      </c>
      <c r="Q271" s="9">
        <v>30.645399999999999</v>
      </c>
      <c r="R271" s="9"/>
      <c r="S271" s="11"/>
    </row>
    <row r="272" spans="1:19" ht="15.75">
      <c r="A272" s="13">
        <v>49400</v>
      </c>
      <c r="B272" s="8">
        <f>CHOOSE( CONTROL!$C$32, 8.8608, 8.8606) * CHOOSE(CONTROL!$C$15, $D$11, 100%, $F$11)</f>
        <v>8.8607999999999993</v>
      </c>
      <c r="C272" s="8">
        <f>CHOOSE( CONTROL!$C$32, 8.8653, 8.8651) * CHOOSE(CONTROL!$C$15, $D$11, 100%, $F$11)</f>
        <v>8.8652999999999995</v>
      </c>
      <c r="D272" s="8">
        <f>CHOOSE( CONTROL!$C$32, 8.8648, 8.8646) * CHOOSE( CONTROL!$C$15, $D$11, 100%, $F$11)</f>
        <v>8.8648000000000007</v>
      </c>
      <c r="E272" s="12">
        <f>CHOOSE( CONTROL!$C$32, 8.8645, 8.8643) * CHOOSE( CONTROL!$C$15, $D$11, 100%, $F$11)</f>
        <v>8.8644999999999996</v>
      </c>
      <c r="F272" s="4">
        <f>CHOOSE( CONTROL!$C$32, 9.5692, 9.5689) * CHOOSE(CONTROL!$C$15, $D$11, 100%, $F$11)</f>
        <v>9.5692000000000004</v>
      </c>
      <c r="G272" s="8">
        <f>CHOOSE( CONTROL!$C$32, 8.7638, 8.7635) * CHOOSE( CONTROL!$C$15, $D$11, 100%, $F$11)</f>
        <v>8.7637999999999998</v>
      </c>
      <c r="H272" s="4">
        <f>CHOOSE( CONTROL!$C$32, 9.7037, 9.7035) * CHOOSE(CONTROL!$C$15, $D$11, 100%, $F$11)</f>
        <v>9.7036999999999995</v>
      </c>
      <c r="I272" s="8">
        <f>CHOOSE( CONTROL!$C$32, 8.6736, 8.6733) * CHOOSE(CONTROL!$C$15, $D$11, 100%, $F$11)</f>
        <v>8.6736000000000004</v>
      </c>
      <c r="J272" s="4">
        <f>CHOOSE( CONTROL!$C$32, 8.59, 8.5897) * CHOOSE(CONTROL!$C$15, $D$11, 100%, $F$11)</f>
        <v>8.59</v>
      </c>
      <c r="K272" s="4"/>
      <c r="L272" s="9">
        <v>30.092199999999998</v>
      </c>
      <c r="M272" s="9">
        <v>11.6745</v>
      </c>
      <c r="N272" s="9">
        <v>4.7850000000000001</v>
      </c>
      <c r="O272" s="9">
        <v>0.36199999999999999</v>
      </c>
      <c r="P272" s="9">
        <v>1.2509999999999999</v>
      </c>
      <c r="Q272" s="9">
        <v>29.6568</v>
      </c>
      <c r="R272" s="9"/>
      <c r="S272" s="11"/>
    </row>
    <row r="273" spans="1:19" ht="15.75">
      <c r="A273" s="13">
        <v>49430</v>
      </c>
      <c r="B273" s="8">
        <f>CHOOSE( CONTROL!$C$32, 9.0982, 9.0978) * CHOOSE(CONTROL!$C$15, $D$11, 100%, $F$11)</f>
        <v>9.0982000000000003</v>
      </c>
      <c r="C273" s="8">
        <f>CHOOSE( CONTROL!$C$32, 9.1062, 9.1057) * CHOOSE(CONTROL!$C$15, $D$11, 100%, $F$11)</f>
        <v>9.1061999999999994</v>
      </c>
      <c r="D273" s="8">
        <f>CHOOSE( CONTROL!$C$32, 9.1005, 9.1) * CHOOSE( CONTROL!$C$15, $D$11, 100%, $F$11)</f>
        <v>9.1005000000000003</v>
      </c>
      <c r="E273" s="12">
        <f>CHOOSE( CONTROL!$C$32, 9.1013, 9.1009) * CHOOSE( CONTROL!$C$15, $D$11, 100%, $F$11)</f>
        <v>9.1013000000000002</v>
      </c>
      <c r="F273" s="4">
        <f>CHOOSE( CONTROL!$C$32, 9.8052, 9.8047) * CHOOSE(CONTROL!$C$15, $D$11, 100%, $F$11)</f>
        <v>9.8051999999999992</v>
      </c>
      <c r="G273" s="8">
        <f>CHOOSE( CONTROL!$C$32, 8.9974, 8.9969) * CHOOSE( CONTROL!$C$15, $D$11, 100%, $F$11)</f>
        <v>8.9974000000000007</v>
      </c>
      <c r="H273" s="4">
        <f>CHOOSE( CONTROL!$C$32, 9.937, 9.9365) * CHOOSE(CONTROL!$C$15, $D$11, 100%, $F$11)</f>
        <v>9.9369999999999994</v>
      </c>
      <c r="I273" s="8">
        <f>CHOOSE( CONTROL!$C$32, 8.9034, 8.9029) * CHOOSE(CONTROL!$C$15, $D$11, 100%, $F$11)</f>
        <v>8.9033999999999995</v>
      </c>
      <c r="J273" s="4">
        <f>CHOOSE( CONTROL!$C$32, 8.819, 8.8186) * CHOOSE(CONTROL!$C$15, $D$11, 100%, $F$11)</f>
        <v>8.8190000000000008</v>
      </c>
      <c r="K273" s="4"/>
      <c r="L273" s="9">
        <v>30.7165</v>
      </c>
      <c r="M273" s="9">
        <v>12.063700000000001</v>
      </c>
      <c r="N273" s="9">
        <v>4.9444999999999997</v>
      </c>
      <c r="O273" s="9">
        <v>0.37409999999999999</v>
      </c>
      <c r="P273" s="9">
        <v>1.2927</v>
      </c>
      <c r="Q273" s="9">
        <v>30.645399999999999</v>
      </c>
      <c r="R273" s="9"/>
      <c r="S273" s="11"/>
    </row>
    <row r="274" spans="1:19" ht="15.75">
      <c r="A274" s="14">
        <v>49461</v>
      </c>
      <c r="B274" s="8">
        <f>CHOOSE( CONTROL!$C$32, 8.9521, 8.9517) * CHOOSE(CONTROL!$C$15, $D$11, 100%, $F$11)</f>
        <v>8.9520999999999997</v>
      </c>
      <c r="C274" s="8">
        <f>CHOOSE( CONTROL!$C$32, 8.9601, 8.9597) * CHOOSE(CONTROL!$C$15, $D$11, 100%, $F$11)</f>
        <v>8.9601000000000006</v>
      </c>
      <c r="D274" s="8">
        <f>CHOOSE( CONTROL!$C$32, 8.9548, 8.9544) * CHOOSE( CONTROL!$C$15, $D$11, 100%, $F$11)</f>
        <v>8.9548000000000005</v>
      </c>
      <c r="E274" s="12">
        <f>CHOOSE( CONTROL!$C$32, 8.9555, 8.9551) * CHOOSE( CONTROL!$C$15, $D$11, 100%, $F$11)</f>
        <v>8.9555000000000007</v>
      </c>
      <c r="F274" s="4">
        <f>CHOOSE( CONTROL!$C$32, 9.6591, 9.6586) * CHOOSE(CONTROL!$C$15, $D$11, 100%, $F$11)</f>
        <v>9.6591000000000005</v>
      </c>
      <c r="G274" s="8">
        <f>CHOOSE( CONTROL!$C$32, 8.8533, 8.8529) * CHOOSE( CONTROL!$C$15, $D$11, 100%, $F$11)</f>
        <v>8.8533000000000008</v>
      </c>
      <c r="H274" s="4">
        <f>CHOOSE( CONTROL!$C$32, 9.7926, 9.7922) * CHOOSE(CONTROL!$C$15, $D$11, 100%, $F$11)</f>
        <v>9.7926000000000002</v>
      </c>
      <c r="I274" s="8">
        <f>CHOOSE( CONTROL!$C$32, 8.7629, 8.7625) * CHOOSE(CONTROL!$C$15, $D$11, 100%, $F$11)</f>
        <v>8.7629000000000001</v>
      </c>
      <c r="J274" s="4">
        <f>CHOOSE( CONTROL!$C$32, 8.6772, 8.6768) * CHOOSE(CONTROL!$C$15, $D$11, 100%, $F$11)</f>
        <v>8.6771999999999991</v>
      </c>
      <c r="K274" s="4"/>
      <c r="L274" s="9">
        <v>29.7257</v>
      </c>
      <c r="M274" s="9">
        <v>11.6745</v>
      </c>
      <c r="N274" s="9">
        <v>4.7850000000000001</v>
      </c>
      <c r="O274" s="9">
        <v>0.36199999999999999</v>
      </c>
      <c r="P274" s="9">
        <v>1.2509999999999999</v>
      </c>
      <c r="Q274" s="9">
        <v>29.6568</v>
      </c>
      <c r="R274" s="9"/>
      <c r="S274" s="11"/>
    </row>
    <row r="275" spans="1:19" ht="15.75">
      <c r="A275" s="14">
        <v>49491</v>
      </c>
      <c r="B275" s="8">
        <f>CHOOSE( CONTROL!$C$32, 9.3368, 9.3364) * CHOOSE(CONTROL!$C$15, $D$11, 100%, $F$11)</f>
        <v>9.3368000000000002</v>
      </c>
      <c r="C275" s="8">
        <f>CHOOSE( CONTROL!$C$32, 9.3448, 9.3444) * CHOOSE(CONTROL!$C$15, $D$11, 100%, $F$11)</f>
        <v>9.3447999999999993</v>
      </c>
      <c r="D275" s="8">
        <f>CHOOSE( CONTROL!$C$32, 9.34, 9.3395) * CHOOSE( CONTROL!$C$15, $D$11, 100%, $F$11)</f>
        <v>9.34</v>
      </c>
      <c r="E275" s="12">
        <f>CHOOSE( CONTROL!$C$32, 9.3405, 9.3401) * CHOOSE( CONTROL!$C$15, $D$11, 100%, $F$11)</f>
        <v>9.3405000000000005</v>
      </c>
      <c r="F275" s="4">
        <f>CHOOSE( CONTROL!$C$32, 10.0438, 10.0433) * CHOOSE(CONTROL!$C$15, $D$11, 100%, $F$11)</f>
        <v>10.043799999999999</v>
      </c>
      <c r="G275" s="8">
        <f>CHOOSE( CONTROL!$C$32, 9.2339, 9.2334) * CHOOSE( CONTROL!$C$15, $D$11, 100%, $F$11)</f>
        <v>9.2339000000000002</v>
      </c>
      <c r="H275" s="4">
        <f>CHOOSE( CONTROL!$C$32, 10.1728, 10.1724) * CHOOSE(CONTROL!$C$15, $D$11, 100%, $F$11)</f>
        <v>10.172800000000001</v>
      </c>
      <c r="I275" s="8">
        <f>CHOOSE( CONTROL!$C$32, 9.138, 9.1376) * CHOOSE(CONTROL!$C$15, $D$11, 100%, $F$11)</f>
        <v>9.1379999999999999</v>
      </c>
      <c r="J275" s="4">
        <f>CHOOSE( CONTROL!$C$32, 9.0506, 9.0501) * CHOOSE(CONTROL!$C$15, $D$11, 100%, $F$11)</f>
        <v>9.0505999999999993</v>
      </c>
      <c r="K275" s="4"/>
      <c r="L275" s="9">
        <v>30.7165</v>
      </c>
      <c r="M275" s="9">
        <v>12.063700000000001</v>
      </c>
      <c r="N275" s="9">
        <v>4.9444999999999997</v>
      </c>
      <c r="O275" s="9">
        <v>0.37409999999999999</v>
      </c>
      <c r="P275" s="9">
        <v>1.2927</v>
      </c>
      <c r="Q275" s="9">
        <v>30.645399999999999</v>
      </c>
      <c r="R275" s="9"/>
      <c r="S275" s="11"/>
    </row>
    <row r="276" spans="1:19" ht="15.75">
      <c r="A276" s="14">
        <v>49522</v>
      </c>
      <c r="B276" s="8">
        <f>CHOOSE( CONTROL!$C$32, 8.617, 8.6166) * CHOOSE(CONTROL!$C$15, $D$11, 100%, $F$11)</f>
        <v>8.6170000000000009</v>
      </c>
      <c r="C276" s="8">
        <f>CHOOSE( CONTROL!$C$32, 8.625, 8.6245) * CHOOSE(CONTROL!$C$15, $D$11, 100%, $F$11)</f>
        <v>8.625</v>
      </c>
      <c r="D276" s="8">
        <f>CHOOSE( CONTROL!$C$32, 8.6203, 8.6198) * CHOOSE( CONTROL!$C$15, $D$11, 100%, $F$11)</f>
        <v>8.6203000000000003</v>
      </c>
      <c r="E276" s="12">
        <f>CHOOSE( CONTROL!$C$32, 8.6208, 8.6203) * CHOOSE( CONTROL!$C$15, $D$11, 100%, $F$11)</f>
        <v>8.6207999999999991</v>
      </c>
      <c r="F276" s="4">
        <f>CHOOSE( CONTROL!$C$32, 9.3239, 9.3235) * CHOOSE(CONTROL!$C$15, $D$11, 100%, $F$11)</f>
        <v>9.3239000000000001</v>
      </c>
      <c r="G276" s="8">
        <f>CHOOSE( CONTROL!$C$32, 8.5226, 8.5221) * CHOOSE( CONTROL!$C$15, $D$11, 100%, $F$11)</f>
        <v>8.5226000000000006</v>
      </c>
      <c r="H276" s="4">
        <f>CHOOSE( CONTROL!$C$32, 9.4614, 9.461) * CHOOSE(CONTROL!$C$15, $D$11, 100%, $F$11)</f>
        <v>9.4613999999999994</v>
      </c>
      <c r="I276" s="8">
        <f>CHOOSE( CONTROL!$C$32, 8.4395, 8.4391) * CHOOSE(CONTROL!$C$15, $D$11, 100%, $F$11)</f>
        <v>8.4395000000000007</v>
      </c>
      <c r="J276" s="4">
        <f>CHOOSE( CONTROL!$C$32, 8.352, 8.3515) * CHOOSE(CONTROL!$C$15, $D$11, 100%, $F$11)</f>
        <v>8.3520000000000003</v>
      </c>
      <c r="K276" s="4"/>
      <c r="L276" s="9">
        <v>30.7165</v>
      </c>
      <c r="M276" s="9">
        <v>12.063700000000001</v>
      </c>
      <c r="N276" s="9">
        <v>4.9444999999999997</v>
      </c>
      <c r="O276" s="9">
        <v>0.37409999999999999</v>
      </c>
      <c r="P276" s="9">
        <v>1.2927</v>
      </c>
      <c r="Q276" s="9">
        <v>30.645399999999999</v>
      </c>
      <c r="R276" s="9"/>
      <c r="S276" s="11"/>
    </row>
    <row r="277" spans="1:19" ht="15.75">
      <c r="A277" s="14">
        <v>49553</v>
      </c>
      <c r="B277" s="8">
        <f>CHOOSE( CONTROL!$C$32, 8.4367, 8.4363) * CHOOSE(CONTROL!$C$15, $D$11, 100%, $F$11)</f>
        <v>8.4367000000000001</v>
      </c>
      <c r="C277" s="8">
        <f>CHOOSE( CONTROL!$C$32, 8.4447, 8.4443) * CHOOSE(CONTROL!$C$15, $D$11, 100%, $F$11)</f>
        <v>8.4446999999999992</v>
      </c>
      <c r="D277" s="8">
        <f>CHOOSE( CONTROL!$C$32, 8.4399, 8.4394) * CHOOSE( CONTROL!$C$15, $D$11, 100%, $F$11)</f>
        <v>8.4398999999999997</v>
      </c>
      <c r="E277" s="12">
        <f>CHOOSE( CONTROL!$C$32, 8.4404, 8.44) * CHOOSE( CONTROL!$C$15, $D$11, 100%, $F$11)</f>
        <v>8.4404000000000003</v>
      </c>
      <c r="F277" s="4">
        <f>CHOOSE( CONTROL!$C$32, 9.1437, 9.1432) * CHOOSE(CONTROL!$C$15, $D$11, 100%, $F$11)</f>
        <v>9.1437000000000008</v>
      </c>
      <c r="G277" s="8">
        <f>CHOOSE( CONTROL!$C$32, 8.3443, 8.3439) * CHOOSE( CONTROL!$C$15, $D$11, 100%, $F$11)</f>
        <v>8.3443000000000005</v>
      </c>
      <c r="H277" s="4">
        <f>CHOOSE( CONTROL!$C$32, 9.2833, 9.2828) * CHOOSE(CONTROL!$C$15, $D$11, 100%, $F$11)</f>
        <v>9.2833000000000006</v>
      </c>
      <c r="I277" s="8">
        <f>CHOOSE( CONTROL!$C$32, 8.264, 8.2635) * CHOOSE(CONTROL!$C$15, $D$11, 100%, $F$11)</f>
        <v>8.2639999999999993</v>
      </c>
      <c r="J277" s="4">
        <f>CHOOSE( CONTROL!$C$32, 8.177, 8.1766) * CHOOSE(CONTROL!$C$15, $D$11, 100%, $F$11)</f>
        <v>8.1769999999999996</v>
      </c>
      <c r="K277" s="4"/>
      <c r="L277" s="9">
        <v>29.7257</v>
      </c>
      <c r="M277" s="9">
        <v>11.6745</v>
      </c>
      <c r="N277" s="9">
        <v>4.7850000000000001</v>
      </c>
      <c r="O277" s="9">
        <v>0.36199999999999999</v>
      </c>
      <c r="P277" s="9">
        <v>1.2509999999999999</v>
      </c>
      <c r="Q277" s="9">
        <v>29.6568</v>
      </c>
      <c r="R277" s="9"/>
      <c r="S277" s="11"/>
    </row>
    <row r="278" spans="1:19" ht="15.75">
      <c r="A278" s="14">
        <v>49583</v>
      </c>
      <c r="B278" s="8">
        <f>CHOOSE( CONTROL!$C$32, 8.8091, 8.8088) * CHOOSE(CONTROL!$C$15, $D$11, 100%, $F$11)</f>
        <v>8.8091000000000008</v>
      </c>
      <c r="C278" s="8">
        <f>CHOOSE( CONTROL!$C$32, 8.8144, 8.8142) * CHOOSE(CONTROL!$C$15, $D$11, 100%, $F$11)</f>
        <v>8.8143999999999991</v>
      </c>
      <c r="D278" s="8">
        <f>CHOOSE( CONTROL!$C$32, 8.8147, 8.8144) * CHOOSE( CONTROL!$C$15, $D$11, 100%, $F$11)</f>
        <v>8.8147000000000002</v>
      </c>
      <c r="E278" s="12">
        <f>CHOOSE( CONTROL!$C$32, 8.814, 8.8138) * CHOOSE( CONTROL!$C$15, $D$11, 100%, $F$11)</f>
        <v>8.8140000000000001</v>
      </c>
      <c r="F278" s="4">
        <f>CHOOSE( CONTROL!$C$32, 9.5178, 9.5175) * CHOOSE(CONTROL!$C$15, $D$11, 100%, $F$11)</f>
        <v>9.5177999999999994</v>
      </c>
      <c r="G278" s="8">
        <f>CHOOSE( CONTROL!$C$32, 8.714, 8.7137) * CHOOSE( CONTROL!$C$15, $D$11, 100%, $F$11)</f>
        <v>8.7140000000000004</v>
      </c>
      <c r="H278" s="4">
        <f>CHOOSE( CONTROL!$C$32, 9.653, 9.6527) * CHOOSE(CONTROL!$C$15, $D$11, 100%, $F$11)</f>
        <v>9.6530000000000005</v>
      </c>
      <c r="I278" s="8">
        <f>CHOOSE( CONTROL!$C$32, 8.6279, 8.6276) * CHOOSE(CONTROL!$C$15, $D$11, 100%, $F$11)</f>
        <v>8.6279000000000003</v>
      </c>
      <c r="J278" s="4">
        <f>CHOOSE( CONTROL!$C$32, 8.5401, 8.5398) * CHOOSE(CONTROL!$C$15, $D$11, 100%, $F$11)</f>
        <v>8.5401000000000007</v>
      </c>
      <c r="K278" s="4"/>
      <c r="L278" s="9">
        <v>31.095300000000002</v>
      </c>
      <c r="M278" s="9">
        <v>12.063700000000001</v>
      </c>
      <c r="N278" s="9">
        <v>4.9444999999999997</v>
      </c>
      <c r="O278" s="9">
        <v>0.37409999999999999</v>
      </c>
      <c r="P278" s="9">
        <v>1.2927</v>
      </c>
      <c r="Q278" s="9">
        <v>30.645399999999999</v>
      </c>
      <c r="R278" s="9"/>
      <c r="S278" s="11"/>
    </row>
    <row r="279" spans="1:19" ht="15.75">
      <c r="A279" s="14">
        <v>49614</v>
      </c>
      <c r="B279" s="8">
        <f>CHOOSE( CONTROL!$C$32, 9.4995, 9.4993) * CHOOSE(CONTROL!$C$15, $D$11, 100%, $F$11)</f>
        <v>9.4994999999999994</v>
      </c>
      <c r="C279" s="8">
        <f>CHOOSE( CONTROL!$C$32, 9.5046, 9.5043) * CHOOSE(CONTROL!$C$15, $D$11, 100%, $F$11)</f>
        <v>9.5045999999999999</v>
      </c>
      <c r="D279" s="8">
        <f>CHOOSE( CONTROL!$C$32, 9.4725, 9.4722) * CHOOSE( CONTROL!$C$15, $D$11, 100%, $F$11)</f>
        <v>9.4725000000000001</v>
      </c>
      <c r="E279" s="12">
        <f>CHOOSE( CONTROL!$C$32, 9.4837, 9.4834) * CHOOSE( CONTROL!$C$15, $D$11, 100%, $F$11)</f>
        <v>9.4837000000000007</v>
      </c>
      <c r="F279" s="4">
        <f>CHOOSE( CONTROL!$C$32, 10.1648, 10.1646) * CHOOSE(CONTROL!$C$15, $D$11, 100%, $F$11)</f>
        <v>10.1648</v>
      </c>
      <c r="G279" s="8">
        <f>CHOOSE( CONTROL!$C$32, 9.3857, 9.3854) * CHOOSE( CONTROL!$C$15, $D$11, 100%, $F$11)</f>
        <v>9.3856999999999999</v>
      </c>
      <c r="H279" s="4">
        <f>CHOOSE( CONTROL!$C$32, 10.2924, 10.2922) * CHOOSE(CONTROL!$C$15, $D$11, 100%, $F$11)</f>
        <v>10.292400000000001</v>
      </c>
      <c r="I279" s="8">
        <f>CHOOSE( CONTROL!$C$32, 9.3495, 9.3493) * CHOOSE(CONTROL!$C$15, $D$11, 100%, $F$11)</f>
        <v>9.3495000000000008</v>
      </c>
      <c r="J279" s="4">
        <f>CHOOSE( CONTROL!$C$32, 9.2106, 9.2103) * CHOOSE(CONTROL!$C$15, $D$11, 100%, $F$11)</f>
        <v>9.2105999999999995</v>
      </c>
      <c r="K279" s="4"/>
      <c r="L279" s="9">
        <v>28.360600000000002</v>
      </c>
      <c r="M279" s="9">
        <v>11.6745</v>
      </c>
      <c r="N279" s="9">
        <v>4.7850000000000001</v>
      </c>
      <c r="O279" s="9">
        <v>0.36199999999999999</v>
      </c>
      <c r="P279" s="9">
        <v>1.2509999999999999</v>
      </c>
      <c r="Q279" s="9">
        <v>29.6568</v>
      </c>
      <c r="R279" s="9"/>
      <c r="S279" s="11"/>
    </row>
    <row r="280" spans="1:19" ht="15.75">
      <c r="A280" s="14">
        <v>49644</v>
      </c>
      <c r="B280" s="8">
        <f>CHOOSE( CONTROL!$C$32, 9.4823, 9.482) * CHOOSE(CONTROL!$C$15, $D$11, 100%, $F$11)</f>
        <v>9.4823000000000004</v>
      </c>
      <c r="C280" s="8">
        <f>CHOOSE( CONTROL!$C$32, 9.4874, 9.4871) * CHOOSE(CONTROL!$C$15, $D$11, 100%, $F$11)</f>
        <v>9.4873999999999992</v>
      </c>
      <c r="D280" s="8">
        <f>CHOOSE( CONTROL!$C$32, 9.4571, 9.4568) * CHOOSE( CONTROL!$C$15, $D$11, 100%, $F$11)</f>
        <v>9.4571000000000005</v>
      </c>
      <c r="E280" s="12">
        <f>CHOOSE( CONTROL!$C$32, 9.4676, 9.4673) * CHOOSE( CONTROL!$C$15, $D$11, 100%, $F$11)</f>
        <v>9.4675999999999991</v>
      </c>
      <c r="F280" s="4">
        <f>CHOOSE( CONTROL!$C$32, 10.1476, 10.1473) * CHOOSE(CONTROL!$C$15, $D$11, 100%, $F$11)</f>
        <v>10.147600000000001</v>
      </c>
      <c r="G280" s="8">
        <f>CHOOSE( CONTROL!$C$32, 9.3699, 9.3697) * CHOOSE( CONTROL!$C$15, $D$11, 100%, $F$11)</f>
        <v>9.3698999999999995</v>
      </c>
      <c r="H280" s="4">
        <f>CHOOSE( CONTROL!$C$32, 10.2754, 10.2751) * CHOOSE(CONTROL!$C$15, $D$11, 100%, $F$11)</f>
        <v>10.275399999999999</v>
      </c>
      <c r="I280" s="8">
        <f>CHOOSE( CONTROL!$C$32, 9.3385, 9.3382) * CHOOSE(CONTROL!$C$15, $D$11, 100%, $F$11)</f>
        <v>9.3384999999999998</v>
      </c>
      <c r="J280" s="4">
        <f>CHOOSE( CONTROL!$C$32, 9.1938, 9.1935) * CHOOSE(CONTROL!$C$15, $D$11, 100%, $F$11)</f>
        <v>9.1937999999999995</v>
      </c>
      <c r="K280" s="4"/>
      <c r="L280" s="9">
        <v>29.306000000000001</v>
      </c>
      <c r="M280" s="9">
        <v>12.063700000000001</v>
      </c>
      <c r="N280" s="9">
        <v>4.9444999999999997</v>
      </c>
      <c r="O280" s="9">
        <v>0.37409999999999999</v>
      </c>
      <c r="P280" s="9">
        <v>1.2927</v>
      </c>
      <c r="Q280" s="9">
        <v>30.645399999999999</v>
      </c>
      <c r="R280" s="9"/>
      <c r="S280" s="11"/>
    </row>
    <row r="281" spans="1:19" ht="15.75">
      <c r="A281" s="14">
        <v>49675</v>
      </c>
      <c r="B281" s="8">
        <f>CHOOSE( CONTROL!$C$32, 9.7617, 9.7614) * CHOOSE(CONTROL!$C$15, $D$11, 100%, $F$11)</f>
        <v>9.7616999999999994</v>
      </c>
      <c r="C281" s="8">
        <f>CHOOSE( CONTROL!$C$32, 9.7668, 9.7665) * CHOOSE(CONTROL!$C$15, $D$11, 100%, $F$11)</f>
        <v>9.7667999999999999</v>
      </c>
      <c r="D281" s="8">
        <f>CHOOSE( CONTROL!$C$32, 9.7644, 9.7641) * CHOOSE( CONTROL!$C$15, $D$11, 100%, $F$11)</f>
        <v>9.7644000000000002</v>
      </c>
      <c r="E281" s="12">
        <f>CHOOSE( CONTROL!$C$32, 9.7647, 9.7644) * CHOOSE( CONTROL!$C$15, $D$11, 100%, $F$11)</f>
        <v>9.7646999999999995</v>
      </c>
      <c r="F281" s="4">
        <f>CHOOSE( CONTROL!$C$32, 10.427, 10.4267) * CHOOSE(CONTROL!$C$15, $D$11, 100%, $F$11)</f>
        <v>10.427</v>
      </c>
      <c r="G281" s="8">
        <f>CHOOSE( CONTROL!$C$32, 9.6622, 9.6619) * CHOOSE( CONTROL!$C$15, $D$11, 100%, $F$11)</f>
        <v>9.6622000000000003</v>
      </c>
      <c r="H281" s="4">
        <f>CHOOSE( CONTROL!$C$32, 10.5515, 10.5513) * CHOOSE(CONTROL!$C$15, $D$11, 100%, $F$11)</f>
        <v>10.551500000000001</v>
      </c>
      <c r="I281" s="8">
        <f>CHOOSE( CONTROL!$C$32, 9.5833, 9.5831) * CHOOSE(CONTROL!$C$15, $D$11, 100%, $F$11)</f>
        <v>9.5832999999999995</v>
      </c>
      <c r="J281" s="4">
        <f>CHOOSE( CONTROL!$C$32, 9.465, 9.4647) * CHOOSE(CONTROL!$C$15, $D$11, 100%, $F$11)</f>
        <v>9.4649999999999999</v>
      </c>
      <c r="K281" s="4"/>
      <c r="L281" s="9">
        <v>29.306000000000001</v>
      </c>
      <c r="M281" s="9">
        <v>12.063700000000001</v>
      </c>
      <c r="N281" s="9">
        <v>4.9444999999999997</v>
      </c>
      <c r="O281" s="9">
        <v>0.37409999999999999</v>
      </c>
      <c r="P281" s="9">
        <v>1.2927</v>
      </c>
      <c r="Q281" s="9">
        <v>30.580300000000001</v>
      </c>
      <c r="R281" s="9"/>
      <c r="S281" s="11"/>
    </row>
    <row r="282" spans="1:19" ht="15.75">
      <c r="A282" s="14">
        <v>49706</v>
      </c>
      <c r="B282" s="8">
        <f>CHOOSE( CONTROL!$C$32, 9.1312, 9.131) * CHOOSE(CONTROL!$C$15, $D$11, 100%, $F$11)</f>
        <v>9.1311999999999998</v>
      </c>
      <c r="C282" s="8">
        <f>CHOOSE( CONTROL!$C$32, 9.1363, 9.136) * CHOOSE(CONTROL!$C$15, $D$11, 100%, $F$11)</f>
        <v>9.1363000000000003</v>
      </c>
      <c r="D282" s="8">
        <f>CHOOSE( CONTROL!$C$32, 9.1163, 9.116) * CHOOSE( CONTROL!$C$15, $D$11, 100%, $F$11)</f>
        <v>9.1163000000000007</v>
      </c>
      <c r="E282" s="12">
        <f>CHOOSE( CONTROL!$C$32, 9.1231, 9.1228) * CHOOSE( CONTROL!$C$15, $D$11, 100%, $F$11)</f>
        <v>9.1231000000000009</v>
      </c>
      <c r="F282" s="4">
        <f>CHOOSE( CONTROL!$C$32, 9.7965, 9.7962) * CHOOSE(CONTROL!$C$15, $D$11, 100%, $F$11)</f>
        <v>9.7965</v>
      </c>
      <c r="G282" s="8">
        <f>CHOOSE( CONTROL!$C$32, 9.028, 9.0277) * CHOOSE( CONTROL!$C$15, $D$11, 100%, $F$11)</f>
        <v>9.0280000000000005</v>
      </c>
      <c r="H282" s="4">
        <f>CHOOSE( CONTROL!$C$32, 9.9284, 9.9282) * CHOOSE(CONTROL!$C$15, $D$11, 100%, $F$11)</f>
        <v>9.9283999999999999</v>
      </c>
      <c r="I282" s="8">
        <f>CHOOSE( CONTROL!$C$32, 8.9716, 8.9713) * CHOOSE(CONTROL!$C$15, $D$11, 100%, $F$11)</f>
        <v>8.9716000000000005</v>
      </c>
      <c r="J282" s="4">
        <f>CHOOSE( CONTROL!$C$32, 8.8531, 8.8528) * CHOOSE(CONTROL!$C$15, $D$11, 100%, $F$11)</f>
        <v>8.8530999999999995</v>
      </c>
      <c r="K282" s="4"/>
      <c r="L282" s="9">
        <v>27.415299999999998</v>
      </c>
      <c r="M282" s="9">
        <v>11.285299999999999</v>
      </c>
      <c r="N282" s="9">
        <v>4.6254999999999997</v>
      </c>
      <c r="O282" s="9">
        <v>0.34989999999999999</v>
      </c>
      <c r="P282" s="9">
        <v>1.2093</v>
      </c>
      <c r="Q282" s="9">
        <v>28.607299999999999</v>
      </c>
      <c r="R282" s="9"/>
      <c r="S282" s="11"/>
    </row>
    <row r="283" spans="1:19" ht="15.75">
      <c r="A283" s="14">
        <v>49735</v>
      </c>
      <c r="B283" s="8">
        <f>CHOOSE( CONTROL!$C$32, 8.937, 8.9368) * CHOOSE(CONTROL!$C$15, $D$11, 100%, $F$11)</f>
        <v>8.9369999999999994</v>
      </c>
      <c r="C283" s="8">
        <f>CHOOSE( CONTROL!$C$32, 8.9421, 8.9418) * CHOOSE(CONTROL!$C$15, $D$11, 100%, $F$11)</f>
        <v>8.9420999999999999</v>
      </c>
      <c r="D283" s="8">
        <f>CHOOSE( CONTROL!$C$32, 8.9121, 8.9119) * CHOOSE( CONTROL!$C$15, $D$11, 100%, $F$11)</f>
        <v>8.9121000000000006</v>
      </c>
      <c r="E283" s="12">
        <f>CHOOSE( CONTROL!$C$32, 8.9225, 8.9223) * CHOOSE( CONTROL!$C$15, $D$11, 100%, $F$11)</f>
        <v>8.9224999999999994</v>
      </c>
      <c r="F283" s="4">
        <f>CHOOSE( CONTROL!$C$32, 9.6023, 9.6021) * CHOOSE(CONTROL!$C$15, $D$11, 100%, $F$11)</f>
        <v>9.6022999999999996</v>
      </c>
      <c r="G283" s="8">
        <f>CHOOSE( CONTROL!$C$32, 8.8228, 8.8226) * CHOOSE( CONTROL!$C$15, $D$11, 100%, $F$11)</f>
        <v>8.8228000000000009</v>
      </c>
      <c r="H283" s="4">
        <f>CHOOSE( CONTROL!$C$32, 9.7365, 9.7362) * CHOOSE(CONTROL!$C$15, $D$11, 100%, $F$11)</f>
        <v>9.7364999999999995</v>
      </c>
      <c r="I283" s="8">
        <f>CHOOSE( CONTROL!$C$32, 8.7478, 8.7475) * CHOOSE(CONTROL!$C$15, $D$11, 100%, $F$11)</f>
        <v>8.7477999999999998</v>
      </c>
      <c r="J283" s="4">
        <f>CHOOSE( CONTROL!$C$32, 8.6647, 8.6644) * CHOOSE(CONTROL!$C$15, $D$11, 100%, $F$11)</f>
        <v>8.6646999999999998</v>
      </c>
      <c r="K283" s="4"/>
      <c r="L283" s="9">
        <v>29.306000000000001</v>
      </c>
      <c r="M283" s="9">
        <v>12.063700000000001</v>
      </c>
      <c r="N283" s="9">
        <v>4.9444999999999997</v>
      </c>
      <c r="O283" s="9">
        <v>0.37409999999999999</v>
      </c>
      <c r="P283" s="9">
        <v>1.2927</v>
      </c>
      <c r="Q283" s="9">
        <v>30.580300000000001</v>
      </c>
      <c r="R283" s="9"/>
      <c r="S283" s="11"/>
    </row>
    <row r="284" spans="1:19" ht="15.75">
      <c r="A284" s="14">
        <v>49766</v>
      </c>
      <c r="B284" s="8">
        <f>CHOOSE( CONTROL!$C$32, 9.0735, 9.0732) * CHOOSE(CONTROL!$C$15, $D$11, 100%, $F$11)</f>
        <v>9.0734999999999992</v>
      </c>
      <c r="C284" s="8">
        <f>CHOOSE( CONTROL!$C$32, 9.078, 9.0777) * CHOOSE(CONTROL!$C$15, $D$11, 100%, $F$11)</f>
        <v>9.0779999999999994</v>
      </c>
      <c r="D284" s="8">
        <f>CHOOSE( CONTROL!$C$32, 9.0775, 9.0772) * CHOOSE( CONTROL!$C$15, $D$11, 100%, $F$11)</f>
        <v>9.0775000000000006</v>
      </c>
      <c r="E284" s="12">
        <f>CHOOSE( CONTROL!$C$32, 9.0772, 9.0769) * CHOOSE( CONTROL!$C$15, $D$11, 100%, $F$11)</f>
        <v>9.0771999999999995</v>
      </c>
      <c r="F284" s="4">
        <f>CHOOSE( CONTROL!$C$32, 9.7818, 9.7815) * CHOOSE(CONTROL!$C$15, $D$11, 100%, $F$11)</f>
        <v>9.7818000000000005</v>
      </c>
      <c r="G284" s="8">
        <f>CHOOSE( CONTROL!$C$32, 8.9739, 8.9737) * CHOOSE( CONTROL!$C$15, $D$11, 100%, $F$11)</f>
        <v>8.9739000000000004</v>
      </c>
      <c r="H284" s="4">
        <f>CHOOSE( CONTROL!$C$32, 9.9139, 9.9136) * CHOOSE(CONTROL!$C$15, $D$11, 100%, $F$11)</f>
        <v>9.9138999999999999</v>
      </c>
      <c r="I284" s="8">
        <f>CHOOSE( CONTROL!$C$32, 8.8801, 8.8798) * CHOOSE(CONTROL!$C$15, $D$11, 100%, $F$11)</f>
        <v>8.8801000000000005</v>
      </c>
      <c r="J284" s="4">
        <f>CHOOSE( CONTROL!$C$32, 8.7963, 8.7961) * CHOOSE(CONTROL!$C$15, $D$11, 100%, $F$11)</f>
        <v>8.7963000000000005</v>
      </c>
      <c r="K284" s="4"/>
      <c r="L284" s="9">
        <v>30.092199999999998</v>
      </c>
      <c r="M284" s="9">
        <v>11.6745</v>
      </c>
      <c r="N284" s="9">
        <v>4.7850000000000001</v>
      </c>
      <c r="O284" s="9">
        <v>0.36199999999999999</v>
      </c>
      <c r="P284" s="9">
        <v>1.2509999999999999</v>
      </c>
      <c r="Q284" s="9">
        <v>29.593800000000002</v>
      </c>
      <c r="R284" s="9"/>
      <c r="S284" s="11"/>
    </row>
    <row r="285" spans="1:19" ht="15.75">
      <c r="A285" s="14">
        <v>49796</v>
      </c>
      <c r="B285" s="8">
        <f>CHOOSE( CONTROL!$C$32, 9.3166, 9.3161) * CHOOSE(CONTROL!$C$15, $D$11, 100%, $F$11)</f>
        <v>9.3165999999999993</v>
      </c>
      <c r="C285" s="8">
        <f>CHOOSE( CONTROL!$C$32, 9.3245, 9.3241) * CHOOSE(CONTROL!$C$15, $D$11, 100%, $F$11)</f>
        <v>9.3245000000000005</v>
      </c>
      <c r="D285" s="8">
        <f>CHOOSE( CONTROL!$C$32, 9.3188, 9.3184) * CHOOSE( CONTROL!$C$15, $D$11, 100%, $F$11)</f>
        <v>9.3187999999999995</v>
      </c>
      <c r="E285" s="12">
        <f>CHOOSE( CONTROL!$C$32, 9.3197, 9.3192) * CHOOSE( CONTROL!$C$15, $D$11, 100%, $F$11)</f>
        <v>9.3196999999999992</v>
      </c>
      <c r="F285" s="4">
        <f>CHOOSE( CONTROL!$C$32, 10.0235, 10.023) * CHOOSE(CONTROL!$C$15, $D$11, 100%, $F$11)</f>
        <v>10.0235</v>
      </c>
      <c r="G285" s="8">
        <f>CHOOSE( CONTROL!$C$32, 9.2131, 9.2127) * CHOOSE( CONTROL!$C$15, $D$11, 100%, $F$11)</f>
        <v>9.2131000000000007</v>
      </c>
      <c r="H285" s="4">
        <f>CHOOSE( CONTROL!$C$32, 10.1528, 10.1523) * CHOOSE(CONTROL!$C$15, $D$11, 100%, $F$11)</f>
        <v>10.152799999999999</v>
      </c>
      <c r="I285" s="8">
        <f>CHOOSE( CONTROL!$C$32, 9.1153, 9.1149) * CHOOSE(CONTROL!$C$15, $D$11, 100%, $F$11)</f>
        <v>9.1152999999999995</v>
      </c>
      <c r="J285" s="4">
        <f>CHOOSE( CONTROL!$C$32, 9.0309, 9.0305) * CHOOSE(CONTROL!$C$15, $D$11, 100%, $F$11)</f>
        <v>9.0309000000000008</v>
      </c>
      <c r="K285" s="4"/>
      <c r="L285" s="9">
        <v>30.7165</v>
      </c>
      <c r="M285" s="9">
        <v>12.063700000000001</v>
      </c>
      <c r="N285" s="9">
        <v>4.9444999999999997</v>
      </c>
      <c r="O285" s="9">
        <v>0.37409999999999999</v>
      </c>
      <c r="P285" s="9">
        <v>1.2927</v>
      </c>
      <c r="Q285" s="9">
        <v>30.580300000000001</v>
      </c>
      <c r="R285" s="9"/>
      <c r="S285" s="11"/>
    </row>
    <row r="286" spans="1:19" ht="15.75">
      <c r="A286" s="14">
        <v>49827</v>
      </c>
      <c r="B286" s="8">
        <f>CHOOSE( CONTROL!$C$32, 9.167, 9.1665) * CHOOSE(CONTROL!$C$15, $D$11, 100%, $F$11)</f>
        <v>9.1669999999999998</v>
      </c>
      <c r="C286" s="8">
        <f>CHOOSE( CONTROL!$C$32, 9.1749, 9.1745) * CHOOSE(CONTROL!$C$15, $D$11, 100%, $F$11)</f>
        <v>9.1748999999999992</v>
      </c>
      <c r="D286" s="8">
        <f>CHOOSE( CONTROL!$C$32, 9.1696, 9.1692) * CHOOSE( CONTROL!$C$15, $D$11, 100%, $F$11)</f>
        <v>9.1696000000000009</v>
      </c>
      <c r="E286" s="12">
        <f>CHOOSE( CONTROL!$C$32, 9.1703, 9.1699) * CHOOSE( CONTROL!$C$15, $D$11, 100%, $F$11)</f>
        <v>9.1702999999999992</v>
      </c>
      <c r="F286" s="4">
        <f>CHOOSE( CONTROL!$C$32, 9.8739, 9.8734) * CHOOSE(CONTROL!$C$15, $D$11, 100%, $F$11)</f>
        <v>9.8739000000000008</v>
      </c>
      <c r="G286" s="8">
        <f>CHOOSE( CONTROL!$C$32, 9.0656, 9.0652) * CHOOSE( CONTROL!$C$15, $D$11, 100%, $F$11)</f>
        <v>9.0655999999999999</v>
      </c>
      <c r="H286" s="4">
        <f>CHOOSE( CONTROL!$C$32, 10.0049, 10.0045) * CHOOSE(CONTROL!$C$15, $D$11, 100%, $F$11)</f>
        <v>10.004899999999999</v>
      </c>
      <c r="I286" s="8">
        <f>CHOOSE( CONTROL!$C$32, 8.9715, 8.9711) * CHOOSE(CONTROL!$C$15, $D$11, 100%, $F$11)</f>
        <v>8.9715000000000007</v>
      </c>
      <c r="J286" s="4">
        <f>CHOOSE( CONTROL!$C$32, 8.8857, 8.8853) * CHOOSE(CONTROL!$C$15, $D$11, 100%, $F$11)</f>
        <v>8.8856999999999999</v>
      </c>
      <c r="K286" s="4"/>
      <c r="L286" s="9">
        <v>29.7257</v>
      </c>
      <c r="M286" s="9">
        <v>11.6745</v>
      </c>
      <c r="N286" s="9">
        <v>4.7850000000000001</v>
      </c>
      <c r="O286" s="9">
        <v>0.36199999999999999</v>
      </c>
      <c r="P286" s="9">
        <v>1.2509999999999999</v>
      </c>
      <c r="Q286" s="9">
        <v>29.593800000000002</v>
      </c>
      <c r="R286" s="9"/>
      <c r="S286" s="11"/>
    </row>
    <row r="287" spans="1:19" ht="15.75">
      <c r="A287" s="14">
        <v>49857</v>
      </c>
      <c r="B287" s="8">
        <f>CHOOSE( CONTROL!$C$32, 9.5609, 9.5605) * CHOOSE(CONTROL!$C$15, $D$11, 100%, $F$11)</f>
        <v>9.5609000000000002</v>
      </c>
      <c r="C287" s="8">
        <f>CHOOSE( CONTROL!$C$32, 9.5689, 9.5684) * CHOOSE(CONTROL!$C$15, $D$11, 100%, $F$11)</f>
        <v>9.5688999999999993</v>
      </c>
      <c r="D287" s="8">
        <f>CHOOSE( CONTROL!$C$32, 9.564, 9.5636) * CHOOSE( CONTROL!$C$15, $D$11, 100%, $F$11)</f>
        <v>9.5640000000000001</v>
      </c>
      <c r="E287" s="12">
        <f>CHOOSE( CONTROL!$C$32, 9.5646, 9.5641) * CHOOSE( CONTROL!$C$15, $D$11, 100%, $F$11)</f>
        <v>9.5646000000000004</v>
      </c>
      <c r="F287" s="4">
        <f>CHOOSE( CONTROL!$C$32, 10.2679, 10.2674) * CHOOSE(CONTROL!$C$15, $D$11, 100%, $F$11)</f>
        <v>10.267899999999999</v>
      </c>
      <c r="G287" s="8">
        <f>CHOOSE( CONTROL!$C$32, 9.4553, 9.4549) * CHOOSE( CONTROL!$C$15, $D$11, 100%, $F$11)</f>
        <v>9.4552999999999994</v>
      </c>
      <c r="H287" s="4">
        <f>CHOOSE( CONTROL!$C$32, 10.3942, 10.3938) * CHOOSE(CONTROL!$C$15, $D$11, 100%, $F$11)</f>
        <v>10.3942</v>
      </c>
      <c r="I287" s="8">
        <f>CHOOSE( CONTROL!$C$32, 9.3556, 9.3551) * CHOOSE(CONTROL!$C$15, $D$11, 100%, $F$11)</f>
        <v>9.3556000000000008</v>
      </c>
      <c r="J287" s="4">
        <f>CHOOSE( CONTROL!$C$32, 9.268, 9.2676) * CHOOSE(CONTROL!$C$15, $D$11, 100%, $F$11)</f>
        <v>9.2680000000000007</v>
      </c>
      <c r="K287" s="4"/>
      <c r="L287" s="9">
        <v>30.7165</v>
      </c>
      <c r="M287" s="9">
        <v>12.063700000000001</v>
      </c>
      <c r="N287" s="9">
        <v>4.9444999999999997</v>
      </c>
      <c r="O287" s="9">
        <v>0.37409999999999999</v>
      </c>
      <c r="P287" s="9">
        <v>1.2927</v>
      </c>
      <c r="Q287" s="9">
        <v>30.580300000000001</v>
      </c>
      <c r="R287" s="9"/>
      <c r="S287" s="11"/>
    </row>
    <row r="288" spans="1:19" ht="15.75">
      <c r="A288" s="14">
        <v>49888</v>
      </c>
      <c r="B288" s="8">
        <f>CHOOSE( CONTROL!$C$32, 8.8238, 8.8233) * CHOOSE(CONTROL!$C$15, $D$11, 100%, $F$11)</f>
        <v>8.8238000000000003</v>
      </c>
      <c r="C288" s="8">
        <f>CHOOSE( CONTROL!$C$32, 8.8317, 8.8313) * CHOOSE(CONTROL!$C$15, $D$11, 100%, $F$11)</f>
        <v>8.8316999999999997</v>
      </c>
      <c r="D288" s="8">
        <f>CHOOSE( CONTROL!$C$32, 8.827, 8.8266) * CHOOSE( CONTROL!$C$15, $D$11, 100%, $F$11)</f>
        <v>8.827</v>
      </c>
      <c r="E288" s="12">
        <f>CHOOSE( CONTROL!$C$32, 8.8275, 8.8271) * CHOOSE( CONTROL!$C$15, $D$11, 100%, $F$11)</f>
        <v>8.8275000000000006</v>
      </c>
      <c r="F288" s="4">
        <f>CHOOSE( CONTROL!$C$32, 9.5307, 9.5303) * CHOOSE(CONTROL!$C$15, $D$11, 100%, $F$11)</f>
        <v>9.5306999999999995</v>
      </c>
      <c r="G288" s="8">
        <f>CHOOSE( CONTROL!$C$32, 8.7269, 8.7265) * CHOOSE( CONTROL!$C$15, $D$11, 100%, $F$11)</f>
        <v>8.7269000000000005</v>
      </c>
      <c r="H288" s="4">
        <f>CHOOSE( CONTROL!$C$32, 9.6657, 9.6653) * CHOOSE(CONTROL!$C$15, $D$11, 100%, $F$11)</f>
        <v>9.6656999999999993</v>
      </c>
      <c r="I288" s="8">
        <f>CHOOSE( CONTROL!$C$32, 8.6403, 8.6398) * CHOOSE(CONTROL!$C$15, $D$11, 100%, $F$11)</f>
        <v>8.6402999999999999</v>
      </c>
      <c r="J288" s="4">
        <f>CHOOSE( CONTROL!$C$32, 8.5527, 8.5522) * CHOOSE(CONTROL!$C$15, $D$11, 100%, $F$11)</f>
        <v>8.5526999999999997</v>
      </c>
      <c r="K288" s="4"/>
      <c r="L288" s="9">
        <v>30.7165</v>
      </c>
      <c r="M288" s="9">
        <v>12.063700000000001</v>
      </c>
      <c r="N288" s="9">
        <v>4.9444999999999997</v>
      </c>
      <c r="O288" s="9">
        <v>0.37409999999999999</v>
      </c>
      <c r="P288" s="9">
        <v>1.2927</v>
      </c>
      <c r="Q288" s="9">
        <v>30.580300000000001</v>
      </c>
      <c r="R288" s="9"/>
      <c r="S288" s="11"/>
    </row>
    <row r="289" spans="1:19" ht="15.75">
      <c r="A289" s="14">
        <v>49919</v>
      </c>
      <c r="B289" s="8">
        <f>CHOOSE( CONTROL!$C$32, 8.6392, 8.6387) * CHOOSE(CONTROL!$C$15, $D$11, 100%, $F$11)</f>
        <v>8.6392000000000007</v>
      </c>
      <c r="C289" s="8">
        <f>CHOOSE( CONTROL!$C$32, 8.6472, 8.6467) * CHOOSE(CONTROL!$C$15, $D$11, 100%, $F$11)</f>
        <v>8.6471999999999998</v>
      </c>
      <c r="D289" s="8">
        <f>CHOOSE( CONTROL!$C$32, 8.6423, 8.6418) * CHOOSE( CONTROL!$C$15, $D$11, 100%, $F$11)</f>
        <v>8.6423000000000005</v>
      </c>
      <c r="E289" s="12">
        <f>CHOOSE( CONTROL!$C$32, 8.6429, 8.6424) * CHOOSE( CONTROL!$C$15, $D$11, 100%, $F$11)</f>
        <v>8.6428999999999991</v>
      </c>
      <c r="F289" s="4">
        <f>CHOOSE( CONTROL!$C$32, 9.3461, 9.3457) * CHOOSE(CONTROL!$C$15, $D$11, 100%, $F$11)</f>
        <v>9.3460999999999999</v>
      </c>
      <c r="G289" s="8">
        <f>CHOOSE( CONTROL!$C$32, 8.5444, 8.5439) * CHOOSE( CONTROL!$C$15, $D$11, 100%, $F$11)</f>
        <v>8.5443999999999996</v>
      </c>
      <c r="H289" s="4">
        <f>CHOOSE( CONTROL!$C$32, 9.4833, 9.4829) * CHOOSE(CONTROL!$C$15, $D$11, 100%, $F$11)</f>
        <v>9.4832999999999998</v>
      </c>
      <c r="I289" s="8">
        <f>CHOOSE( CONTROL!$C$32, 8.4605, 8.4601) * CHOOSE(CONTROL!$C$15, $D$11, 100%, $F$11)</f>
        <v>8.4604999999999997</v>
      </c>
      <c r="J289" s="4">
        <f>CHOOSE( CONTROL!$C$32, 8.3735, 8.3731) * CHOOSE(CONTROL!$C$15, $D$11, 100%, $F$11)</f>
        <v>8.3734999999999999</v>
      </c>
      <c r="K289" s="4"/>
      <c r="L289" s="9">
        <v>29.7257</v>
      </c>
      <c r="M289" s="9">
        <v>11.6745</v>
      </c>
      <c r="N289" s="9">
        <v>4.7850000000000001</v>
      </c>
      <c r="O289" s="9">
        <v>0.36199999999999999</v>
      </c>
      <c r="P289" s="9">
        <v>1.2509999999999999</v>
      </c>
      <c r="Q289" s="9">
        <v>29.593800000000002</v>
      </c>
      <c r="R289" s="9"/>
      <c r="S289" s="11"/>
    </row>
    <row r="290" spans="1:19" ht="15.75">
      <c r="A290" s="14">
        <v>49949</v>
      </c>
      <c r="B290" s="8">
        <f>CHOOSE( CONTROL!$C$32, 9.0205, 9.0203) * CHOOSE(CONTROL!$C$15, $D$11, 100%, $F$11)</f>
        <v>9.0205000000000002</v>
      </c>
      <c r="C290" s="8">
        <f>CHOOSE( CONTROL!$C$32, 9.0259, 9.0256) * CHOOSE(CONTROL!$C$15, $D$11, 100%, $F$11)</f>
        <v>9.0259</v>
      </c>
      <c r="D290" s="8">
        <f>CHOOSE( CONTROL!$C$32, 9.0261, 9.0258) * CHOOSE( CONTROL!$C$15, $D$11, 100%, $F$11)</f>
        <v>9.0260999999999996</v>
      </c>
      <c r="E290" s="12">
        <f>CHOOSE( CONTROL!$C$32, 9.0255, 9.0252) * CHOOSE( CONTROL!$C$15, $D$11, 100%, $F$11)</f>
        <v>9.0254999999999992</v>
      </c>
      <c r="F290" s="4">
        <f>CHOOSE( CONTROL!$C$32, 9.7292, 9.7289) * CHOOSE(CONTROL!$C$15, $D$11, 100%, $F$11)</f>
        <v>9.7292000000000005</v>
      </c>
      <c r="G290" s="8">
        <f>CHOOSE( CONTROL!$C$32, 8.9229, 8.9227) * CHOOSE( CONTROL!$C$15, $D$11, 100%, $F$11)</f>
        <v>8.9229000000000003</v>
      </c>
      <c r="H290" s="4">
        <f>CHOOSE( CONTROL!$C$32, 9.8619, 9.8616) * CHOOSE(CONTROL!$C$15, $D$11, 100%, $F$11)</f>
        <v>9.8619000000000003</v>
      </c>
      <c r="I290" s="8">
        <f>CHOOSE( CONTROL!$C$32, 8.8332, 8.8329) * CHOOSE(CONTROL!$C$15, $D$11, 100%, $F$11)</f>
        <v>8.8331999999999997</v>
      </c>
      <c r="J290" s="4">
        <f>CHOOSE( CONTROL!$C$32, 8.7453, 8.745) * CHOOSE(CONTROL!$C$15, $D$11, 100%, $F$11)</f>
        <v>8.7453000000000003</v>
      </c>
      <c r="K290" s="4"/>
      <c r="L290" s="9">
        <v>31.095300000000002</v>
      </c>
      <c r="M290" s="9">
        <v>12.063700000000001</v>
      </c>
      <c r="N290" s="9">
        <v>4.9444999999999997</v>
      </c>
      <c r="O290" s="9">
        <v>0.37409999999999999</v>
      </c>
      <c r="P290" s="9">
        <v>1.2927</v>
      </c>
      <c r="Q290" s="9">
        <v>30.580300000000001</v>
      </c>
      <c r="R290" s="9"/>
      <c r="S290" s="11"/>
    </row>
    <row r="291" spans="1:19" ht="15.75">
      <c r="A291" s="14">
        <v>49980</v>
      </c>
      <c r="B291" s="8">
        <f>CHOOSE( CONTROL!$C$32, 9.7276, 9.7273) * CHOOSE(CONTROL!$C$15, $D$11, 100%, $F$11)</f>
        <v>9.7276000000000007</v>
      </c>
      <c r="C291" s="8">
        <f>CHOOSE( CONTROL!$C$32, 9.7326, 9.7324) * CHOOSE(CONTROL!$C$15, $D$11, 100%, $F$11)</f>
        <v>9.7325999999999997</v>
      </c>
      <c r="D291" s="8">
        <f>CHOOSE( CONTROL!$C$32, 9.7005, 9.7002) * CHOOSE( CONTROL!$C$15, $D$11, 100%, $F$11)</f>
        <v>9.7004999999999999</v>
      </c>
      <c r="E291" s="12">
        <f>CHOOSE( CONTROL!$C$32, 9.7117, 9.7114) * CHOOSE( CONTROL!$C$15, $D$11, 100%, $F$11)</f>
        <v>9.7117000000000004</v>
      </c>
      <c r="F291" s="4">
        <f>CHOOSE( CONTROL!$C$32, 10.3929, 10.3926) * CHOOSE(CONTROL!$C$15, $D$11, 100%, $F$11)</f>
        <v>10.392899999999999</v>
      </c>
      <c r="G291" s="8">
        <f>CHOOSE( CONTROL!$C$32, 9.611, 9.6108) * CHOOSE( CONTROL!$C$15, $D$11, 100%, $F$11)</f>
        <v>9.6110000000000007</v>
      </c>
      <c r="H291" s="4">
        <f>CHOOSE( CONTROL!$C$32, 10.5178, 10.5175) * CHOOSE(CONTROL!$C$15, $D$11, 100%, $F$11)</f>
        <v>10.517799999999999</v>
      </c>
      <c r="I291" s="8">
        <f>CHOOSE( CONTROL!$C$32, 9.5709, 9.5707) * CHOOSE(CONTROL!$C$15, $D$11, 100%, $F$11)</f>
        <v>9.5709</v>
      </c>
      <c r="J291" s="4">
        <f>CHOOSE( CONTROL!$C$32, 9.4319, 9.4316) * CHOOSE(CONTROL!$C$15, $D$11, 100%, $F$11)</f>
        <v>9.4319000000000006</v>
      </c>
      <c r="K291" s="4"/>
      <c r="L291" s="9">
        <v>28.360600000000002</v>
      </c>
      <c r="M291" s="9">
        <v>11.6745</v>
      </c>
      <c r="N291" s="9">
        <v>4.7850000000000001</v>
      </c>
      <c r="O291" s="9">
        <v>0.36199999999999999</v>
      </c>
      <c r="P291" s="9">
        <v>1.2509999999999999</v>
      </c>
      <c r="Q291" s="9">
        <v>29.593800000000002</v>
      </c>
      <c r="R291" s="9"/>
      <c r="S291" s="11"/>
    </row>
    <row r="292" spans="1:19" ht="15.75">
      <c r="A292" s="14">
        <v>50010</v>
      </c>
      <c r="B292" s="8">
        <f>CHOOSE( CONTROL!$C$32, 9.7099, 9.7096) * CHOOSE(CONTROL!$C$15, $D$11, 100%, $F$11)</f>
        <v>9.7098999999999993</v>
      </c>
      <c r="C292" s="8">
        <f>CHOOSE( CONTROL!$C$32, 9.715, 9.7147) * CHOOSE(CONTROL!$C$15, $D$11, 100%, $F$11)</f>
        <v>9.7149999999999999</v>
      </c>
      <c r="D292" s="8">
        <f>CHOOSE( CONTROL!$C$32, 9.6847, 9.6844) * CHOOSE( CONTROL!$C$15, $D$11, 100%, $F$11)</f>
        <v>9.6846999999999994</v>
      </c>
      <c r="E292" s="12">
        <f>CHOOSE( CONTROL!$C$32, 9.6952, 9.6949) * CHOOSE( CONTROL!$C$15, $D$11, 100%, $F$11)</f>
        <v>9.6951999999999998</v>
      </c>
      <c r="F292" s="4">
        <f>CHOOSE( CONTROL!$C$32, 10.3752, 10.3749) * CHOOSE(CONTROL!$C$15, $D$11, 100%, $F$11)</f>
        <v>10.3752</v>
      </c>
      <c r="G292" s="8">
        <f>CHOOSE( CONTROL!$C$32, 9.5949, 9.5946) * CHOOSE( CONTROL!$C$15, $D$11, 100%, $F$11)</f>
        <v>9.5949000000000009</v>
      </c>
      <c r="H292" s="4">
        <f>CHOOSE( CONTROL!$C$32, 10.5003, 10.5) * CHOOSE(CONTROL!$C$15, $D$11, 100%, $F$11)</f>
        <v>10.500299999999999</v>
      </c>
      <c r="I292" s="8">
        <f>CHOOSE( CONTROL!$C$32, 9.5595, 9.5592) * CHOOSE(CONTROL!$C$15, $D$11, 100%, $F$11)</f>
        <v>9.5594999999999999</v>
      </c>
      <c r="J292" s="4">
        <f>CHOOSE( CONTROL!$C$32, 9.4147, 9.4144) * CHOOSE(CONTROL!$C$15, $D$11, 100%, $F$11)</f>
        <v>9.4146999999999998</v>
      </c>
      <c r="K292" s="4"/>
      <c r="L292" s="9">
        <v>29.306000000000001</v>
      </c>
      <c r="M292" s="9">
        <v>12.063700000000001</v>
      </c>
      <c r="N292" s="9">
        <v>4.9444999999999997</v>
      </c>
      <c r="O292" s="9">
        <v>0.37409999999999999</v>
      </c>
      <c r="P292" s="9">
        <v>1.2927</v>
      </c>
      <c r="Q292" s="9">
        <v>30.580300000000001</v>
      </c>
      <c r="R292" s="9"/>
      <c r="S292" s="11"/>
    </row>
    <row r="293" spans="1:19" ht="15.75">
      <c r="A293" s="14">
        <v>50041</v>
      </c>
      <c r="B293" s="8">
        <f>CHOOSE( CONTROL!$C$32, 9.996, 9.9958) * CHOOSE(CONTROL!$C$15, $D$11, 100%, $F$11)</f>
        <v>9.9960000000000004</v>
      </c>
      <c r="C293" s="8">
        <f>CHOOSE( CONTROL!$C$32, 10.0011, 10.0008) * CHOOSE(CONTROL!$C$15, $D$11, 100%, $F$11)</f>
        <v>10.001099999999999</v>
      </c>
      <c r="D293" s="8">
        <f>CHOOSE( CONTROL!$C$32, 9.9987, 9.9985) * CHOOSE( CONTROL!$C$15, $D$11, 100%, $F$11)</f>
        <v>9.9986999999999995</v>
      </c>
      <c r="E293" s="12">
        <f>CHOOSE( CONTROL!$C$32, 9.999, 9.9988) * CHOOSE( CONTROL!$C$15, $D$11, 100%, $F$11)</f>
        <v>9.9990000000000006</v>
      </c>
      <c r="F293" s="4">
        <f>CHOOSE( CONTROL!$C$32, 10.6613, 10.661) * CHOOSE(CONTROL!$C$15, $D$11, 100%, $F$11)</f>
        <v>10.661300000000001</v>
      </c>
      <c r="G293" s="8">
        <f>CHOOSE( CONTROL!$C$32, 9.8938, 9.8935) * CHOOSE( CONTROL!$C$15, $D$11, 100%, $F$11)</f>
        <v>9.8938000000000006</v>
      </c>
      <c r="H293" s="4">
        <f>CHOOSE( CONTROL!$C$32, 10.7831, 10.7828) * CHOOSE(CONTROL!$C$15, $D$11, 100%, $F$11)</f>
        <v>10.783099999999999</v>
      </c>
      <c r="I293" s="8">
        <f>CHOOSE( CONTROL!$C$32, 9.8109, 9.8106) * CHOOSE(CONTROL!$C$15, $D$11, 100%, $F$11)</f>
        <v>9.8109000000000002</v>
      </c>
      <c r="J293" s="4">
        <f>CHOOSE( CONTROL!$C$32, 9.6924, 9.6921) * CHOOSE(CONTROL!$C$15, $D$11, 100%, $F$11)</f>
        <v>9.6923999999999992</v>
      </c>
      <c r="K293" s="4"/>
      <c r="L293" s="9">
        <v>29.306000000000001</v>
      </c>
      <c r="M293" s="9">
        <v>12.063700000000001</v>
      </c>
      <c r="N293" s="9">
        <v>4.9444999999999997</v>
      </c>
      <c r="O293" s="9">
        <v>0.37409999999999999</v>
      </c>
      <c r="P293" s="9">
        <v>1.2927</v>
      </c>
      <c r="Q293" s="9">
        <v>30.5152</v>
      </c>
      <c r="R293" s="9"/>
      <c r="S293" s="11"/>
    </row>
    <row r="294" spans="1:19" ht="15.75">
      <c r="A294" s="14">
        <v>50072</v>
      </c>
      <c r="B294" s="8">
        <f>CHOOSE( CONTROL!$C$32, 9.3504, 9.3501) * CHOOSE(CONTROL!$C$15, $D$11, 100%, $F$11)</f>
        <v>9.3504000000000005</v>
      </c>
      <c r="C294" s="8">
        <f>CHOOSE( CONTROL!$C$32, 9.3555, 9.3552) * CHOOSE(CONTROL!$C$15, $D$11, 100%, $F$11)</f>
        <v>9.3554999999999993</v>
      </c>
      <c r="D294" s="8">
        <f>CHOOSE( CONTROL!$C$32, 9.3354, 9.3352) * CHOOSE( CONTROL!$C$15, $D$11, 100%, $F$11)</f>
        <v>9.3353999999999999</v>
      </c>
      <c r="E294" s="12">
        <f>CHOOSE( CONTROL!$C$32, 9.3422, 9.342) * CHOOSE( CONTROL!$C$15, $D$11, 100%, $F$11)</f>
        <v>9.3422000000000001</v>
      </c>
      <c r="F294" s="4">
        <f>CHOOSE( CONTROL!$C$32, 10.0157, 10.0154) * CHOOSE(CONTROL!$C$15, $D$11, 100%, $F$11)</f>
        <v>10.015700000000001</v>
      </c>
      <c r="G294" s="8">
        <f>CHOOSE( CONTROL!$C$32, 9.2446, 9.2443) * CHOOSE( CONTROL!$C$15, $D$11, 100%, $F$11)</f>
        <v>9.2446000000000002</v>
      </c>
      <c r="H294" s="4">
        <f>CHOOSE( CONTROL!$C$32, 10.145, 10.1448) * CHOOSE(CONTROL!$C$15, $D$11, 100%, $F$11)</f>
        <v>10.145</v>
      </c>
      <c r="I294" s="8">
        <f>CHOOSE( CONTROL!$C$32, 9.1844, 9.1841) * CHOOSE(CONTROL!$C$15, $D$11, 100%, $F$11)</f>
        <v>9.1844000000000001</v>
      </c>
      <c r="J294" s="4">
        <f>CHOOSE( CONTROL!$C$32, 9.0658, 9.0656) * CHOOSE(CONTROL!$C$15, $D$11, 100%, $F$11)</f>
        <v>9.0657999999999994</v>
      </c>
      <c r="K294" s="4"/>
      <c r="L294" s="9">
        <v>26.469899999999999</v>
      </c>
      <c r="M294" s="9">
        <v>10.8962</v>
      </c>
      <c r="N294" s="9">
        <v>4.4660000000000002</v>
      </c>
      <c r="O294" s="9">
        <v>0.33789999999999998</v>
      </c>
      <c r="P294" s="9">
        <v>1.1676</v>
      </c>
      <c r="Q294" s="9">
        <v>27.562100000000001</v>
      </c>
      <c r="R294" s="9"/>
      <c r="S294" s="11"/>
    </row>
    <row r="295" spans="1:19" ht="15.75">
      <c r="A295" s="14">
        <v>50100</v>
      </c>
      <c r="B295" s="8">
        <f>CHOOSE( CONTROL!$C$32, 9.1516, 9.1513) * CHOOSE(CONTROL!$C$15, $D$11, 100%, $F$11)</f>
        <v>9.1516000000000002</v>
      </c>
      <c r="C295" s="8">
        <f>CHOOSE( CONTROL!$C$32, 9.1566, 9.1564) * CHOOSE(CONTROL!$C$15, $D$11, 100%, $F$11)</f>
        <v>9.1565999999999992</v>
      </c>
      <c r="D295" s="8">
        <f>CHOOSE( CONTROL!$C$32, 9.1266, 9.1264) * CHOOSE( CONTROL!$C$15, $D$11, 100%, $F$11)</f>
        <v>9.1265999999999998</v>
      </c>
      <c r="E295" s="12">
        <f>CHOOSE( CONTROL!$C$32, 9.137, 9.1368) * CHOOSE( CONTROL!$C$15, $D$11, 100%, $F$11)</f>
        <v>9.1370000000000005</v>
      </c>
      <c r="F295" s="4">
        <f>CHOOSE( CONTROL!$C$32, 9.8168, 9.8166) * CHOOSE(CONTROL!$C$15, $D$11, 100%, $F$11)</f>
        <v>9.8168000000000006</v>
      </c>
      <c r="G295" s="8">
        <f>CHOOSE( CONTROL!$C$32, 9.0348, 9.0346) * CHOOSE( CONTROL!$C$15, $D$11, 100%, $F$11)</f>
        <v>9.0348000000000006</v>
      </c>
      <c r="H295" s="4">
        <f>CHOOSE( CONTROL!$C$32, 9.9485, 9.9482) * CHOOSE(CONTROL!$C$15, $D$11, 100%, $F$11)</f>
        <v>9.9484999999999992</v>
      </c>
      <c r="I295" s="8">
        <f>CHOOSE( CONTROL!$C$32, 8.9561, 8.9558) * CHOOSE(CONTROL!$C$15, $D$11, 100%, $F$11)</f>
        <v>8.9560999999999993</v>
      </c>
      <c r="J295" s="4">
        <f>CHOOSE( CONTROL!$C$32, 8.8728, 8.8726) * CHOOSE(CONTROL!$C$15, $D$11, 100%, $F$11)</f>
        <v>8.8727999999999998</v>
      </c>
      <c r="K295" s="4"/>
      <c r="L295" s="9">
        <v>29.306000000000001</v>
      </c>
      <c r="M295" s="9">
        <v>12.063700000000001</v>
      </c>
      <c r="N295" s="9">
        <v>4.9444999999999997</v>
      </c>
      <c r="O295" s="9">
        <v>0.37409999999999999</v>
      </c>
      <c r="P295" s="9">
        <v>1.2927</v>
      </c>
      <c r="Q295" s="9">
        <v>30.5152</v>
      </c>
      <c r="R295" s="9"/>
      <c r="S295" s="11"/>
    </row>
    <row r="296" spans="1:19" ht="15.75">
      <c r="A296" s="14">
        <v>50131</v>
      </c>
      <c r="B296" s="8">
        <f>CHOOSE( CONTROL!$C$32, 9.2913, 9.291) * CHOOSE(CONTROL!$C$15, $D$11, 100%, $F$11)</f>
        <v>9.2912999999999997</v>
      </c>
      <c r="C296" s="8">
        <f>CHOOSE( CONTROL!$C$32, 9.2958, 9.2955) * CHOOSE(CONTROL!$C$15, $D$11, 100%, $F$11)</f>
        <v>9.2957999999999998</v>
      </c>
      <c r="D296" s="8">
        <f>CHOOSE( CONTROL!$C$32, 9.2953, 9.295) * CHOOSE( CONTROL!$C$15, $D$11, 100%, $F$11)</f>
        <v>9.2952999999999992</v>
      </c>
      <c r="E296" s="12">
        <f>CHOOSE( CONTROL!$C$32, 9.295, 9.2947) * CHOOSE( CONTROL!$C$15, $D$11, 100%, $F$11)</f>
        <v>9.2949999999999999</v>
      </c>
      <c r="F296" s="4">
        <f>CHOOSE( CONTROL!$C$32, 9.9996, 9.9993) * CHOOSE(CONTROL!$C$15, $D$11, 100%, $F$11)</f>
        <v>9.9995999999999992</v>
      </c>
      <c r="G296" s="8">
        <f>CHOOSE( CONTROL!$C$32, 9.1892, 9.1889) * CHOOSE( CONTROL!$C$15, $D$11, 100%, $F$11)</f>
        <v>9.1891999999999996</v>
      </c>
      <c r="H296" s="4">
        <f>CHOOSE( CONTROL!$C$32, 10.1291, 10.1289) * CHOOSE(CONTROL!$C$15, $D$11, 100%, $F$11)</f>
        <v>10.129099999999999</v>
      </c>
      <c r="I296" s="8">
        <f>CHOOSE( CONTROL!$C$32, 9.0916, 9.0913) * CHOOSE(CONTROL!$C$15, $D$11, 100%, $F$11)</f>
        <v>9.0915999999999997</v>
      </c>
      <c r="J296" s="4">
        <f>CHOOSE( CONTROL!$C$32, 9.0077, 9.0074) * CHOOSE(CONTROL!$C$15, $D$11, 100%, $F$11)</f>
        <v>9.0076999999999998</v>
      </c>
      <c r="K296" s="4"/>
      <c r="L296" s="9">
        <v>30.092199999999998</v>
      </c>
      <c r="M296" s="9">
        <v>11.6745</v>
      </c>
      <c r="N296" s="9">
        <v>4.7850000000000001</v>
      </c>
      <c r="O296" s="9">
        <v>0.36199999999999999</v>
      </c>
      <c r="P296" s="9">
        <v>1.2509999999999999</v>
      </c>
      <c r="Q296" s="9">
        <v>29.530799999999999</v>
      </c>
      <c r="R296" s="9"/>
      <c r="S296" s="11"/>
    </row>
    <row r="297" spans="1:19" ht="15.75">
      <c r="A297" s="14">
        <v>50161</v>
      </c>
      <c r="B297" s="8">
        <f>CHOOSE( CONTROL!$C$32, 9.5401, 9.5397) * CHOOSE(CONTROL!$C$15, $D$11, 100%, $F$11)</f>
        <v>9.5401000000000007</v>
      </c>
      <c r="C297" s="8">
        <f>CHOOSE( CONTROL!$C$32, 9.5481, 9.5476) * CHOOSE(CONTROL!$C$15, $D$11, 100%, $F$11)</f>
        <v>9.5480999999999998</v>
      </c>
      <c r="D297" s="8">
        <f>CHOOSE( CONTROL!$C$32, 9.5424, 9.5419) * CHOOSE( CONTROL!$C$15, $D$11, 100%, $F$11)</f>
        <v>9.5424000000000007</v>
      </c>
      <c r="E297" s="12">
        <f>CHOOSE( CONTROL!$C$32, 9.5432, 9.5428) * CHOOSE( CONTROL!$C$15, $D$11, 100%, $F$11)</f>
        <v>9.5432000000000006</v>
      </c>
      <c r="F297" s="4">
        <f>CHOOSE( CONTROL!$C$32, 10.2471, 10.2466) * CHOOSE(CONTROL!$C$15, $D$11, 100%, $F$11)</f>
        <v>10.2471</v>
      </c>
      <c r="G297" s="8">
        <f>CHOOSE( CONTROL!$C$32, 9.4341, 9.4336) * CHOOSE( CONTROL!$C$15, $D$11, 100%, $F$11)</f>
        <v>9.4341000000000008</v>
      </c>
      <c r="H297" s="4">
        <f>CHOOSE( CONTROL!$C$32, 10.3737, 10.3733) * CHOOSE(CONTROL!$C$15, $D$11, 100%, $F$11)</f>
        <v>10.373699999999999</v>
      </c>
      <c r="I297" s="8">
        <f>CHOOSE( CONTROL!$C$32, 9.3324, 9.332) * CHOOSE(CONTROL!$C$15, $D$11, 100%, $F$11)</f>
        <v>9.3323999999999998</v>
      </c>
      <c r="J297" s="4">
        <f>CHOOSE( CONTROL!$C$32, 9.2479, 9.2474) * CHOOSE(CONTROL!$C$15, $D$11, 100%, $F$11)</f>
        <v>9.2478999999999996</v>
      </c>
      <c r="K297" s="4"/>
      <c r="L297" s="9">
        <v>30.7165</v>
      </c>
      <c r="M297" s="9">
        <v>12.063700000000001</v>
      </c>
      <c r="N297" s="9">
        <v>4.9444999999999997</v>
      </c>
      <c r="O297" s="9">
        <v>0.37409999999999999</v>
      </c>
      <c r="P297" s="9">
        <v>1.2927</v>
      </c>
      <c r="Q297" s="9">
        <v>30.5152</v>
      </c>
      <c r="R297" s="9"/>
      <c r="S297" s="11"/>
    </row>
    <row r="298" spans="1:19" ht="15.75">
      <c r="A298" s="14">
        <v>50192</v>
      </c>
      <c r="B298" s="8">
        <f>CHOOSE( CONTROL!$C$32, 9.3869, 9.3865) * CHOOSE(CONTROL!$C$15, $D$11, 100%, $F$11)</f>
        <v>9.3869000000000007</v>
      </c>
      <c r="C298" s="8">
        <f>CHOOSE( CONTROL!$C$32, 9.3949, 9.3944) * CHOOSE(CONTROL!$C$15, $D$11, 100%, $F$11)</f>
        <v>9.3948999999999998</v>
      </c>
      <c r="D298" s="8">
        <f>CHOOSE( CONTROL!$C$32, 9.3896, 9.3892) * CHOOSE( CONTROL!$C$15, $D$11, 100%, $F$11)</f>
        <v>9.3895999999999997</v>
      </c>
      <c r="E298" s="12">
        <f>CHOOSE( CONTROL!$C$32, 9.3903, 9.3899) * CHOOSE( CONTROL!$C$15, $D$11, 100%, $F$11)</f>
        <v>9.3902999999999999</v>
      </c>
      <c r="F298" s="4">
        <f>CHOOSE( CONTROL!$C$32, 10.0939, 10.0934) * CHOOSE(CONTROL!$C$15, $D$11, 100%, $F$11)</f>
        <v>10.0939</v>
      </c>
      <c r="G298" s="8">
        <f>CHOOSE( CONTROL!$C$32, 9.283, 9.2826) * CHOOSE( CONTROL!$C$15, $D$11, 100%, $F$11)</f>
        <v>9.2829999999999995</v>
      </c>
      <c r="H298" s="4">
        <f>CHOOSE( CONTROL!$C$32, 10.2223, 10.2219) * CHOOSE(CONTROL!$C$15, $D$11, 100%, $F$11)</f>
        <v>10.222300000000001</v>
      </c>
      <c r="I298" s="8">
        <f>CHOOSE( CONTROL!$C$32, 9.1851, 9.1847) * CHOOSE(CONTROL!$C$15, $D$11, 100%, $F$11)</f>
        <v>9.1851000000000003</v>
      </c>
      <c r="J298" s="4">
        <f>CHOOSE( CONTROL!$C$32, 9.0992, 9.0988) * CHOOSE(CONTROL!$C$15, $D$11, 100%, $F$11)</f>
        <v>9.0991999999999997</v>
      </c>
      <c r="K298" s="4"/>
      <c r="L298" s="9">
        <v>29.7257</v>
      </c>
      <c r="M298" s="9">
        <v>11.6745</v>
      </c>
      <c r="N298" s="9">
        <v>4.7850000000000001</v>
      </c>
      <c r="O298" s="9">
        <v>0.36199999999999999</v>
      </c>
      <c r="P298" s="9">
        <v>1.2509999999999999</v>
      </c>
      <c r="Q298" s="9">
        <v>29.530799999999999</v>
      </c>
      <c r="R298" s="9"/>
      <c r="S298" s="11"/>
    </row>
    <row r="299" spans="1:19" ht="15.75">
      <c r="A299" s="14">
        <v>50222</v>
      </c>
      <c r="B299" s="8">
        <f>CHOOSE( CONTROL!$C$32, 9.7904, 9.7899) * CHOOSE(CONTROL!$C$15, $D$11, 100%, $F$11)</f>
        <v>9.7904</v>
      </c>
      <c r="C299" s="8">
        <f>CHOOSE( CONTROL!$C$32, 9.7983, 9.7979) * CHOOSE(CONTROL!$C$15, $D$11, 100%, $F$11)</f>
        <v>9.7982999999999993</v>
      </c>
      <c r="D299" s="8">
        <f>CHOOSE( CONTROL!$C$32, 9.7935, 9.793) * CHOOSE( CONTROL!$C$15, $D$11, 100%, $F$11)</f>
        <v>9.7934999999999999</v>
      </c>
      <c r="E299" s="12">
        <f>CHOOSE( CONTROL!$C$32, 9.794, 9.7936) * CHOOSE( CONTROL!$C$15, $D$11, 100%, $F$11)</f>
        <v>9.7940000000000005</v>
      </c>
      <c r="F299" s="4">
        <f>CHOOSE( CONTROL!$C$32, 10.4973, 10.4968) * CHOOSE(CONTROL!$C$15, $D$11, 100%, $F$11)</f>
        <v>10.497299999999999</v>
      </c>
      <c r="G299" s="8">
        <f>CHOOSE( CONTROL!$C$32, 9.6821, 9.6816) * CHOOSE( CONTROL!$C$15, $D$11, 100%, $F$11)</f>
        <v>9.6821000000000002</v>
      </c>
      <c r="H299" s="4">
        <f>CHOOSE( CONTROL!$C$32, 10.621, 10.6206) * CHOOSE(CONTROL!$C$15, $D$11, 100%, $F$11)</f>
        <v>10.621</v>
      </c>
      <c r="I299" s="8">
        <f>CHOOSE( CONTROL!$C$32, 9.5784, 9.5779) * CHOOSE(CONTROL!$C$15, $D$11, 100%, $F$11)</f>
        <v>9.5784000000000002</v>
      </c>
      <c r="J299" s="4">
        <f>CHOOSE( CONTROL!$C$32, 9.4907, 9.4903) * CHOOSE(CONTROL!$C$15, $D$11, 100%, $F$11)</f>
        <v>9.4907000000000004</v>
      </c>
      <c r="K299" s="4"/>
      <c r="L299" s="9">
        <v>30.7165</v>
      </c>
      <c r="M299" s="9">
        <v>12.063700000000001</v>
      </c>
      <c r="N299" s="9">
        <v>4.9444999999999997</v>
      </c>
      <c r="O299" s="9">
        <v>0.37409999999999999</v>
      </c>
      <c r="P299" s="9">
        <v>1.2927</v>
      </c>
      <c r="Q299" s="9">
        <v>30.5152</v>
      </c>
      <c r="R299" s="9"/>
      <c r="S299" s="11"/>
    </row>
    <row r="300" spans="1:19" ht="15.75">
      <c r="A300" s="14">
        <v>50253</v>
      </c>
      <c r="B300" s="8">
        <f>CHOOSE( CONTROL!$C$32, 9.0355, 9.0351) * CHOOSE(CONTROL!$C$15, $D$11, 100%, $F$11)</f>
        <v>9.0355000000000008</v>
      </c>
      <c r="C300" s="8">
        <f>CHOOSE( CONTROL!$C$32, 9.0435, 9.043) * CHOOSE(CONTROL!$C$15, $D$11, 100%, $F$11)</f>
        <v>9.0434999999999999</v>
      </c>
      <c r="D300" s="8">
        <f>CHOOSE( CONTROL!$C$32, 9.0388, 9.0383) * CHOOSE( CONTROL!$C$15, $D$11, 100%, $F$11)</f>
        <v>9.0388000000000002</v>
      </c>
      <c r="E300" s="12">
        <f>CHOOSE( CONTROL!$C$32, 9.0393, 9.0388) * CHOOSE( CONTROL!$C$15, $D$11, 100%, $F$11)</f>
        <v>9.0393000000000008</v>
      </c>
      <c r="F300" s="4">
        <f>CHOOSE( CONTROL!$C$32, 9.7424, 9.742) * CHOOSE(CONTROL!$C$15, $D$11, 100%, $F$11)</f>
        <v>9.7423999999999999</v>
      </c>
      <c r="G300" s="8">
        <f>CHOOSE( CONTROL!$C$32, 8.9362, 8.9357) * CHOOSE( CONTROL!$C$15, $D$11, 100%, $F$11)</f>
        <v>8.9361999999999995</v>
      </c>
      <c r="H300" s="4">
        <f>CHOOSE( CONTROL!$C$32, 9.875, 9.8745) * CHOOSE(CONTROL!$C$15, $D$11, 100%, $F$11)</f>
        <v>9.875</v>
      </c>
      <c r="I300" s="8">
        <f>CHOOSE( CONTROL!$C$32, 8.8459, 8.8454) * CHOOSE(CONTROL!$C$15, $D$11, 100%, $F$11)</f>
        <v>8.8459000000000003</v>
      </c>
      <c r="J300" s="4">
        <f>CHOOSE( CONTROL!$C$32, 8.7581, 8.7577) * CHOOSE(CONTROL!$C$15, $D$11, 100%, $F$11)</f>
        <v>8.7581000000000007</v>
      </c>
      <c r="K300" s="4"/>
      <c r="L300" s="9">
        <v>30.7165</v>
      </c>
      <c r="M300" s="9">
        <v>12.063700000000001</v>
      </c>
      <c r="N300" s="9">
        <v>4.9444999999999997</v>
      </c>
      <c r="O300" s="9">
        <v>0.37409999999999999</v>
      </c>
      <c r="P300" s="9">
        <v>1.2927</v>
      </c>
      <c r="Q300" s="9">
        <v>30.5152</v>
      </c>
      <c r="R300" s="9"/>
      <c r="S300" s="11"/>
    </row>
    <row r="301" spans="1:19" ht="15.75">
      <c r="A301" s="14">
        <v>50284</v>
      </c>
      <c r="B301" s="8">
        <f>CHOOSE( CONTROL!$C$32, 8.8465, 8.846) * CHOOSE(CONTROL!$C$15, $D$11, 100%, $F$11)</f>
        <v>8.8465000000000007</v>
      </c>
      <c r="C301" s="8">
        <f>CHOOSE( CONTROL!$C$32, 8.8545, 8.854) * CHOOSE(CONTROL!$C$15, $D$11, 100%, $F$11)</f>
        <v>8.8544999999999998</v>
      </c>
      <c r="D301" s="8">
        <f>CHOOSE( CONTROL!$C$32, 8.8496, 8.8491) * CHOOSE( CONTROL!$C$15, $D$11, 100%, $F$11)</f>
        <v>8.8496000000000006</v>
      </c>
      <c r="E301" s="12">
        <f>CHOOSE( CONTROL!$C$32, 8.8502, 8.8497) * CHOOSE( CONTROL!$C$15, $D$11, 100%, $F$11)</f>
        <v>8.8501999999999992</v>
      </c>
      <c r="F301" s="4">
        <f>CHOOSE( CONTROL!$C$32, 9.5534, 9.553) * CHOOSE(CONTROL!$C$15, $D$11, 100%, $F$11)</f>
        <v>9.5533999999999999</v>
      </c>
      <c r="G301" s="8">
        <f>CHOOSE( CONTROL!$C$32, 8.7492, 8.7488) * CHOOSE( CONTROL!$C$15, $D$11, 100%, $F$11)</f>
        <v>8.7492000000000001</v>
      </c>
      <c r="H301" s="4">
        <f>CHOOSE( CONTROL!$C$32, 9.6882, 9.6877) * CHOOSE(CONTROL!$C$15, $D$11, 100%, $F$11)</f>
        <v>9.6882000000000001</v>
      </c>
      <c r="I301" s="8">
        <f>CHOOSE( CONTROL!$C$32, 8.6618, 8.6614) * CHOOSE(CONTROL!$C$15, $D$11, 100%, $F$11)</f>
        <v>8.6617999999999995</v>
      </c>
      <c r="J301" s="4">
        <f>CHOOSE( CONTROL!$C$32, 8.5747, 8.5742) * CHOOSE(CONTROL!$C$15, $D$11, 100%, $F$11)</f>
        <v>8.5747</v>
      </c>
      <c r="K301" s="4"/>
      <c r="L301" s="9">
        <v>29.7257</v>
      </c>
      <c r="M301" s="9">
        <v>11.6745</v>
      </c>
      <c r="N301" s="9">
        <v>4.7850000000000001</v>
      </c>
      <c r="O301" s="9">
        <v>0.36199999999999999</v>
      </c>
      <c r="P301" s="9">
        <v>1.2509999999999999</v>
      </c>
      <c r="Q301" s="9">
        <v>29.530799999999999</v>
      </c>
      <c r="R301" s="9"/>
      <c r="S301" s="11"/>
    </row>
    <row r="302" spans="1:19" ht="15.75">
      <c r="A302" s="14">
        <v>50314</v>
      </c>
      <c r="B302" s="8">
        <f>CHOOSE( CONTROL!$C$32, 9.2371, 9.2368) * CHOOSE(CONTROL!$C$15, $D$11, 100%, $F$11)</f>
        <v>9.2370999999999999</v>
      </c>
      <c r="C302" s="8">
        <f>CHOOSE( CONTROL!$C$32, 9.2424, 9.2421) * CHOOSE(CONTROL!$C$15, $D$11, 100%, $F$11)</f>
        <v>9.2423999999999999</v>
      </c>
      <c r="D302" s="8">
        <f>CHOOSE( CONTROL!$C$32, 9.2426, 9.2423) * CHOOSE( CONTROL!$C$15, $D$11, 100%, $F$11)</f>
        <v>9.2425999999999995</v>
      </c>
      <c r="E302" s="12">
        <f>CHOOSE( CONTROL!$C$32, 9.242, 9.2417) * CHOOSE( CONTROL!$C$15, $D$11, 100%, $F$11)</f>
        <v>9.2420000000000009</v>
      </c>
      <c r="F302" s="4">
        <f>CHOOSE( CONTROL!$C$32, 9.9457, 9.9454) * CHOOSE(CONTROL!$C$15, $D$11, 100%, $F$11)</f>
        <v>9.9457000000000004</v>
      </c>
      <c r="G302" s="8">
        <f>CHOOSE( CONTROL!$C$32, 9.1369, 9.1366) * CHOOSE( CONTROL!$C$15, $D$11, 100%, $F$11)</f>
        <v>9.1369000000000007</v>
      </c>
      <c r="H302" s="4">
        <f>CHOOSE( CONTROL!$C$32, 10.0759, 10.0756) * CHOOSE(CONTROL!$C$15, $D$11, 100%, $F$11)</f>
        <v>10.075900000000001</v>
      </c>
      <c r="I302" s="8">
        <f>CHOOSE( CONTROL!$C$32, 9.0434, 9.0432) * CHOOSE(CONTROL!$C$15, $D$11, 100%, $F$11)</f>
        <v>9.0434000000000001</v>
      </c>
      <c r="J302" s="4">
        <f>CHOOSE( CONTROL!$C$32, 8.9554, 8.9551) * CHOOSE(CONTROL!$C$15, $D$11, 100%, $F$11)</f>
        <v>8.9553999999999991</v>
      </c>
      <c r="K302" s="4"/>
      <c r="L302" s="9">
        <v>31.095300000000002</v>
      </c>
      <c r="M302" s="9">
        <v>12.063700000000001</v>
      </c>
      <c r="N302" s="9">
        <v>4.9444999999999997</v>
      </c>
      <c r="O302" s="9">
        <v>0.37409999999999999</v>
      </c>
      <c r="P302" s="9">
        <v>1.2927</v>
      </c>
      <c r="Q302" s="9">
        <v>30.5152</v>
      </c>
      <c r="R302" s="9"/>
      <c r="S302" s="11"/>
    </row>
    <row r="303" spans="1:19" ht="15.75">
      <c r="A303" s="14">
        <v>50345</v>
      </c>
      <c r="B303" s="8">
        <f>CHOOSE( CONTROL!$C$32, 9.9611, 9.9608) * CHOOSE(CONTROL!$C$15, $D$11, 100%, $F$11)</f>
        <v>9.9611000000000001</v>
      </c>
      <c r="C303" s="8">
        <f>CHOOSE( CONTROL!$C$32, 9.9662, 9.9659) * CHOOSE(CONTROL!$C$15, $D$11, 100%, $F$11)</f>
        <v>9.9662000000000006</v>
      </c>
      <c r="D303" s="8">
        <f>CHOOSE( CONTROL!$C$32, 9.934, 9.9338) * CHOOSE( CONTROL!$C$15, $D$11, 100%, $F$11)</f>
        <v>9.9339999999999993</v>
      </c>
      <c r="E303" s="12">
        <f>CHOOSE( CONTROL!$C$32, 9.9452, 9.945) * CHOOSE( CONTROL!$C$15, $D$11, 100%, $F$11)</f>
        <v>9.9451999999999998</v>
      </c>
      <c r="F303" s="4">
        <f>CHOOSE( CONTROL!$C$32, 10.6264, 10.6261) * CHOOSE(CONTROL!$C$15, $D$11, 100%, $F$11)</f>
        <v>10.6264</v>
      </c>
      <c r="G303" s="8">
        <f>CHOOSE( CONTROL!$C$32, 9.8418, 9.8415) * CHOOSE( CONTROL!$C$15, $D$11, 100%, $F$11)</f>
        <v>9.8417999999999992</v>
      </c>
      <c r="H303" s="4">
        <f>CHOOSE( CONTROL!$C$32, 10.7486, 10.7483) * CHOOSE(CONTROL!$C$15, $D$11, 100%, $F$11)</f>
        <v>10.7486</v>
      </c>
      <c r="I303" s="8">
        <f>CHOOSE( CONTROL!$C$32, 9.7977, 9.7974) * CHOOSE(CONTROL!$C$15, $D$11, 100%, $F$11)</f>
        <v>9.7977000000000007</v>
      </c>
      <c r="J303" s="4">
        <f>CHOOSE( CONTROL!$C$32, 9.6585, 9.6582) * CHOOSE(CONTROL!$C$15, $D$11, 100%, $F$11)</f>
        <v>9.6585000000000001</v>
      </c>
      <c r="K303" s="4"/>
      <c r="L303" s="9">
        <v>28.360600000000002</v>
      </c>
      <c r="M303" s="9">
        <v>11.6745</v>
      </c>
      <c r="N303" s="9">
        <v>4.7850000000000001</v>
      </c>
      <c r="O303" s="9">
        <v>0.36199999999999999</v>
      </c>
      <c r="P303" s="9">
        <v>1.2509999999999999</v>
      </c>
      <c r="Q303" s="9">
        <v>29.530799999999999</v>
      </c>
      <c r="R303" s="9"/>
      <c r="S303" s="11"/>
    </row>
    <row r="304" spans="1:19" ht="15.75">
      <c r="A304" s="14">
        <v>50375</v>
      </c>
      <c r="B304" s="8">
        <f>CHOOSE( CONTROL!$C$32, 9.943, 9.9427) * CHOOSE(CONTROL!$C$15, $D$11, 100%, $F$11)</f>
        <v>9.9429999999999996</v>
      </c>
      <c r="C304" s="8">
        <f>CHOOSE( CONTROL!$C$32, 9.9481, 9.9478) * CHOOSE(CONTROL!$C$15, $D$11, 100%, $F$11)</f>
        <v>9.9481000000000002</v>
      </c>
      <c r="D304" s="8">
        <f>CHOOSE( CONTROL!$C$32, 9.9178, 9.9175) * CHOOSE( CONTROL!$C$15, $D$11, 100%, $F$11)</f>
        <v>9.9177999999999997</v>
      </c>
      <c r="E304" s="12">
        <f>CHOOSE( CONTROL!$C$32, 9.9283, 9.928) * CHOOSE( CONTROL!$C$15, $D$11, 100%, $F$11)</f>
        <v>9.9283000000000001</v>
      </c>
      <c r="F304" s="4">
        <f>CHOOSE( CONTROL!$C$32, 10.6083, 10.608) * CHOOSE(CONTROL!$C$15, $D$11, 100%, $F$11)</f>
        <v>10.6083</v>
      </c>
      <c r="G304" s="8">
        <f>CHOOSE( CONTROL!$C$32, 9.8252, 9.825) * CHOOSE( CONTROL!$C$15, $D$11, 100%, $F$11)</f>
        <v>9.8252000000000006</v>
      </c>
      <c r="H304" s="4">
        <f>CHOOSE( CONTROL!$C$32, 10.7307, 10.7304) * CHOOSE(CONTROL!$C$15, $D$11, 100%, $F$11)</f>
        <v>10.730700000000001</v>
      </c>
      <c r="I304" s="8">
        <f>CHOOSE( CONTROL!$C$32, 9.7858, 9.7855) * CHOOSE(CONTROL!$C$15, $D$11, 100%, $F$11)</f>
        <v>9.7858000000000001</v>
      </c>
      <c r="J304" s="4">
        <f>CHOOSE( CONTROL!$C$32, 9.6409, 9.6406) * CHOOSE(CONTROL!$C$15, $D$11, 100%, $F$11)</f>
        <v>9.6409000000000002</v>
      </c>
      <c r="K304" s="4"/>
      <c r="L304" s="9">
        <v>29.306000000000001</v>
      </c>
      <c r="M304" s="9">
        <v>12.063700000000001</v>
      </c>
      <c r="N304" s="9">
        <v>4.9444999999999997</v>
      </c>
      <c r="O304" s="9">
        <v>0.37409999999999999</v>
      </c>
      <c r="P304" s="9">
        <v>1.2927</v>
      </c>
      <c r="Q304" s="9">
        <v>30.5152</v>
      </c>
      <c r="R304" s="9"/>
      <c r="S304" s="11"/>
    </row>
    <row r="305" spans="1:19" ht="15.75">
      <c r="A305" s="13">
        <v>50436</v>
      </c>
      <c r="B305" s="8">
        <f>CHOOSE( CONTROL!$C$32, 10.236, 10.2357) * CHOOSE(CONTROL!$C$15, $D$11, 100%, $F$11)</f>
        <v>10.236000000000001</v>
      </c>
      <c r="C305" s="8">
        <f>CHOOSE( CONTROL!$C$32, 10.2411, 10.2408) * CHOOSE(CONTROL!$C$15, $D$11, 100%, $F$11)</f>
        <v>10.241099999999999</v>
      </c>
      <c r="D305" s="8">
        <f>CHOOSE( CONTROL!$C$32, 10.2387, 10.2384) * CHOOSE( CONTROL!$C$15, $D$11, 100%, $F$11)</f>
        <v>10.2387</v>
      </c>
      <c r="E305" s="12">
        <f>CHOOSE( CONTROL!$C$32, 10.239, 10.2387) * CHOOSE( CONTROL!$C$15, $D$11, 100%, $F$11)</f>
        <v>10.239000000000001</v>
      </c>
      <c r="F305" s="4">
        <f>CHOOSE( CONTROL!$C$32, 10.9013, 10.901) * CHOOSE(CONTROL!$C$15, $D$11, 100%, $F$11)</f>
        <v>10.901300000000001</v>
      </c>
      <c r="G305" s="8">
        <f>CHOOSE( CONTROL!$C$32, 10.1309, 10.1307) * CHOOSE( CONTROL!$C$15, $D$11, 100%, $F$11)</f>
        <v>10.1309</v>
      </c>
      <c r="H305" s="4">
        <f>CHOOSE( CONTROL!$C$32, 11.0203, 11.02) * CHOOSE(CONTROL!$C$15, $D$11, 100%, $F$11)</f>
        <v>11.020300000000001</v>
      </c>
      <c r="I305" s="8">
        <f>CHOOSE( CONTROL!$C$32, 10.0438, 10.0436) * CHOOSE(CONTROL!$C$15, $D$11, 100%, $F$11)</f>
        <v>10.043799999999999</v>
      </c>
      <c r="J305" s="4">
        <f>CHOOSE( CONTROL!$C$32, 9.9253, 9.925) * CHOOSE(CONTROL!$C$15, $D$11, 100%, $F$11)</f>
        <v>9.9253</v>
      </c>
      <c r="K305" s="4"/>
      <c r="L305" s="9">
        <v>29.306000000000001</v>
      </c>
      <c r="M305" s="9">
        <v>12.063700000000001</v>
      </c>
      <c r="N305" s="9">
        <v>4.9444999999999997</v>
      </c>
      <c r="O305" s="9">
        <v>0.37409999999999999</v>
      </c>
      <c r="P305" s="9">
        <v>1.2927</v>
      </c>
      <c r="Q305" s="9">
        <v>30.451899999999998</v>
      </c>
      <c r="R305" s="9"/>
      <c r="S305" s="11"/>
    </row>
    <row r="306" spans="1:19" ht="15.75">
      <c r="A306" s="13">
        <v>50464</v>
      </c>
      <c r="B306" s="8">
        <f>CHOOSE( CONTROL!$C$32, 9.5749, 9.5746) * CHOOSE(CONTROL!$C$15, $D$11, 100%, $F$11)</f>
        <v>9.5748999999999995</v>
      </c>
      <c r="C306" s="8">
        <f>CHOOSE( CONTROL!$C$32, 9.5799, 9.5797) * CHOOSE(CONTROL!$C$15, $D$11, 100%, $F$11)</f>
        <v>9.5799000000000003</v>
      </c>
      <c r="D306" s="8">
        <f>CHOOSE( CONTROL!$C$32, 9.5599, 9.5596) * CHOOSE( CONTROL!$C$15, $D$11, 100%, $F$11)</f>
        <v>9.5599000000000007</v>
      </c>
      <c r="E306" s="12">
        <f>CHOOSE( CONTROL!$C$32, 9.5667, 9.5664) * CHOOSE( CONTROL!$C$15, $D$11, 100%, $F$11)</f>
        <v>9.5667000000000009</v>
      </c>
      <c r="F306" s="4">
        <f>CHOOSE( CONTROL!$C$32, 10.2401, 10.2399) * CHOOSE(CONTROL!$C$15, $D$11, 100%, $F$11)</f>
        <v>10.2401</v>
      </c>
      <c r="G306" s="8">
        <f>CHOOSE( CONTROL!$C$32, 9.4664, 9.4661) * CHOOSE( CONTROL!$C$15, $D$11, 100%, $F$11)</f>
        <v>9.4664000000000001</v>
      </c>
      <c r="H306" s="4">
        <f>CHOOSE( CONTROL!$C$32, 10.3669, 10.3666) * CHOOSE(CONTROL!$C$15, $D$11, 100%, $F$11)</f>
        <v>10.366899999999999</v>
      </c>
      <c r="I306" s="8">
        <f>CHOOSE( CONTROL!$C$32, 9.4023, 9.402) * CHOOSE(CONTROL!$C$15, $D$11, 100%, $F$11)</f>
        <v>9.4023000000000003</v>
      </c>
      <c r="J306" s="4">
        <f>CHOOSE( CONTROL!$C$32, 9.2836, 9.2834) * CHOOSE(CONTROL!$C$15, $D$11, 100%, $F$11)</f>
        <v>9.2835999999999999</v>
      </c>
      <c r="K306" s="4"/>
      <c r="L306" s="9">
        <v>26.469899999999999</v>
      </c>
      <c r="M306" s="9">
        <v>10.8962</v>
      </c>
      <c r="N306" s="9">
        <v>4.4660000000000002</v>
      </c>
      <c r="O306" s="9">
        <v>0.33789999999999998</v>
      </c>
      <c r="P306" s="9">
        <v>1.1676</v>
      </c>
      <c r="Q306" s="9">
        <v>27.504999999999999</v>
      </c>
      <c r="R306" s="9"/>
      <c r="S306" s="11"/>
    </row>
    <row r="307" spans="1:19" ht="15.75">
      <c r="A307" s="13">
        <v>50495</v>
      </c>
      <c r="B307" s="8">
        <f>CHOOSE( CONTROL!$C$32, 9.3712, 9.371) * CHOOSE(CONTROL!$C$15, $D$11, 100%, $F$11)</f>
        <v>9.3712</v>
      </c>
      <c r="C307" s="8">
        <f>CHOOSE( CONTROL!$C$32, 9.3763, 9.376) * CHOOSE(CONTROL!$C$15, $D$11, 100%, $F$11)</f>
        <v>9.3763000000000005</v>
      </c>
      <c r="D307" s="8">
        <f>CHOOSE( CONTROL!$C$32, 9.3463, 9.346) * CHOOSE( CONTROL!$C$15, $D$11, 100%, $F$11)</f>
        <v>9.3462999999999994</v>
      </c>
      <c r="E307" s="12">
        <f>CHOOSE( CONTROL!$C$32, 9.3567, 9.3564) * CHOOSE( CONTROL!$C$15, $D$11, 100%, $F$11)</f>
        <v>9.3567</v>
      </c>
      <c r="F307" s="4">
        <f>CHOOSE( CONTROL!$C$32, 10.0365, 10.0362) * CHOOSE(CONTROL!$C$15, $D$11, 100%, $F$11)</f>
        <v>10.0365</v>
      </c>
      <c r="G307" s="8">
        <f>CHOOSE( CONTROL!$C$32, 9.2519, 9.2517) * CHOOSE( CONTROL!$C$15, $D$11, 100%, $F$11)</f>
        <v>9.2518999999999991</v>
      </c>
      <c r="H307" s="4">
        <f>CHOOSE( CONTROL!$C$32, 10.1656, 10.1653) * CHOOSE(CONTROL!$C$15, $D$11, 100%, $F$11)</f>
        <v>10.1656</v>
      </c>
      <c r="I307" s="8">
        <f>CHOOSE( CONTROL!$C$32, 9.1694, 9.1691) * CHOOSE(CONTROL!$C$15, $D$11, 100%, $F$11)</f>
        <v>9.1693999999999996</v>
      </c>
      <c r="J307" s="4">
        <f>CHOOSE( CONTROL!$C$32, 9.086, 9.0858) * CHOOSE(CONTROL!$C$15, $D$11, 100%, $F$11)</f>
        <v>9.0860000000000003</v>
      </c>
      <c r="K307" s="4"/>
      <c r="L307" s="9">
        <v>29.306000000000001</v>
      </c>
      <c r="M307" s="9">
        <v>12.063700000000001</v>
      </c>
      <c r="N307" s="9">
        <v>4.9444999999999997</v>
      </c>
      <c r="O307" s="9">
        <v>0.37409999999999999</v>
      </c>
      <c r="P307" s="9">
        <v>1.2927</v>
      </c>
      <c r="Q307" s="9">
        <v>30.451899999999998</v>
      </c>
      <c r="R307" s="9"/>
      <c r="S307" s="11"/>
    </row>
    <row r="308" spans="1:19" ht="15.75">
      <c r="A308" s="13">
        <v>50525</v>
      </c>
      <c r="B308" s="8">
        <f>CHOOSE( CONTROL!$C$32, 9.5143, 9.514) * CHOOSE(CONTROL!$C$15, $D$11, 100%, $F$11)</f>
        <v>9.5143000000000004</v>
      </c>
      <c r="C308" s="8">
        <f>CHOOSE( CONTROL!$C$32, 9.5188, 9.5185) * CHOOSE(CONTROL!$C$15, $D$11, 100%, $F$11)</f>
        <v>9.5188000000000006</v>
      </c>
      <c r="D308" s="8">
        <f>CHOOSE( CONTROL!$C$32, 9.5183, 9.518) * CHOOSE( CONTROL!$C$15, $D$11, 100%, $F$11)</f>
        <v>9.5183</v>
      </c>
      <c r="E308" s="12">
        <f>CHOOSE( CONTROL!$C$32, 9.518, 9.5177) * CHOOSE( CONTROL!$C$15, $D$11, 100%, $F$11)</f>
        <v>9.5180000000000007</v>
      </c>
      <c r="F308" s="4">
        <f>CHOOSE( CONTROL!$C$32, 10.2226, 10.2223) * CHOOSE(CONTROL!$C$15, $D$11, 100%, $F$11)</f>
        <v>10.2226</v>
      </c>
      <c r="G308" s="8">
        <f>CHOOSE( CONTROL!$C$32, 9.4096, 9.4093) * CHOOSE( CONTROL!$C$15, $D$11, 100%, $F$11)</f>
        <v>9.4095999999999993</v>
      </c>
      <c r="H308" s="4">
        <f>CHOOSE( CONTROL!$C$32, 10.3495, 10.3492) * CHOOSE(CONTROL!$C$15, $D$11, 100%, $F$11)</f>
        <v>10.349500000000001</v>
      </c>
      <c r="I308" s="8">
        <f>CHOOSE( CONTROL!$C$32, 9.3081, 9.3078) * CHOOSE(CONTROL!$C$15, $D$11, 100%, $F$11)</f>
        <v>9.3080999999999996</v>
      </c>
      <c r="J308" s="4">
        <f>CHOOSE( CONTROL!$C$32, 9.2241, 9.2238) * CHOOSE(CONTROL!$C$15, $D$11, 100%, $F$11)</f>
        <v>9.2241</v>
      </c>
      <c r="K308" s="4"/>
      <c r="L308" s="9">
        <v>30.092199999999998</v>
      </c>
      <c r="M308" s="9">
        <v>11.6745</v>
      </c>
      <c r="N308" s="9">
        <v>4.7850000000000001</v>
      </c>
      <c r="O308" s="9">
        <v>0.36199999999999999</v>
      </c>
      <c r="P308" s="9">
        <v>1.2509999999999999</v>
      </c>
      <c r="Q308" s="9">
        <v>29.4696</v>
      </c>
      <c r="R308" s="9"/>
      <c r="S308" s="11"/>
    </row>
    <row r="309" spans="1:19" ht="15.75">
      <c r="A309" s="13">
        <v>50556</v>
      </c>
      <c r="B309" s="8">
        <f>CHOOSE( CONTROL!$C$32, 9.7691, 9.7686) * CHOOSE(CONTROL!$C$15, $D$11, 100%, $F$11)</f>
        <v>9.7690999999999999</v>
      </c>
      <c r="C309" s="8">
        <f>CHOOSE( CONTROL!$C$32, 9.777, 9.7766) * CHOOSE(CONTROL!$C$15, $D$11, 100%, $F$11)</f>
        <v>9.7769999999999992</v>
      </c>
      <c r="D309" s="8">
        <f>CHOOSE( CONTROL!$C$32, 9.7713, 9.7709) * CHOOSE( CONTROL!$C$15, $D$11, 100%, $F$11)</f>
        <v>9.7713000000000001</v>
      </c>
      <c r="E309" s="12">
        <f>CHOOSE( CONTROL!$C$32, 9.7722, 9.7717) * CHOOSE( CONTROL!$C$15, $D$11, 100%, $F$11)</f>
        <v>9.7721999999999998</v>
      </c>
      <c r="F309" s="4">
        <f>CHOOSE( CONTROL!$C$32, 10.476, 10.4756) * CHOOSE(CONTROL!$C$15, $D$11, 100%, $F$11)</f>
        <v>10.476000000000001</v>
      </c>
      <c r="G309" s="8">
        <f>CHOOSE( CONTROL!$C$32, 9.6604, 9.6599) * CHOOSE( CONTROL!$C$15, $D$11, 100%, $F$11)</f>
        <v>9.6603999999999992</v>
      </c>
      <c r="H309" s="4">
        <f>CHOOSE( CONTROL!$C$32, 10.6, 10.5995) * CHOOSE(CONTROL!$C$15, $D$11, 100%, $F$11)</f>
        <v>10.6</v>
      </c>
      <c r="I309" s="8">
        <f>CHOOSE( CONTROL!$C$32, 9.5547, 9.5543) * CHOOSE(CONTROL!$C$15, $D$11, 100%, $F$11)</f>
        <v>9.5547000000000004</v>
      </c>
      <c r="J309" s="4">
        <f>CHOOSE( CONTROL!$C$32, 9.4701, 9.4696) * CHOOSE(CONTROL!$C$15, $D$11, 100%, $F$11)</f>
        <v>9.4701000000000004</v>
      </c>
      <c r="K309" s="4"/>
      <c r="L309" s="9">
        <v>30.7165</v>
      </c>
      <c r="M309" s="9">
        <v>12.063700000000001</v>
      </c>
      <c r="N309" s="9">
        <v>4.9444999999999997</v>
      </c>
      <c r="O309" s="9">
        <v>0.37409999999999999</v>
      </c>
      <c r="P309" s="9">
        <v>1.2927</v>
      </c>
      <c r="Q309" s="9">
        <v>30.451899999999998</v>
      </c>
      <c r="R309" s="9"/>
      <c r="S309" s="11"/>
    </row>
    <row r="310" spans="1:19" ht="15.75">
      <c r="A310" s="13">
        <v>50586</v>
      </c>
      <c r="B310" s="8">
        <f>CHOOSE( CONTROL!$C$32, 9.6122, 9.6117) * CHOOSE(CONTROL!$C$15, $D$11, 100%, $F$11)</f>
        <v>9.6121999999999996</v>
      </c>
      <c r="C310" s="8">
        <f>CHOOSE( CONTROL!$C$32, 9.6202, 9.6197) * CHOOSE(CONTROL!$C$15, $D$11, 100%, $F$11)</f>
        <v>9.6202000000000005</v>
      </c>
      <c r="D310" s="8">
        <f>CHOOSE( CONTROL!$C$32, 9.6149, 9.6144) * CHOOSE( CONTROL!$C$15, $D$11, 100%, $F$11)</f>
        <v>9.6149000000000004</v>
      </c>
      <c r="E310" s="12">
        <f>CHOOSE( CONTROL!$C$32, 9.6156, 9.6151) * CHOOSE( CONTROL!$C$15, $D$11, 100%, $F$11)</f>
        <v>9.6156000000000006</v>
      </c>
      <c r="F310" s="4">
        <f>CHOOSE( CONTROL!$C$32, 10.3191, 10.3187) * CHOOSE(CONTROL!$C$15, $D$11, 100%, $F$11)</f>
        <v>10.319100000000001</v>
      </c>
      <c r="G310" s="8">
        <f>CHOOSE( CONTROL!$C$32, 9.5056, 9.5052) * CHOOSE( CONTROL!$C$15, $D$11, 100%, $F$11)</f>
        <v>9.5055999999999994</v>
      </c>
      <c r="H310" s="4">
        <f>CHOOSE( CONTROL!$C$32, 10.4449, 10.4445) * CHOOSE(CONTROL!$C$15, $D$11, 100%, $F$11)</f>
        <v>10.444900000000001</v>
      </c>
      <c r="I310" s="8">
        <f>CHOOSE( CONTROL!$C$32, 9.4038, 9.4034) * CHOOSE(CONTROL!$C$15, $D$11, 100%, $F$11)</f>
        <v>9.4038000000000004</v>
      </c>
      <c r="J310" s="4">
        <f>CHOOSE( CONTROL!$C$32, 9.3178, 9.3174) * CHOOSE(CONTROL!$C$15, $D$11, 100%, $F$11)</f>
        <v>9.3178000000000001</v>
      </c>
      <c r="K310" s="4"/>
      <c r="L310" s="9">
        <v>29.7257</v>
      </c>
      <c r="M310" s="9">
        <v>11.6745</v>
      </c>
      <c r="N310" s="9">
        <v>4.7850000000000001</v>
      </c>
      <c r="O310" s="9">
        <v>0.36199999999999999</v>
      </c>
      <c r="P310" s="9">
        <v>1.2509999999999999</v>
      </c>
      <c r="Q310" s="9">
        <v>29.4696</v>
      </c>
      <c r="R310" s="9"/>
      <c r="S310" s="11"/>
    </row>
    <row r="311" spans="1:19" ht="15.75">
      <c r="A311" s="13">
        <v>50617</v>
      </c>
      <c r="B311" s="8">
        <f>CHOOSE( CONTROL!$C$32, 10.0253, 10.0249) * CHOOSE(CONTROL!$C$15, $D$11, 100%, $F$11)</f>
        <v>10.0253</v>
      </c>
      <c r="C311" s="8">
        <f>CHOOSE( CONTROL!$C$32, 10.0333, 10.0328) * CHOOSE(CONTROL!$C$15, $D$11, 100%, $F$11)</f>
        <v>10.033300000000001</v>
      </c>
      <c r="D311" s="8">
        <f>CHOOSE( CONTROL!$C$32, 10.0284, 10.028) * CHOOSE( CONTROL!$C$15, $D$11, 100%, $F$11)</f>
        <v>10.0284</v>
      </c>
      <c r="E311" s="12">
        <f>CHOOSE( CONTROL!$C$32, 10.029, 10.0285) * CHOOSE( CONTROL!$C$15, $D$11, 100%, $F$11)</f>
        <v>10.029</v>
      </c>
      <c r="F311" s="4">
        <f>CHOOSE( CONTROL!$C$32, 10.7323, 10.7318) * CHOOSE(CONTROL!$C$15, $D$11, 100%, $F$11)</f>
        <v>10.7323</v>
      </c>
      <c r="G311" s="8">
        <f>CHOOSE( CONTROL!$C$32, 9.9143, 9.9138) * CHOOSE( CONTROL!$C$15, $D$11, 100%, $F$11)</f>
        <v>9.9143000000000008</v>
      </c>
      <c r="H311" s="4">
        <f>CHOOSE( CONTROL!$C$32, 10.8532, 10.8528) * CHOOSE(CONTROL!$C$15, $D$11, 100%, $F$11)</f>
        <v>10.853199999999999</v>
      </c>
      <c r="I311" s="8">
        <f>CHOOSE( CONTROL!$C$32, 9.8065, 9.8061) * CHOOSE(CONTROL!$C$15, $D$11, 100%, $F$11)</f>
        <v>9.8064999999999998</v>
      </c>
      <c r="J311" s="4">
        <f>CHOOSE( CONTROL!$C$32, 9.7187, 9.7183) * CHOOSE(CONTROL!$C$15, $D$11, 100%, $F$11)</f>
        <v>9.7187000000000001</v>
      </c>
      <c r="K311" s="4"/>
      <c r="L311" s="9">
        <v>30.7165</v>
      </c>
      <c r="M311" s="9">
        <v>12.063700000000001</v>
      </c>
      <c r="N311" s="9">
        <v>4.9444999999999997</v>
      </c>
      <c r="O311" s="9">
        <v>0.37409999999999999</v>
      </c>
      <c r="P311" s="9">
        <v>1.2927</v>
      </c>
      <c r="Q311" s="9">
        <v>30.451899999999998</v>
      </c>
      <c r="R311" s="9"/>
      <c r="S311" s="11"/>
    </row>
    <row r="312" spans="1:19" ht="15.75">
      <c r="A312" s="13">
        <v>50648</v>
      </c>
      <c r="B312" s="8">
        <f>CHOOSE( CONTROL!$C$32, 9.2523, 9.2519) * CHOOSE(CONTROL!$C$15, $D$11, 100%, $F$11)</f>
        <v>9.2523</v>
      </c>
      <c r="C312" s="8">
        <f>CHOOSE( CONTROL!$C$32, 9.2603, 9.2598) * CHOOSE(CONTROL!$C$15, $D$11, 100%, $F$11)</f>
        <v>9.2603000000000009</v>
      </c>
      <c r="D312" s="8">
        <f>CHOOSE( CONTROL!$C$32, 9.2556, 9.2551) * CHOOSE( CONTROL!$C$15, $D$11, 100%, $F$11)</f>
        <v>9.2555999999999994</v>
      </c>
      <c r="E312" s="12">
        <f>CHOOSE( CONTROL!$C$32, 9.2561, 9.2556) * CHOOSE( CONTROL!$C$15, $D$11, 100%, $F$11)</f>
        <v>9.2561</v>
      </c>
      <c r="F312" s="4">
        <f>CHOOSE( CONTROL!$C$32, 9.9593, 9.9588) * CHOOSE(CONTROL!$C$15, $D$11, 100%, $F$11)</f>
        <v>9.9593000000000007</v>
      </c>
      <c r="G312" s="8">
        <f>CHOOSE( CONTROL!$C$32, 9.1505, 9.15) * CHOOSE( CONTROL!$C$15, $D$11, 100%, $F$11)</f>
        <v>9.1504999999999992</v>
      </c>
      <c r="H312" s="4">
        <f>CHOOSE( CONTROL!$C$32, 10.0893, 10.0888) * CHOOSE(CONTROL!$C$15, $D$11, 100%, $F$11)</f>
        <v>10.0893</v>
      </c>
      <c r="I312" s="8">
        <f>CHOOSE( CONTROL!$C$32, 9.0564, 9.056) * CHOOSE(CONTROL!$C$15, $D$11, 100%, $F$11)</f>
        <v>9.0564</v>
      </c>
      <c r="J312" s="4">
        <f>CHOOSE( CONTROL!$C$32, 8.9686, 8.9681) * CHOOSE(CONTROL!$C$15, $D$11, 100%, $F$11)</f>
        <v>8.9686000000000003</v>
      </c>
      <c r="K312" s="4"/>
      <c r="L312" s="9">
        <v>30.7165</v>
      </c>
      <c r="M312" s="9">
        <v>12.063700000000001</v>
      </c>
      <c r="N312" s="9">
        <v>4.9444999999999997</v>
      </c>
      <c r="O312" s="9">
        <v>0.37409999999999999</v>
      </c>
      <c r="P312" s="9">
        <v>1.2927</v>
      </c>
      <c r="Q312" s="9">
        <v>30.451899999999998</v>
      </c>
      <c r="R312" s="9"/>
      <c r="S312" s="11"/>
    </row>
    <row r="313" spans="1:19" ht="15.75">
      <c r="A313" s="13">
        <v>50678</v>
      </c>
      <c r="B313" s="8">
        <f>CHOOSE( CONTROL!$C$32, 9.0588, 9.0583) * CHOOSE(CONTROL!$C$15, $D$11, 100%, $F$11)</f>
        <v>9.0587999999999997</v>
      </c>
      <c r="C313" s="8">
        <f>CHOOSE( CONTROL!$C$32, 9.0667, 9.0663) * CHOOSE(CONTROL!$C$15, $D$11, 100%, $F$11)</f>
        <v>9.0667000000000009</v>
      </c>
      <c r="D313" s="8">
        <f>CHOOSE( CONTROL!$C$32, 9.0619, 9.0614) * CHOOSE( CONTROL!$C$15, $D$11, 100%, $F$11)</f>
        <v>9.0618999999999996</v>
      </c>
      <c r="E313" s="12">
        <f>CHOOSE( CONTROL!$C$32, 9.0624, 9.062) * CHOOSE( CONTROL!$C$15, $D$11, 100%, $F$11)</f>
        <v>9.0624000000000002</v>
      </c>
      <c r="F313" s="4">
        <f>CHOOSE( CONTROL!$C$32, 9.7657, 9.7652) * CHOOSE(CONTROL!$C$15, $D$11, 100%, $F$11)</f>
        <v>9.7657000000000007</v>
      </c>
      <c r="G313" s="8">
        <f>CHOOSE( CONTROL!$C$32, 8.959, 8.9586) * CHOOSE( CONTROL!$C$15, $D$11, 100%, $F$11)</f>
        <v>8.9589999999999996</v>
      </c>
      <c r="H313" s="4">
        <f>CHOOSE( CONTROL!$C$32, 9.898, 9.8975) * CHOOSE(CONTROL!$C$15, $D$11, 100%, $F$11)</f>
        <v>9.8979999999999997</v>
      </c>
      <c r="I313" s="8">
        <f>CHOOSE( CONTROL!$C$32, 8.8679, 8.8675) * CHOOSE(CONTROL!$C$15, $D$11, 100%, $F$11)</f>
        <v>8.8679000000000006</v>
      </c>
      <c r="J313" s="4">
        <f>CHOOSE( CONTROL!$C$32, 8.7807, 8.7803) * CHOOSE(CONTROL!$C$15, $D$11, 100%, $F$11)</f>
        <v>8.7806999999999995</v>
      </c>
      <c r="K313" s="4"/>
      <c r="L313" s="9">
        <v>29.7257</v>
      </c>
      <c r="M313" s="9">
        <v>11.6745</v>
      </c>
      <c r="N313" s="9">
        <v>4.7850000000000001</v>
      </c>
      <c r="O313" s="9">
        <v>0.36199999999999999</v>
      </c>
      <c r="P313" s="9">
        <v>1.2509999999999999</v>
      </c>
      <c r="Q313" s="9">
        <v>29.4696</v>
      </c>
      <c r="R313" s="9"/>
      <c r="S313" s="11"/>
    </row>
    <row r="314" spans="1:19" ht="15.75">
      <c r="A314" s="13">
        <v>50709</v>
      </c>
      <c r="B314" s="8">
        <f>CHOOSE( CONTROL!$C$32, 9.4588, 9.4585) * CHOOSE(CONTROL!$C$15, $D$11, 100%, $F$11)</f>
        <v>9.4588000000000001</v>
      </c>
      <c r="C314" s="8">
        <f>CHOOSE( CONTROL!$C$32, 9.4641, 9.4638) * CHOOSE(CONTROL!$C$15, $D$11, 100%, $F$11)</f>
        <v>9.4641000000000002</v>
      </c>
      <c r="D314" s="8">
        <f>CHOOSE( CONTROL!$C$32, 9.4643, 9.464) * CHOOSE( CONTROL!$C$15, $D$11, 100%, $F$11)</f>
        <v>9.4642999999999997</v>
      </c>
      <c r="E314" s="12">
        <f>CHOOSE( CONTROL!$C$32, 9.4637, 9.4634) * CHOOSE( CONTROL!$C$15, $D$11, 100%, $F$11)</f>
        <v>9.4636999999999993</v>
      </c>
      <c r="F314" s="4">
        <f>CHOOSE( CONTROL!$C$32, 10.1674, 10.1672) * CHOOSE(CONTROL!$C$15, $D$11, 100%, $F$11)</f>
        <v>10.167400000000001</v>
      </c>
      <c r="G314" s="8">
        <f>CHOOSE( CONTROL!$C$32, 9.356, 9.3557) * CHOOSE( CONTROL!$C$15, $D$11, 100%, $F$11)</f>
        <v>9.3559999999999999</v>
      </c>
      <c r="H314" s="4">
        <f>CHOOSE( CONTROL!$C$32, 10.295, 10.2947) * CHOOSE(CONTROL!$C$15, $D$11, 100%, $F$11)</f>
        <v>10.295</v>
      </c>
      <c r="I314" s="8">
        <f>CHOOSE( CONTROL!$C$32, 9.2587, 9.2584) * CHOOSE(CONTROL!$C$15, $D$11, 100%, $F$11)</f>
        <v>9.2586999999999993</v>
      </c>
      <c r="J314" s="4">
        <f>CHOOSE( CONTROL!$C$32, 9.1706, 9.1703) * CHOOSE(CONTROL!$C$15, $D$11, 100%, $F$11)</f>
        <v>9.1706000000000003</v>
      </c>
      <c r="K314" s="4"/>
      <c r="L314" s="9">
        <v>31.095300000000002</v>
      </c>
      <c r="M314" s="9">
        <v>12.063700000000001</v>
      </c>
      <c r="N314" s="9">
        <v>4.9444999999999997</v>
      </c>
      <c r="O314" s="9">
        <v>0.37409999999999999</v>
      </c>
      <c r="P314" s="9">
        <v>1.2927</v>
      </c>
      <c r="Q314" s="9">
        <v>30.451899999999998</v>
      </c>
      <c r="R314" s="9"/>
      <c r="S314" s="11"/>
    </row>
    <row r="315" spans="1:19" ht="15.75">
      <c r="A315" s="13">
        <v>50739</v>
      </c>
      <c r="B315" s="8">
        <f>CHOOSE( CONTROL!$C$32, 10.2002, 10.1999) * CHOOSE(CONTROL!$C$15, $D$11, 100%, $F$11)</f>
        <v>10.200200000000001</v>
      </c>
      <c r="C315" s="8">
        <f>CHOOSE( CONTROL!$C$32, 10.2053, 10.205) * CHOOSE(CONTROL!$C$15, $D$11, 100%, $F$11)</f>
        <v>10.205299999999999</v>
      </c>
      <c r="D315" s="8">
        <f>CHOOSE( CONTROL!$C$32, 10.1731, 10.1729) * CHOOSE( CONTROL!$C$15, $D$11, 100%, $F$11)</f>
        <v>10.1731</v>
      </c>
      <c r="E315" s="12">
        <f>CHOOSE( CONTROL!$C$32, 10.1843, 10.1841) * CHOOSE( CONTROL!$C$15, $D$11, 100%, $F$11)</f>
        <v>10.1843</v>
      </c>
      <c r="F315" s="4">
        <f>CHOOSE( CONTROL!$C$32, 10.8655, 10.8652) * CHOOSE(CONTROL!$C$15, $D$11, 100%, $F$11)</f>
        <v>10.865500000000001</v>
      </c>
      <c r="G315" s="8">
        <f>CHOOSE( CONTROL!$C$32, 10.0781, 10.0778) * CHOOSE( CONTROL!$C$15, $D$11, 100%, $F$11)</f>
        <v>10.078099999999999</v>
      </c>
      <c r="H315" s="4">
        <f>CHOOSE( CONTROL!$C$32, 10.9849, 10.9846) * CHOOSE(CONTROL!$C$15, $D$11, 100%, $F$11)</f>
        <v>10.9849</v>
      </c>
      <c r="I315" s="8">
        <f>CHOOSE( CONTROL!$C$32, 10.0299, 10.0296) * CHOOSE(CONTROL!$C$15, $D$11, 100%, $F$11)</f>
        <v>10.0299</v>
      </c>
      <c r="J315" s="4">
        <f>CHOOSE( CONTROL!$C$32, 9.8905, 9.8903) * CHOOSE(CONTROL!$C$15, $D$11, 100%, $F$11)</f>
        <v>9.8904999999999994</v>
      </c>
      <c r="K315" s="4"/>
      <c r="L315" s="9">
        <v>28.360600000000002</v>
      </c>
      <c r="M315" s="9">
        <v>11.6745</v>
      </c>
      <c r="N315" s="9">
        <v>4.7850000000000001</v>
      </c>
      <c r="O315" s="9">
        <v>0.36199999999999999</v>
      </c>
      <c r="P315" s="9">
        <v>1.2509999999999999</v>
      </c>
      <c r="Q315" s="9">
        <v>29.4696</v>
      </c>
      <c r="R315" s="9"/>
      <c r="S315" s="11"/>
    </row>
    <row r="316" spans="1:19" ht="15.75">
      <c r="A316" s="13">
        <v>50770</v>
      </c>
      <c r="B316" s="8">
        <f>CHOOSE( CONTROL!$C$32, 10.1817, 10.1814) * CHOOSE(CONTROL!$C$15, $D$11, 100%, $F$11)</f>
        <v>10.181699999999999</v>
      </c>
      <c r="C316" s="8">
        <f>CHOOSE( CONTROL!$C$32, 10.1867, 10.1865) * CHOOSE(CONTROL!$C$15, $D$11, 100%, $F$11)</f>
        <v>10.1867</v>
      </c>
      <c r="D316" s="8">
        <f>CHOOSE( CONTROL!$C$32, 10.1564, 10.1562) * CHOOSE( CONTROL!$C$15, $D$11, 100%, $F$11)</f>
        <v>10.1564</v>
      </c>
      <c r="E316" s="12">
        <f>CHOOSE( CONTROL!$C$32, 10.1669, 10.1667) * CHOOSE( CONTROL!$C$15, $D$11, 100%, $F$11)</f>
        <v>10.1669</v>
      </c>
      <c r="F316" s="4">
        <f>CHOOSE( CONTROL!$C$32, 10.8469, 10.8467) * CHOOSE(CONTROL!$C$15, $D$11, 100%, $F$11)</f>
        <v>10.8469</v>
      </c>
      <c r="G316" s="8">
        <f>CHOOSE( CONTROL!$C$32, 10.0611, 10.0608) * CHOOSE( CONTROL!$C$15, $D$11, 100%, $F$11)</f>
        <v>10.0611</v>
      </c>
      <c r="H316" s="4">
        <f>CHOOSE( CONTROL!$C$32, 10.9666, 10.9663) * CHOOSE(CONTROL!$C$15, $D$11, 100%, $F$11)</f>
        <v>10.9666</v>
      </c>
      <c r="I316" s="8">
        <f>CHOOSE( CONTROL!$C$32, 10.0176, 10.0173) * CHOOSE(CONTROL!$C$15, $D$11, 100%, $F$11)</f>
        <v>10.0176</v>
      </c>
      <c r="J316" s="4">
        <f>CHOOSE( CONTROL!$C$32, 9.8725, 9.8723) * CHOOSE(CONTROL!$C$15, $D$11, 100%, $F$11)</f>
        <v>9.8725000000000005</v>
      </c>
      <c r="K316" s="4"/>
      <c r="L316" s="9">
        <v>29.306000000000001</v>
      </c>
      <c r="M316" s="9">
        <v>12.063700000000001</v>
      </c>
      <c r="N316" s="9">
        <v>4.9444999999999997</v>
      </c>
      <c r="O316" s="9">
        <v>0.37409999999999999</v>
      </c>
      <c r="P316" s="9">
        <v>1.2927</v>
      </c>
      <c r="Q316" s="9">
        <v>30.451899999999998</v>
      </c>
      <c r="R316" s="9"/>
      <c r="S316" s="11"/>
    </row>
    <row r="317" spans="1:19" ht="15.75">
      <c r="A317" s="13">
        <v>50801</v>
      </c>
      <c r="B317" s="8">
        <f>CHOOSE( CONTROL!$C$32, 10.4817, 10.4814) * CHOOSE(CONTROL!$C$15, $D$11, 100%, $F$11)</f>
        <v>10.4817</v>
      </c>
      <c r="C317" s="8">
        <f>CHOOSE( CONTROL!$C$32, 10.4868, 10.4865) * CHOOSE(CONTROL!$C$15, $D$11, 100%, $F$11)</f>
        <v>10.486800000000001</v>
      </c>
      <c r="D317" s="8">
        <f>CHOOSE( CONTROL!$C$32, 10.4844, 10.4841) * CHOOSE( CONTROL!$C$15, $D$11, 100%, $F$11)</f>
        <v>10.484400000000001</v>
      </c>
      <c r="E317" s="12">
        <f>CHOOSE( CONTROL!$C$32, 10.4847, 10.4844) * CHOOSE( CONTROL!$C$15, $D$11, 100%, $F$11)</f>
        <v>10.4847</v>
      </c>
      <c r="F317" s="4">
        <f>CHOOSE( CONTROL!$C$32, 11.147, 11.1467) * CHOOSE(CONTROL!$C$15, $D$11, 100%, $F$11)</f>
        <v>11.147</v>
      </c>
      <c r="G317" s="8">
        <f>CHOOSE( CONTROL!$C$32, 10.3738, 10.3735) * CHOOSE( CONTROL!$C$15, $D$11, 100%, $F$11)</f>
        <v>10.373799999999999</v>
      </c>
      <c r="H317" s="4">
        <f>CHOOSE( CONTROL!$C$32, 11.2631, 11.2628) * CHOOSE(CONTROL!$C$15, $D$11, 100%, $F$11)</f>
        <v>11.2631</v>
      </c>
      <c r="I317" s="8">
        <f>CHOOSE( CONTROL!$C$32, 10.2824, 10.2822) * CHOOSE(CONTROL!$C$15, $D$11, 100%, $F$11)</f>
        <v>10.282400000000001</v>
      </c>
      <c r="J317" s="4">
        <f>CHOOSE( CONTROL!$C$32, 10.1637, 10.1635) * CHOOSE(CONTROL!$C$15, $D$11, 100%, $F$11)</f>
        <v>10.1637</v>
      </c>
      <c r="K317" s="4"/>
      <c r="L317" s="9">
        <v>29.306000000000001</v>
      </c>
      <c r="M317" s="9">
        <v>12.063700000000001</v>
      </c>
      <c r="N317" s="9">
        <v>4.9444999999999997</v>
      </c>
      <c r="O317" s="9">
        <v>0.37409999999999999</v>
      </c>
      <c r="P317" s="9">
        <v>1.2927</v>
      </c>
      <c r="Q317" s="9">
        <v>30.386800000000001</v>
      </c>
      <c r="R317" s="9"/>
      <c r="S317" s="11"/>
    </row>
    <row r="318" spans="1:19" ht="15.75">
      <c r="A318" s="13">
        <v>50829</v>
      </c>
      <c r="B318" s="8">
        <f>CHOOSE( CONTROL!$C$32, 9.8047, 9.8044) * CHOOSE(CONTROL!$C$15, $D$11, 100%, $F$11)</f>
        <v>9.8047000000000004</v>
      </c>
      <c r="C318" s="8">
        <f>CHOOSE( CONTROL!$C$32, 9.8098, 9.8095) * CHOOSE(CONTROL!$C$15, $D$11, 100%, $F$11)</f>
        <v>9.8097999999999992</v>
      </c>
      <c r="D318" s="8">
        <f>CHOOSE( CONTROL!$C$32, 9.7897, 9.7895) * CHOOSE( CONTROL!$C$15, $D$11, 100%, $F$11)</f>
        <v>9.7896999999999998</v>
      </c>
      <c r="E318" s="12">
        <f>CHOOSE( CONTROL!$C$32, 9.7965, 9.7963) * CHOOSE( CONTROL!$C$15, $D$11, 100%, $F$11)</f>
        <v>9.7965</v>
      </c>
      <c r="F318" s="4">
        <f>CHOOSE( CONTROL!$C$32, 10.47, 10.4697) * CHOOSE(CONTROL!$C$15, $D$11, 100%, $F$11)</f>
        <v>10.47</v>
      </c>
      <c r="G318" s="8">
        <f>CHOOSE( CONTROL!$C$32, 9.6936, 9.6933) * CHOOSE( CONTROL!$C$15, $D$11, 100%, $F$11)</f>
        <v>9.6936</v>
      </c>
      <c r="H318" s="4">
        <f>CHOOSE( CONTROL!$C$32, 10.594, 10.5937) * CHOOSE(CONTROL!$C$15, $D$11, 100%, $F$11)</f>
        <v>10.593999999999999</v>
      </c>
      <c r="I318" s="8">
        <f>CHOOSE( CONTROL!$C$32, 9.6255, 9.6252) * CHOOSE(CONTROL!$C$15, $D$11, 100%, $F$11)</f>
        <v>9.6255000000000006</v>
      </c>
      <c r="J318" s="4">
        <f>CHOOSE( CONTROL!$C$32, 9.5067, 9.5064) * CHOOSE(CONTROL!$C$15, $D$11, 100%, $F$11)</f>
        <v>9.5067000000000004</v>
      </c>
      <c r="K318" s="4"/>
      <c r="L318" s="9">
        <v>26.469899999999999</v>
      </c>
      <c r="M318" s="9">
        <v>10.8962</v>
      </c>
      <c r="N318" s="9">
        <v>4.4660000000000002</v>
      </c>
      <c r="O318" s="9">
        <v>0.33789999999999998</v>
      </c>
      <c r="P318" s="9">
        <v>1.1676</v>
      </c>
      <c r="Q318" s="9">
        <v>27.446200000000001</v>
      </c>
      <c r="R318" s="9"/>
      <c r="S318" s="11"/>
    </row>
    <row r="319" spans="1:19" ht="15.75">
      <c r="A319" s="13">
        <v>50860</v>
      </c>
      <c r="B319" s="8">
        <f>CHOOSE( CONTROL!$C$32, 9.5962, 9.5959) * CHOOSE(CONTROL!$C$15, $D$11, 100%, $F$11)</f>
        <v>9.5961999999999996</v>
      </c>
      <c r="C319" s="8">
        <f>CHOOSE( CONTROL!$C$32, 9.6012, 9.601) * CHOOSE(CONTROL!$C$15, $D$11, 100%, $F$11)</f>
        <v>9.6012000000000004</v>
      </c>
      <c r="D319" s="8">
        <f>CHOOSE( CONTROL!$C$32, 9.5713, 9.571) * CHOOSE( CONTROL!$C$15, $D$11, 100%, $F$11)</f>
        <v>9.5713000000000008</v>
      </c>
      <c r="E319" s="12">
        <f>CHOOSE( CONTROL!$C$32, 9.5817, 9.5814) * CHOOSE( CONTROL!$C$15, $D$11, 100%, $F$11)</f>
        <v>9.5816999999999997</v>
      </c>
      <c r="F319" s="4">
        <f>CHOOSE( CONTROL!$C$32, 10.2614, 10.2612) * CHOOSE(CONTROL!$C$15, $D$11, 100%, $F$11)</f>
        <v>10.2614</v>
      </c>
      <c r="G319" s="8">
        <f>CHOOSE( CONTROL!$C$32, 9.4742, 9.474) * CHOOSE( CONTROL!$C$15, $D$11, 100%, $F$11)</f>
        <v>9.4741999999999997</v>
      </c>
      <c r="H319" s="4">
        <f>CHOOSE( CONTROL!$C$32, 10.3879, 10.3877) * CHOOSE(CONTROL!$C$15, $D$11, 100%, $F$11)</f>
        <v>10.3879</v>
      </c>
      <c r="I319" s="8">
        <f>CHOOSE( CONTROL!$C$32, 9.3878, 9.3875) * CHOOSE(CONTROL!$C$15, $D$11, 100%, $F$11)</f>
        <v>9.3878000000000004</v>
      </c>
      <c r="J319" s="4">
        <f>CHOOSE( CONTROL!$C$32, 9.3043, 9.3041) * CHOOSE(CONTROL!$C$15, $D$11, 100%, $F$11)</f>
        <v>9.3042999999999996</v>
      </c>
      <c r="K319" s="4"/>
      <c r="L319" s="9">
        <v>29.306000000000001</v>
      </c>
      <c r="M319" s="9">
        <v>12.063700000000001</v>
      </c>
      <c r="N319" s="9">
        <v>4.9444999999999997</v>
      </c>
      <c r="O319" s="9">
        <v>0.37409999999999999</v>
      </c>
      <c r="P319" s="9">
        <v>1.2927</v>
      </c>
      <c r="Q319" s="9">
        <v>30.386800000000001</v>
      </c>
      <c r="R319" s="9"/>
      <c r="S319" s="11"/>
    </row>
    <row r="320" spans="1:19" ht="15.75">
      <c r="A320" s="13">
        <v>50890</v>
      </c>
      <c r="B320" s="8">
        <f>CHOOSE( CONTROL!$C$32, 9.7426, 9.7424) * CHOOSE(CONTROL!$C$15, $D$11, 100%, $F$11)</f>
        <v>9.7425999999999995</v>
      </c>
      <c r="C320" s="8">
        <f>CHOOSE( CONTROL!$C$32, 9.7471, 9.7469) * CHOOSE(CONTROL!$C$15, $D$11, 100%, $F$11)</f>
        <v>9.7470999999999997</v>
      </c>
      <c r="D320" s="8">
        <f>CHOOSE( CONTROL!$C$32, 9.7466, 9.7464) * CHOOSE( CONTROL!$C$15, $D$11, 100%, $F$11)</f>
        <v>9.7466000000000008</v>
      </c>
      <c r="E320" s="12">
        <f>CHOOSE( CONTROL!$C$32, 9.7463, 9.7461) * CHOOSE( CONTROL!$C$15, $D$11, 100%, $F$11)</f>
        <v>9.7462999999999997</v>
      </c>
      <c r="F320" s="4">
        <f>CHOOSE( CONTROL!$C$32, 10.451, 10.4507) * CHOOSE(CONTROL!$C$15, $D$11, 100%, $F$11)</f>
        <v>10.451000000000001</v>
      </c>
      <c r="G320" s="8">
        <f>CHOOSE( CONTROL!$C$32, 9.6352, 9.635) * CHOOSE( CONTROL!$C$15, $D$11, 100%, $F$11)</f>
        <v>9.6351999999999993</v>
      </c>
      <c r="H320" s="4">
        <f>CHOOSE( CONTROL!$C$32, 10.5752, 10.5749) * CHOOSE(CONTROL!$C$15, $D$11, 100%, $F$11)</f>
        <v>10.575200000000001</v>
      </c>
      <c r="I320" s="8">
        <f>CHOOSE( CONTROL!$C$32, 9.5298, 9.5296) * CHOOSE(CONTROL!$C$15, $D$11, 100%, $F$11)</f>
        <v>9.5297999999999998</v>
      </c>
      <c r="J320" s="4">
        <f>CHOOSE( CONTROL!$C$32, 9.4457, 9.4455) * CHOOSE(CONTROL!$C$15, $D$11, 100%, $F$11)</f>
        <v>9.4457000000000004</v>
      </c>
      <c r="K320" s="4"/>
      <c r="L320" s="9">
        <v>30.092199999999998</v>
      </c>
      <c r="M320" s="9">
        <v>11.6745</v>
      </c>
      <c r="N320" s="9">
        <v>4.7850000000000001</v>
      </c>
      <c r="O320" s="9">
        <v>0.36199999999999999</v>
      </c>
      <c r="P320" s="9">
        <v>1.2509999999999999</v>
      </c>
      <c r="Q320" s="9">
        <v>29.406600000000001</v>
      </c>
      <c r="R320" s="9"/>
      <c r="S320" s="11"/>
    </row>
    <row r="321" spans="1:19" ht="15.75">
      <c r="A321" s="13">
        <v>50921</v>
      </c>
      <c r="B321" s="8">
        <f>CHOOSE( CONTROL!$C$32, 10.0035, 10.0031) * CHOOSE(CONTROL!$C$15, $D$11, 100%, $F$11)</f>
        <v>10.003500000000001</v>
      </c>
      <c r="C321" s="8">
        <f>CHOOSE( CONTROL!$C$32, 10.0115, 10.011) * CHOOSE(CONTROL!$C$15, $D$11, 100%, $F$11)</f>
        <v>10.0115</v>
      </c>
      <c r="D321" s="8">
        <f>CHOOSE( CONTROL!$C$32, 10.0058, 10.0053) * CHOOSE( CONTROL!$C$15, $D$11, 100%, $F$11)</f>
        <v>10.005800000000001</v>
      </c>
      <c r="E321" s="12">
        <f>CHOOSE( CONTROL!$C$32, 10.0066, 10.0062) * CHOOSE( CONTROL!$C$15, $D$11, 100%, $F$11)</f>
        <v>10.006600000000001</v>
      </c>
      <c r="F321" s="4">
        <f>CHOOSE( CONTROL!$C$32, 10.7105, 10.71) * CHOOSE(CONTROL!$C$15, $D$11, 100%, $F$11)</f>
        <v>10.7105</v>
      </c>
      <c r="G321" s="8">
        <f>CHOOSE( CONTROL!$C$32, 9.8921, 9.8916) * CHOOSE( CONTROL!$C$15, $D$11, 100%, $F$11)</f>
        <v>9.8920999999999992</v>
      </c>
      <c r="H321" s="4">
        <f>CHOOSE( CONTROL!$C$32, 10.8317, 10.8312) * CHOOSE(CONTROL!$C$15, $D$11, 100%, $F$11)</f>
        <v>10.8317</v>
      </c>
      <c r="I321" s="8">
        <f>CHOOSE( CONTROL!$C$32, 9.7824, 9.7819) * CHOOSE(CONTROL!$C$15, $D$11, 100%, $F$11)</f>
        <v>9.7824000000000009</v>
      </c>
      <c r="J321" s="4">
        <f>CHOOSE( CONTROL!$C$32, 9.6976, 9.6972) * CHOOSE(CONTROL!$C$15, $D$11, 100%, $F$11)</f>
        <v>9.6975999999999996</v>
      </c>
      <c r="K321" s="4"/>
      <c r="L321" s="9">
        <v>30.7165</v>
      </c>
      <c r="M321" s="9">
        <v>12.063700000000001</v>
      </c>
      <c r="N321" s="9">
        <v>4.9444999999999997</v>
      </c>
      <c r="O321" s="9">
        <v>0.37409999999999999</v>
      </c>
      <c r="P321" s="9">
        <v>1.2927</v>
      </c>
      <c r="Q321" s="9">
        <v>30.386800000000001</v>
      </c>
      <c r="R321" s="9"/>
      <c r="S321" s="11"/>
    </row>
    <row r="322" spans="1:19" ht="15.75">
      <c r="A322" s="13">
        <v>50951</v>
      </c>
      <c r="B322" s="8">
        <f>CHOOSE( CONTROL!$C$32, 9.8429, 9.8424) * CHOOSE(CONTROL!$C$15, $D$11, 100%, $F$11)</f>
        <v>9.8429000000000002</v>
      </c>
      <c r="C322" s="8">
        <f>CHOOSE( CONTROL!$C$32, 9.8508, 9.8504) * CHOOSE(CONTROL!$C$15, $D$11, 100%, $F$11)</f>
        <v>9.8507999999999996</v>
      </c>
      <c r="D322" s="8">
        <f>CHOOSE( CONTROL!$C$32, 9.8456, 9.8451) * CHOOSE( CONTROL!$C$15, $D$11, 100%, $F$11)</f>
        <v>9.8455999999999992</v>
      </c>
      <c r="E322" s="12">
        <f>CHOOSE( CONTROL!$C$32, 9.8463, 9.8458) * CHOOSE( CONTROL!$C$15, $D$11, 100%, $F$11)</f>
        <v>9.8462999999999994</v>
      </c>
      <c r="F322" s="4">
        <f>CHOOSE( CONTROL!$C$32, 10.5498, 10.5494) * CHOOSE(CONTROL!$C$15, $D$11, 100%, $F$11)</f>
        <v>10.549799999999999</v>
      </c>
      <c r="G322" s="8">
        <f>CHOOSE( CONTROL!$C$32, 9.7336, 9.7332) * CHOOSE( CONTROL!$C$15, $D$11, 100%, $F$11)</f>
        <v>9.7335999999999991</v>
      </c>
      <c r="H322" s="4">
        <f>CHOOSE( CONTROL!$C$32, 10.6729, 10.6725) * CHOOSE(CONTROL!$C$15, $D$11, 100%, $F$11)</f>
        <v>10.6729</v>
      </c>
      <c r="I322" s="8">
        <f>CHOOSE( CONTROL!$C$32, 9.6278, 9.6274) * CHOOSE(CONTROL!$C$15, $D$11, 100%, $F$11)</f>
        <v>9.6278000000000006</v>
      </c>
      <c r="J322" s="4">
        <f>CHOOSE( CONTROL!$C$32, 9.5417, 9.5412) * CHOOSE(CONTROL!$C$15, $D$11, 100%, $F$11)</f>
        <v>9.5417000000000005</v>
      </c>
      <c r="K322" s="4"/>
      <c r="L322" s="9">
        <v>29.7257</v>
      </c>
      <c r="M322" s="9">
        <v>11.6745</v>
      </c>
      <c r="N322" s="9">
        <v>4.7850000000000001</v>
      </c>
      <c r="O322" s="9">
        <v>0.36199999999999999</v>
      </c>
      <c r="P322" s="9">
        <v>1.2509999999999999</v>
      </c>
      <c r="Q322" s="9">
        <v>29.406600000000001</v>
      </c>
      <c r="R322" s="9"/>
      <c r="S322" s="11"/>
    </row>
    <row r="323" spans="1:19" ht="15.75">
      <c r="A323" s="13">
        <v>50982</v>
      </c>
      <c r="B323" s="8">
        <f>CHOOSE( CONTROL!$C$32, 10.2659, 10.2655) * CHOOSE(CONTROL!$C$15, $D$11, 100%, $F$11)</f>
        <v>10.2659</v>
      </c>
      <c r="C323" s="8">
        <f>CHOOSE( CONTROL!$C$32, 10.2739, 10.2734) * CHOOSE(CONTROL!$C$15, $D$11, 100%, $F$11)</f>
        <v>10.273899999999999</v>
      </c>
      <c r="D323" s="8">
        <f>CHOOSE( CONTROL!$C$32, 10.269, 10.2686) * CHOOSE( CONTROL!$C$15, $D$11, 100%, $F$11)</f>
        <v>10.269</v>
      </c>
      <c r="E323" s="12">
        <f>CHOOSE( CONTROL!$C$32, 10.2696, 10.2691) * CHOOSE( CONTROL!$C$15, $D$11, 100%, $F$11)</f>
        <v>10.269600000000001</v>
      </c>
      <c r="F323" s="4">
        <f>CHOOSE( CONTROL!$C$32, 10.9729, 10.9724) * CHOOSE(CONTROL!$C$15, $D$11, 100%, $F$11)</f>
        <v>10.972899999999999</v>
      </c>
      <c r="G323" s="8">
        <f>CHOOSE( CONTROL!$C$32, 10.1521, 10.1516) * CHOOSE( CONTROL!$C$15, $D$11, 100%, $F$11)</f>
        <v>10.152100000000001</v>
      </c>
      <c r="H323" s="4">
        <f>CHOOSE( CONTROL!$C$32, 11.091, 11.0906) * CHOOSE(CONTROL!$C$15, $D$11, 100%, $F$11)</f>
        <v>11.090999999999999</v>
      </c>
      <c r="I323" s="8">
        <f>CHOOSE( CONTROL!$C$32, 10.0401, 10.0397) * CHOOSE(CONTROL!$C$15, $D$11, 100%, $F$11)</f>
        <v>10.040100000000001</v>
      </c>
      <c r="J323" s="4">
        <f>CHOOSE( CONTROL!$C$32, 9.9523, 9.9518) * CHOOSE(CONTROL!$C$15, $D$11, 100%, $F$11)</f>
        <v>9.9522999999999993</v>
      </c>
      <c r="K323" s="4"/>
      <c r="L323" s="9">
        <v>30.7165</v>
      </c>
      <c r="M323" s="9">
        <v>12.063700000000001</v>
      </c>
      <c r="N323" s="9">
        <v>4.9444999999999997</v>
      </c>
      <c r="O323" s="9">
        <v>0.37409999999999999</v>
      </c>
      <c r="P323" s="9">
        <v>1.2927</v>
      </c>
      <c r="Q323" s="9">
        <v>30.386800000000001</v>
      </c>
      <c r="R323" s="9"/>
      <c r="S323" s="11"/>
    </row>
    <row r="324" spans="1:19" ht="15.75">
      <c r="A324" s="13">
        <v>51013</v>
      </c>
      <c r="B324" s="8">
        <f>CHOOSE( CONTROL!$C$32, 9.4744, 9.4739) * CHOOSE(CONTROL!$C$15, $D$11, 100%, $F$11)</f>
        <v>9.4743999999999993</v>
      </c>
      <c r="C324" s="8">
        <f>CHOOSE( CONTROL!$C$32, 9.4823, 9.4819) * CHOOSE(CONTROL!$C$15, $D$11, 100%, $F$11)</f>
        <v>9.4823000000000004</v>
      </c>
      <c r="D324" s="8">
        <f>CHOOSE( CONTROL!$C$32, 9.4776, 9.4772) * CHOOSE( CONTROL!$C$15, $D$11, 100%, $F$11)</f>
        <v>9.4776000000000007</v>
      </c>
      <c r="E324" s="12">
        <f>CHOOSE( CONTROL!$C$32, 9.4781, 9.4777) * CHOOSE( CONTROL!$C$15, $D$11, 100%, $F$11)</f>
        <v>9.4780999999999995</v>
      </c>
      <c r="F324" s="4">
        <f>CHOOSE( CONTROL!$C$32, 10.1813, 10.1808) * CHOOSE(CONTROL!$C$15, $D$11, 100%, $F$11)</f>
        <v>10.1813</v>
      </c>
      <c r="G324" s="8">
        <f>CHOOSE( CONTROL!$C$32, 9.3699, 9.3694) * CHOOSE( CONTROL!$C$15, $D$11, 100%, $F$11)</f>
        <v>9.3698999999999995</v>
      </c>
      <c r="H324" s="4">
        <f>CHOOSE( CONTROL!$C$32, 10.3087, 10.3083) * CHOOSE(CONTROL!$C$15, $D$11, 100%, $F$11)</f>
        <v>10.3087</v>
      </c>
      <c r="I324" s="8">
        <f>CHOOSE( CONTROL!$C$32, 9.272, 9.2716) * CHOOSE(CONTROL!$C$15, $D$11, 100%, $F$11)</f>
        <v>9.2720000000000002</v>
      </c>
      <c r="J324" s="4">
        <f>CHOOSE( CONTROL!$C$32, 9.184, 9.1836) * CHOOSE(CONTROL!$C$15, $D$11, 100%, $F$11)</f>
        <v>9.1839999999999993</v>
      </c>
      <c r="K324" s="4"/>
      <c r="L324" s="9">
        <v>30.7165</v>
      </c>
      <c r="M324" s="9">
        <v>12.063700000000001</v>
      </c>
      <c r="N324" s="9">
        <v>4.9444999999999997</v>
      </c>
      <c r="O324" s="9">
        <v>0.37409999999999999</v>
      </c>
      <c r="P324" s="9">
        <v>1.2927</v>
      </c>
      <c r="Q324" s="9">
        <v>30.386800000000001</v>
      </c>
      <c r="R324" s="9"/>
      <c r="S324" s="11"/>
    </row>
    <row r="325" spans="1:19" ht="15.75">
      <c r="A325" s="13">
        <v>51043</v>
      </c>
      <c r="B325" s="8">
        <f>CHOOSE( CONTROL!$C$32, 9.2761, 9.2757) * CHOOSE(CONTROL!$C$15, $D$11, 100%, $F$11)</f>
        <v>9.2760999999999996</v>
      </c>
      <c r="C325" s="8">
        <f>CHOOSE( CONTROL!$C$32, 9.2841, 9.2837) * CHOOSE(CONTROL!$C$15, $D$11, 100%, $F$11)</f>
        <v>9.2841000000000005</v>
      </c>
      <c r="D325" s="8">
        <f>CHOOSE( CONTROL!$C$32, 9.2793, 9.2788) * CHOOSE( CONTROL!$C$15, $D$11, 100%, $F$11)</f>
        <v>9.2792999999999992</v>
      </c>
      <c r="E325" s="12">
        <f>CHOOSE( CONTROL!$C$32, 9.2798, 9.2794) * CHOOSE( CONTROL!$C$15, $D$11, 100%, $F$11)</f>
        <v>9.2797999999999998</v>
      </c>
      <c r="F325" s="4">
        <f>CHOOSE( CONTROL!$C$32, 9.9831, 9.9826) * CHOOSE(CONTROL!$C$15, $D$11, 100%, $F$11)</f>
        <v>9.9831000000000003</v>
      </c>
      <c r="G325" s="8">
        <f>CHOOSE( CONTROL!$C$32, 9.1739, 9.1734) * CHOOSE( CONTROL!$C$15, $D$11, 100%, $F$11)</f>
        <v>9.1738999999999997</v>
      </c>
      <c r="H325" s="4">
        <f>CHOOSE( CONTROL!$C$32, 10.1128, 10.1124) * CHOOSE(CONTROL!$C$15, $D$11, 100%, $F$11)</f>
        <v>10.1128</v>
      </c>
      <c r="I325" s="8">
        <f>CHOOSE( CONTROL!$C$32, 9.079, 9.0786) * CHOOSE(CONTROL!$C$15, $D$11, 100%, $F$11)</f>
        <v>9.0790000000000006</v>
      </c>
      <c r="J325" s="4">
        <f>CHOOSE( CONTROL!$C$32, 8.9917, 8.9912) * CHOOSE(CONTROL!$C$15, $D$11, 100%, $F$11)</f>
        <v>8.9916999999999998</v>
      </c>
      <c r="K325" s="4"/>
      <c r="L325" s="9">
        <v>29.7257</v>
      </c>
      <c r="M325" s="9">
        <v>11.6745</v>
      </c>
      <c r="N325" s="9">
        <v>4.7850000000000001</v>
      </c>
      <c r="O325" s="9">
        <v>0.36199999999999999</v>
      </c>
      <c r="P325" s="9">
        <v>1.2509999999999999</v>
      </c>
      <c r="Q325" s="9">
        <v>29.406600000000001</v>
      </c>
      <c r="R325" s="9"/>
      <c r="S325" s="11"/>
    </row>
    <row r="326" spans="1:19" ht="15.75">
      <c r="A326" s="13">
        <v>51074</v>
      </c>
      <c r="B326" s="8">
        <f>CHOOSE( CONTROL!$C$32, 9.6858, 9.6855) * CHOOSE(CONTROL!$C$15, $D$11, 100%, $F$11)</f>
        <v>9.6858000000000004</v>
      </c>
      <c r="C326" s="8">
        <f>CHOOSE( CONTROL!$C$32, 9.6911, 9.6909) * CHOOSE(CONTROL!$C$15, $D$11, 100%, $F$11)</f>
        <v>9.6911000000000005</v>
      </c>
      <c r="D326" s="8">
        <f>CHOOSE( CONTROL!$C$32, 9.6913, 9.6911) * CHOOSE( CONTROL!$C$15, $D$11, 100%, $F$11)</f>
        <v>9.6913</v>
      </c>
      <c r="E326" s="12">
        <f>CHOOSE( CONTROL!$C$32, 9.6907, 9.6905) * CHOOSE( CONTROL!$C$15, $D$11, 100%, $F$11)</f>
        <v>9.6906999999999996</v>
      </c>
      <c r="F326" s="4">
        <f>CHOOSE( CONTROL!$C$32, 10.3945, 10.3942) * CHOOSE(CONTROL!$C$15, $D$11, 100%, $F$11)</f>
        <v>10.394500000000001</v>
      </c>
      <c r="G326" s="8">
        <f>CHOOSE( CONTROL!$C$32, 9.5804, 9.5801) * CHOOSE( CONTROL!$C$15, $D$11, 100%, $F$11)</f>
        <v>9.5803999999999991</v>
      </c>
      <c r="H326" s="4">
        <f>CHOOSE( CONTROL!$C$32, 10.5194, 10.5191) * CHOOSE(CONTROL!$C$15, $D$11, 100%, $F$11)</f>
        <v>10.519399999999999</v>
      </c>
      <c r="I326" s="8">
        <f>CHOOSE( CONTROL!$C$32, 9.4792, 9.4789) * CHOOSE(CONTROL!$C$15, $D$11, 100%, $F$11)</f>
        <v>9.4792000000000005</v>
      </c>
      <c r="J326" s="4">
        <f>CHOOSE( CONTROL!$C$32, 9.3909, 9.3907) * CHOOSE(CONTROL!$C$15, $D$11, 100%, $F$11)</f>
        <v>9.3909000000000002</v>
      </c>
      <c r="K326" s="4"/>
      <c r="L326" s="9">
        <v>31.095300000000002</v>
      </c>
      <c r="M326" s="9">
        <v>12.063700000000001</v>
      </c>
      <c r="N326" s="9">
        <v>4.9444999999999997</v>
      </c>
      <c r="O326" s="9">
        <v>0.37409999999999999</v>
      </c>
      <c r="P326" s="9">
        <v>1.2927</v>
      </c>
      <c r="Q326" s="9">
        <v>30.386800000000001</v>
      </c>
      <c r="R326" s="9"/>
      <c r="S326" s="11"/>
    </row>
    <row r="327" spans="1:19" ht="15.75">
      <c r="A327" s="13">
        <v>51104</v>
      </c>
      <c r="B327" s="8">
        <f>CHOOSE( CONTROL!$C$32, 10.4451, 10.4448) * CHOOSE(CONTROL!$C$15, $D$11, 100%, $F$11)</f>
        <v>10.4451</v>
      </c>
      <c r="C327" s="8">
        <f>CHOOSE( CONTROL!$C$32, 10.4501, 10.4499) * CHOOSE(CONTROL!$C$15, $D$11, 100%, $F$11)</f>
        <v>10.450100000000001</v>
      </c>
      <c r="D327" s="8">
        <f>CHOOSE( CONTROL!$C$32, 10.418, 10.4177) * CHOOSE( CONTROL!$C$15, $D$11, 100%, $F$11)</f>
        <v>10.417999999999999</v>
      </c>
      <c r="E327" s="12">
        <f>CHOOSE( CONTROL!$C$32, 10.4292, 10.4289) * CHOOSE( CONTROL!$C$15, $D$11, 100%, $F$11)</f>
        <v>10.4292</v>
      </c>
      <c r="F327" s="4">
        <f>CHOOSE( CONTROL!$C$32, 11.1103, 11.1101) * CHOOSE(CONTROL!$C$15, $D$11, 100%, $F$11)</f>
        <v>11.110300000000001</v>
      </c>
      <c r="G327" s="8">
        <f>CHOOSE( CONTROL!$C$32, 10.3201, 10.3198) * CHOOSE( CONTROL!$C$15, $D$11, 100%, $F$11)</f>
        <v>10.3201</v>
      </c>
      <c r="H327" s="4">
        <f>CHOOSE( CONTROL!$C$32, 11.2269, 11.2266) * CHOOSE(CONTROL!$C$15, $D$11, 100%, $F$11)</f>
        <v>11.226900000000001</v>
      </c>
      <c r="I327" s="8">
        <f>CHOOSE( CONTROL!$C$32, 10.2676, 10.2673) * CHOOSE(CONTROL!$C$15, $D$11, 100%, $F$11)</f>
        <v>10.2676</v>
      </c>
      <c r="J327" s="4">
        <f>CHOOSE( CONTROL!$C$32, 10.1282, 10.1279) * CHOOSE(CONTROL!$C$15, $D$11, 100%, $F$11)</f>
        <v>10.1282</v>
      </c>
      <c r="K327" s="4"/>
      <c r="L327" s="9">
        <v>28.360600000000002</v>
      </c>
      <c r="M327" s="9">
        <v>11.6745</v>
      </c>
      <c r="N327" s="9">
        <v>4.7850000000000001</v>
      </c>
      <c r="O327" s="9">
        <v>0.36199999999999999</v>
      </c>
      <c r="P327" s="9">
        <v>1.2509999999999999</v>
      </c>
      <c r="Q327" s="9">
        <v>29.406600000000001</v>
      </c>
      <c r="R327" s="9"/>
      <c r="S327" s="11"/>
    </row>
    <row r="328" spans="1:19" ht="15.75">
      <c r="A328" s="13">
        <v>51135</v>
      </c>
      <c r="B328" s="8">
        <f>CHOOSE( CONTROL!$C$32, 10.4261, 10.4258) * CHOOSE(CONTROL!$C$15, $D$11, 100%, $F$11)</f>
        <v>10.4261</v>
      </c>
      <c r="C328" s="8">
        <f>CHOOSE( CONTROL!$C$32, 10.4312, 10.4309) * CHOOSE(CONTROL!$C$15, $D$11, 100%, $F$11)</f>
        <v>10.4312</v>
      </c>
      <c r="D328" s="8">
        <f>CHOOSE( CONTROL!$C$32, 10.4009, 10.4006) * CHOOSE( CONTROL!$C$15, $D$11, 100%, $F$11)</f>
        <v>10.4009</v>
      </c>
      <c r="E328" s="12">
        <f>CHOOSE( CONTROL!$C$32, 10.4114, 10.4111) * CHOOSE( CONTROL!$C$15, $D$11, 100%, $F$11)</f>
        <v>10.4114</v>
      </c>
      <c r="F328" s="4">
        <f>CHOOSE( CONTROL!$C$32, 11.0914, 11.0911) * CHOOSE(CONTROL!$C$15, $D$11, 100%, $F$11)</f>
        <v>11.0914</v>
      </c>
      <c r="G328" s="8">
        <f>CHOOSE( CONTROL!$C$32, 10.3027, 10.3024) * CHOOSE( CONTROL!$C$15, $D$11, 100%, $F$11)</f>
        <v>10.3027</v>
      </c>
      <c r="H328" s="4">
        <f>CHOOSE( CONTROL!$C$32, 11.2081, 11.2078) * CHOOSE(CONTROL!$C$15, $D$11, 100%, $F$11)</f>
        <v>11.2081</v>
      </c>
      <c r="I328" s="8">
        <f>CHOOSE( CONTROL!$C$32, 10.2549, 10.2546) * CHOOSE(CONTROL!$C$15, $D$11, 100%, $F$11)</f>
        <v>10.254899999999999</v>
      </c>
      <c r="J328" s="4">
        <f>CHOOSE( CONTROL!$C$32, 10.1098, 10.1095) * CHOOSE(CONTROL!$C$15, $D$11, 100%, $F$11)</f>
        <v>10.1098</v>
      </c>
      <c r="K328" s="4"/>
      <c r="L328" s="9">
        <v>29.306000000000001</v>
      </c>
      <c r="M328" s="9">
        <v>12.063700000000001</v>
      </c>
      <c r="N328" s="9">
        <v>4.9444999999999997</v>
      </c>
      <c r="O328" s="9">
        <v>0.37409999999999999</v>
      </c>
      <c r="P328" s="9">
        <v>1.2927</v>
      </c>
      <c r="Q328" s="9">
        <v>30.386800000000001</v>
      </c>
      <c r="R328" s="9"/>
      <c r="S328" s="11"/>
    </row>
    <row r="329" spans="1:19" ht="15.75">
      <c r="A329" s="13">
        <v>51166</v>
      </c>
      <c r="B329" s="8">
        <f>CHOOSE( CONTROL!$C$32, 10.7333, 10.7331) * CHOOSE(CONTROL!$C$15, $D$11, 100%, $F$11)</f>
        <v>10.7333</v>
      </c>
      <c r="C329" s="8">
        <f>CHOOSE( CONTROL!$C$32, 10.7384, 10.7381) * CHOOSE(CONTROL!$C$15, $D$11, 100%, $F$11)</f>
        <v>10.7384</v>
      </c>
      <c r="D329" s="8">
        <f>CHOOSE( CONTROL!$C$32, 10.736, 10.7358) * CHOOSE( CONTROL!$C$15, $D$11, 100%, $F$11)</f>
        <v>10.736000000000001</v>
      </c>
      <c r="E329" s="12">
        <f>CHOOSE( CONTROL!$C$32, 10.7363, 10.7361) * CHOOSE( CONTROL!$C$15, $D$11, 100%, $F$11)</f>
        <v>10.7363</v>
      </c>
      <c r="F329" s="4">
        <f>CHOOSE( CONTROL!$C$32, 11.3986, 11.3983) * CHOOSE(CONTROL!$C$15, $D$11, 100%, $F$11)</f>
        <v>11.3986</v>
      </c>
      <c r="G329" s="8">
        <f>CHOOSE( CONTROL!$C$32, 10.6225, 10.6222) * CHOOSE( CONTROL!$C$15, $D$11, 100%, $F$11)</f>
        <v>10.6225</v>
      </c>
      <c r="H329" s="4">
        <f>CHOOSE( CONTROL!$C$32, 11.5118, 11.5115) * CHOOSE(CONTROL!$C$15, $D$11, 100%, $F$11)</f>
        <v>11.511799999999999</v>
      </c>
      <c r="I329" s="8">
        <f>CHOOSE( CONTROL!$C$32, 10.5268, 10.5265) * CHOOSE(CONTROL!$C$15, $D$11, 100%, $F$11)</f>
        <v>10.5268</v>
      </c>
      <c r="J329" s="4">
        <f>CHOOSE( CONTROL!$C$32, 10.408, 10.4077) * CHOOSE(CONTROL!$C$15, $D$11, 100%, $F$11)</f>
        <v>10.407999999999999</v>
      </c>
      <c r="K329" s="4"/>
      <c r="L329" s="9">
        <v>29.306000000000001</v>
      </c>
      <c r="M329" s="9">
        <v>12.063700000000001</v>
      </c>
      <c r="N329" s="9">
        <v>4.9444999999999997</v>
      </c>
      <c r="O329" s="9">
        <v>0.37409999999999999</v>
      </c>
      <c r="P329" s="9">
        <v>1.2927</v>
      </c>
      <c r="Q329" s="9">
        <v>30.3217</v>
      </c>
      <c r="R329" s="9"/>
      <c r="S329" s="11"/>
    </row>
    <row r="330" spans="1:19" ht="15.75">
      <c r="A330" s="13">
        <v>51194</v>
      </c>
      <c r="B330" s="8">
        <f>CHOOSE( CONTROL!$C$32, 10.04, 10.0398) * CHOOSE(CONTROL!$C$15, $D$11, 100%, $F$11)</f>
        <v>10.039999999999999</v>
      </c>
      <c r="C330" s="8">
        <f>CHOOSE( CONTROL!$C$32, 10.0451, 10.0448) * CHOOSE(CONTROL!$C$15, $D$11, 100%, $F$11)</f>
        <v>10.0451</v>
      </c>
      <c r="D330" s="8">
        <f>CHOOSE( CONTROL!$C$32, 10.0251, 10.0248) * CHOOSE( CONTROL!$C$15, $D$11, 100%, $F$11)</f>
        <v>10.0251</v>
      </c>
      <c r="E330" s="12">
        <f>CHOOSE( CONTROL!$C$32, 10.0319, 10.0316) * CHOOSE( CONTROL!$C$15, $D$11, 100%, $F$11)</f>
        <v>10.0319</v>
      </c>
      <c r="F330" s="4">
        <f>CHOOSE( CONTROL!$C$32, 10.7053, 10.7051) * CHOOSE(CONTROL!$C$15, $D$11, 100%, $F$11)</f>
        <v>10.705299999999999</v>
      </c>
      <c r="G330" s="8">
        <f>CHOOSE( CONTROL!$C$32, 9.9262, 9.9259) * CHOOSE( CONTROL!$C$15, $D$11, 100%, $F$11)</f>
        <v>9.9261999999999997</v>
      </c>
      <c r="H330" s="4">
        <f>CHOOSE( CONTROL!$C$32, 10.8266, 10.8263) * CHOOSE(CONTROL!$C$15, $D$11, 100%, $F$11)</f>
        <v>10.826599999999999</v>
      </c>
      <c r="I330" s="8">
        <f>CHOOSE( CONTROL!$C$32, 9.854, 9.8537) * CHOOSE(CONTROL!$C$15, $D$11, 100%, $F$11)</f>
        <v>9.8539999999999992</v>
      </c>
      <c r="J330" s="4">
        <f>CHOOSE( CONTROL!$C$32, 9.7351, 9.7348) * CHOOSE(CONTROL!$C$15, $D$11, 100%, $F$11)</f>
        <v>9.7350999999999992</v>
      </c>
      <c r="K330" s="4"/>
      <c r="L330" s="9">
        <v>27.415299999999998</v>
      </c>
      <c r="M330" s="9">
        <v>11.285299999999999</v>
      </c>
      <c r="N330" s="9">
        <v>4.6254999999999997</v>
      </c>
      <c r="O330" s="9">
        <v>0.34989999999999999</v>
      </c>
      <c r="P330" s="9">
        <v>1.2093</v>
      </c>
      <c r="Q330" s="9">
        <v>28.365500000000001</v>
      </c>
      <c r="R330" s="9"/>
      <c r="S330" s="11"/>
    </row>
    <row r="331" spans="1:19" ht="15.75">
      <c r="A331" s="13">
        <v>51226</v>
      </c>
      <c r="B331" s="8">
        <f>CHOOSE( CONTROL!$C$32, 9.8265, 9.8262) * CHOOSE(CONTROL!$C$15, $D$11, 100%, $F$11)</f>
        <v>9.8264999999999993</v>
      </c>
      <c r="C331" s="8">
        <f>CHOOSE( CONTROL!$C$32, 9.8316, 9.8313) * CHOOSE(CONTROL!$C$15, $D$11, 100%, $F$11)</f>
        <v>9.8315999999999999</v>
      </c>
      <c r="D331" s="8">
        <f>CHOOSE( CONTROL!$C$32, 9.8016, 9.8013) * CHOOSE( CONTROL!$C$15, $D$11, 100%, $F$11)</f>
        <v>9.8016000000000005</v>
      </c>
      <c r="E331" s="12">
        <f>CHOOSE( CONTROL!$C$32, 9.812, 9.8117) * CHOOSE( CONTROL!$C$15, $D$11, 100%, $F$11)</f>
        <v>9.8119999999999994</v>
      </c>
      <c r="F331" s="4">
        <f>CHOOSE( CONTROL!$C$32, 10.4918, 10.4915) * CHOOSE(CONTROL!$C$15, $D$11, 100%, $F$11)</f>
        <v>10.4918</v>
      </c>
      <c r="G331" s="8">
        <f>CHOOSE( CONTROL!$C$32, 9.7019, 9.7016) * CHOOSE( CONTROL!$C$15, $D$11, 100%, $F$11)</f>
        <v>9.7019000000000002</v>
      </c>
      <c r="H331" s="4">
        <f>CHOOSE( CONTROL!$C$32, 10.6156, 10.6153) * CHOOSE(CONTROL!$C$15, $D$11, 100%, $F$11)</f>
        <v>10.615600000000001</v>
      </c>
      <c r="I331" s="8">
        <f>CHOOSE( CONTROL!$C$32, 9.6115, 9.6112) * CHOOSE(CONTROL!$C$15, $D$11, 100%, $F$11)</f>
        <v>9.6114999999999995</v>
      </c>
      <c r="J331" s="4">
        <f>CHOOSE( CONTROL!$C$32, 9.5279, 9.5276) * CHOOSE(CONTROL!$C$15, $D$11, 100%, $F$11)</f>
        <v>9.5279000000000007</v>
      </c>
      <c r="K331" s="4"/>
      <c r="L331" s="9">
        <v>29.306000000000001</v>
      </c>
      <c r="M331" s="9">
        <v>12.063700000000001</v>
      </c>
      <c r="N331" s="9">
        <v>4.9444999999999997</v>
      </c>
      <c r="O331" s="9">
        <v>0.37409999999999999</v>
      </c>
      <c r="P331" s="9">
        <v>1.2927</v>
      </c>
      <c r="Q331" s="9">
        <v>30.3217</v>
      </c>
      <c r="R331" s="9"/>
      <c r="S331" s="11"/>
    </row>
    <row r="332" spans="1:19" ht="15.75">
      <c r="A332" s="13">
        <v>51256</v>
      </c>
      <c r="B332" s="8">
        <f>CHOOSE( CONTROL!$C$32, 9.9765, 9.9762) * CHOOSE(CONTROL!$C$15, $D$11, 100%, $F$11)</f>
        <v>9.9764999999999997</v>
      </c>
      <c r="C332" s="8">
        <f>CHOOSE( CONTROL!$C$32, 9.981, 9.9807) * CHOOSE(CONTROL!$C$15, $D$11, 100%, $F$11)</f>
        <v>9.9809999999999999</v>
      </c>
      <c r="D332" s="8">
        <f>CHOOSE( CONTROL!$C$32, 9.9805, 9.9802) * CHOOSE( CONTROL!$C$15, $D$11, 100%, $F$11)</f>
        <v>9.9804999999999993</v>
      </c>
      <c r="E332" s="12">
        <f>CHOOSE( CONTROL!$C$32, 9.9802, 9.9799) * CHOOSE( CONTROL!$C$15, $D$11, 100%, $F$11)</f>
        <v>9.9802</v>
      </c>
      <c r="F332" s="4">
        <f>CHOOSE( CONTROL!$C$32, 10.6848, 10.6845) * CHOOSE(CONTROL!$C$15, $D$11, 100%, $F$11)</f>
        <v>10.684799999999999</v>
      </c>
      <c r="G332" s="8">
        <f>CHOOSE( CONTROL!$C$32, 9.8664, 9.8661) * CHOOSE( CONTROL!$C$15, $D$11, 100%, $F$11)</f>
        <v>9.8664000000000005</v>
      </c>
      <c r="H332" s="4">
        <f>CHOOSE( CONTROL!$C$32, 10.8063, 10.806) * CHOOSE(CONTROL!$C$15, $D$11, 100%, $F$11)</f>
        <v>10.8063</v>
      </c>
      <c r="I332" s="8">
        <f>CHOOSE( CONTROL!$C$32, 9.7569, 9.7566) * CHOOSE(CONTROL!$C$15, $D$11, 100%, $F$11)</f>
        <v>9.7568999999999999</v>
      </c>
      <c r="J332" s="4">
        <f>CHOOSE( CONTROL!$C$32, 9.6727, 9.6724) * CHOOSE(CONTROL!$C$15, $D$11, 100%, $F$11)</f>
        <v>9.6727000000000007</v>
      </c>
      <c r="K332" s="4"/>
      <c r="L332" s="9">
        <v>30.092199999999998</v>
      </c>
      <c r="M332" s="9">
        <v>11.6745</v>
      </c>
      <c r="N332" s="9">
        <v>4.7850000000000001</v>
      </c>
      <c r="O332" s="9">
        <v>0.36199999999999999</v>
      </c>
      <c r="P332" s="9">
        <v>1.2509999999999999</v>
      </c>
      <c r="Q332" s="9">
        <v>29.343599999999999</v>
      </c>
      <c r="R332" s="9"/>
      <c r="S332" s="11"/>
    </row>
    <row r="333" spans="1:19" ht="15.75">
      <c r="A333" s="13">
        <v>51287</v>
      </c>
      <c r="B333" s="8">
        <f>CHOOSE( CONTROL!$C$32, 10.2436, 10.2431) * CHOOSE(CONTROL!$C$15, $D$11, 100%, $F$11)</f>
        <v>10.243600000000001</v>
      </c>
      <c r="C333" s="8">
        <f>CHOOSE( CONTROL!$C$32, 10.2516, 10.2511) * CHOOSE(CONTROL!$C$15, $D$11, 100%, $F$11)</f>
        <v>10.2516</v>
      </c>
      <c r="D333" s="8">
        <f>CHOOSE( CONTROL!$C$32, 10.2459, 10.2454) * CHOOSE( CONTROL!$C$15, $D$11, 100%, $F$11)</f>
        <v>10.245900000000001</v>
      </c>
      <c r="E333" s="12">
        <f>CHOOSE( CONTROL!$C$32, 10.2467, 10.2462) * CHOOSE( CONTROL!$C$15, $D$11, 100%, $F$11)</f>
        <v>10.246700000000001</v>
      </c>
      <c r="F333" s="4">
        <f>CHOOSE( CONTROL!$C$32, 10.9505, 10.9501) * CHOOSE(CONTROL!$C$15, $D$11, 100%, $F$11)</f>
        <v>10.9505</v>
      </c>
      <c r="G333" s="8">
        <f>CHOOSE( CONTROL!$C$32, 10.1293, 10.1289) * CHOOSE( CONTROL!$C$15, $D$11, 100%, $F$11)</f>
        <v>10.129300000000001</v>
      </c>
      <c r="H333" s="4">
        <f>CHOOSE( CONTROL!$C$32, 11.0689, 11.0685) * CHOOSE(CONTROL!$C$15, $D$11, 100%, $F$11)</f>
        <v>11.068899999999999</v>
      </c>
      <c r="I333" s="8">
        <f>CHOOSE( CONTROL!$C$32, 10.0155, 10.0151) * CHOOSE(CONTROL!$C$15, $D$11, 100%, $F$11)</f>
        <v>10.015499999999999</v>
      </c>
      <c r="J333" s="4">
        <f>CHOOSE( CONTROL!$C$32, 9.9306, 9.9302) * CHOOSE(CONTROL!$C$15, $D$11, 100%, $F$11)</f>
        <v>9.9306000000000001</v>
      </c>
      <c r="K333" s="4"/>
      <c r="L333" s="9">
        <v>30.7165</v>
      </c>
      <c r="M333" s="9">
        <v>12.063700000000001</v>
      </c>
      <c r="N333" s="9">
        <v>4.9444999999999997</v>
      </c>
      <c r="O333" s="9">
        <v>0.37409999999999999</v>
      </c>
      <c r="P333" s="9">
        <v>1.2927</v>
      </c>
      <c r="Q333" s="9">
        <v>30.3217</v>
      </c>
      <c r="R333" s="9"/>
      <c r="S333" s="11"/>
    </row>
    <row r="334" spans="1:19" ht="15.75">
      <c r="A334" s="13">
        <v>51317</v>
      </c>
      <c r="B334" s="8">
        <f>CHOOSE( CONTROL!$C$32, 10.0791, 10.0786) * CHOOSE(CONTROL!$C$15, $D$11, 100%, $F$11)</f>
        <v>10.0791</v>
      </c>
      <c r="C334" s="8">
        <f>CHOOSE( CONTROL!$C$32, 10.0871, 10.0866) * CHOOSE(CONTROL!$C$15, $D$11, 100%, $F$11)</f>
        <v>10.0871</v>
      </c>
      <c r="D334" s="8">
        <f>CHOOSE( CONTROL!$C$32, 10.0818, 10.0813) * CHOOSE( CONTROL!$C$15, $D$11, 100%, $F$11)</f>
        <v>10.081799999999999</v>
      </c>
      <c r="E334" s="12">
        <f>CHOOSE( CONTROL!$C$32, 10.0825, 10.082) * CHOOSE( CONTROL!$C$15, $D$11, 100%, $F$11)</f>
        <v>10.0825</v>
      </c>
      <c r="F334" s="4">
        <f>CHOOSE( CONTROL!$C$32, 10.786, 10.7856) * CHOOSE(CONTROL!$C$15, $D$11, 100%, $F$11)</f>
        <v>10.786</v>
      </c>
      <c r="G334" s="8">
        <f>CHOOSE( CONTROL!$C$32, 9.9671, 9.9666) * CHOOSE( CONTROL!$C$15, $D$11, 100%, $F$11)</f>
        <v>9.9671000000000003</v>
      </c>
      <c r="H334" s="4">
        <f>CHOOSE( CONTROL!$C$32, 10.9064, 10.9059) * CHOOSE(CONTROL!$C$15, $D$11, 100%, $F$11)</f>
        <v>10.9064</v>
      </c>
      <c r="I334" s="8">
        <f>CHOOSE( CONTROL!$C$32, 9.8572, 9.8567) * CHOOSE(CONTROL!$C$15, $D$11, 100%, $F$11)</f>
        <v>9.8572000000000006</v>
      </c>
      <c r="J334" s="4">
        <f>CHOOSE( CONTROL!$C$32, 9.7709, 9.7705) * CHOOSE(CONTROL!$C$15, $D$11, 100%, $F$11)</f>
        <v>9.7708999999999993</v>
      </c>
      <c r="K334" s="4"/>
      <c r="L334" s="9">
        <v>29.7257</v>
      </c>
      <c r="M334" s="9">
        <v>11.6745</v>
      </c>
      <c r="N334" s="9">
        <v>4.7850000000000001</v>
      </c>
      <c r="O334" s="9">
        <v>0.36199999999999999</v>
      </c>
      <c r="P334" s="9">
        <v>1.2509999999999999</v>
      </c>
      <c r="Q334" s="9">
        <v>29.343599999999999</v>
      </c>
      <c r="R334" s="9"/>
      <c r="S334" s="11"/>
    </row>
    <row r="335" spans="1:19" ht="15.75">
      <c r="A335" s="13">
        <v>51348</v>
      </c>
      <c r="B335" s="8">
        <f>CHOOSE( CONTROL!$C$32, 10.5123, 10.5118) * CHOOSE(CONTROL!$C$15, $D$11, 100%, $F$11)</f>
        <v>10.5123</v>
      </c>
      <c r="C335" s="8">
        <f>CHOOSE( CONTROL!$C$32, 10.5203, 10.5198) * CHOOSE(CONTROL!$C$15, $D$11, 100%, $F$11)</f>
        <v>10.520300000000001</v>
      </c>
      <c r="D335" s="8">
        <f>CHOOSE( CONTROL!$C$32, 10.5154, 10.515) * CHOOSE( CONTROL!$C$15, $D$11, 100%, $F$11)</f>
        <v>10.5154</v>
      </c>
      <c r="E335" s="12">
        <f>CHOOSE( CONTROL!$C$32, 10.516, 10.5155) * CHOOSE( CONTROL!$C$15, $D$11, 100%, $F$11)</f>
        <v>10.516</v>
      </c>
      <c r="F335" s="4">
        <f>CHOOSE( CONTROL!$C$32, 11.2192, 11.2188) * CHOOSE(CONTROL!$C$15, $D$11, 100%, $F$11)</f>
        <v>11.219200000000001</v>
      </c>
      <c r="G335" s="8">
        <f>CHOOSE( CONTROL!$C$32, 10.3956, 10.3951) * CHOOSE( CONTROL!$C$15, $D$11, 100%, $F$11)</f>
        <v>10.3956</v>
      </c>
      <c r="H335" s="4">
        <f>CHOOSE( CONTROL!$C$32, 11.3345, 11.334) * CHOOSE(CONTROL!$C$15, $D$11, 100%, $F$11)</f>
        <v>11.3345</v>
      </c>
      <c r="I335" s="8">
        <f>CHOOSE( CONTROL!$C$32, 10.2794, 10.2789) * CHOOSE(CONTROL!$C$15, $D$11, 100%, $F$11)</f>
        <v>10.279400000000001</v>
      </c>
      <c r="J335" s="4">
        <f>CHOOSE( CONTROL!$C$32, 10.1914, 10.1909) * CHOOSE(CONTROL!$C$15, $D$11, 100%, $F$11)</f>
        <v>10.1914</v>
      </c>
      <c r="K335" s="4"/>
      <c r="L335" s="9">
        <v>30.7165</v>
      </c>
      <c r="M335" s="9">
        <v>12.063700000000001</v>
      </c>
      <c r="N335" s="9">
        <v>4.9444999999999997</v>
      </c>
      <c r="O335" s="9">
        <v>0.37409999999999999</v>
      </c>
      <c r="P335" s="9">
        <v>1.2927</v>
      </c>
      <c r="Q335" s="9">
        <v>30.3217</v>
      </c>
      <c r="R335" s="9"/>
      <c r="S335" s="11"/>
    </row>
    <row r="336" spans="1:19" ht="15.75">
      <c r="A336" s="13">
        <v>51379</v>
      </c>
      <c r="B336" s="8">
        <f>CHOOSE( CONTROL!$C$32, 9.7017, 9.7013) * CHOOSE(CONTROL!$C$15, $D$11, 100%, $F$11)</f>
        <v>9.7017000000000007</v>
      </c>
      <c r="C336" s="8">
        <f>CHOOSE( CONTROL!$C$32, 9.7097, 9.7092) * CHOOSE(CONTROL!$C$15, $D$11, 100%, $F$11)</f>
        <v>9.7096999999999998</v>
      </c>
      <c r="D336" s="8">
        <f>CHOOSE( CONTROL!$C$32, 9.705, 9.7045) * CHOOSE( CONTROL!$C$15, $D$11, 100%, $F$11)</f>
        <v>9.7050000000000001</v>
      </c>
      <c r="E336" s="12">
        <f>CHOOSE( CONTROL!$C$32, 9.7055, 9.705) * CHOOSE( CONTROL!$C$15, $D$11, 100%, $F$11)</f>
        <v>9.7055000000000007</v>
      </c>
      <c r="F336" s="4">
        <f>CHOOSE( CONTROL!$C$32, 10.4087, 10.4082) * CHOOSE(CONTROL!$C$15, $D$11, 100%, $F$11)</f>
        <v>10.4087</v>
      </c>
      <c r="G336" s="8">
        <f>CHOOSE( CONTROL!$C$32, 9.5946, 9.5941) * CHOOSE( CONTROL!$C$15, $D$11, 100%, $F$11)</f>
        <v>9.5945999999999998</v>
      </c>
      <c r="H336" s="4">
        <f>CHOOSE( CONTROL!$C$32, 10.5334, 10.533) * CHOOSE(CONTROL!$C$15, $D$11, 100%, $F$11)</f>
        <v>10.5334</v>
      </c>
      <c r="I336" s="8">
        <f>CHOOSE( CONTROL!$C$32, 9.4928, 9.4923) * CHOOSE(CONTROL!$C$15, $D$11, 100%, $F$11)</f>
        <v>9.4928000000000008</v>
      </c>
      <c r="J336" s="4">
        <f>CHOOSE( CONTROL!$C$32, 9.4047, 9.4043) * CHOOSE(CONTROL!$C$15, $D$11, 100%, $F$11)</f>
        <v>9.4047000000000001</v>
      </c>
      <c r="K336" s="4"/>
      <c r="L336" s="9">
        <v>30.7165</v>
      </c>
      <c r="M336" s="9">
        <v>12.063700000000001</v>
      </c>
      <c r="N336" s="9">
        <v>4.9444999999999997</v>
      </c>
      <c r="O336" s="9">
        <v>0.37409999999999999</v>
      </c>
      <c r="P336" s="9">
        <v>1.2927</v>
      </c>
      <c r="Q336" s="9">
        <v>30.3217</v>
      </c>
      <c r="R336" s="9"/>
      <c r="S336" s="11"/>
    </row>
    <row r="337" spans="1:19" ht="15.75">
      <c r="A337" s="13">
        <v>51409</v>
      </c>
      <c r="B337" s="8">
        <f>CHOOSE( CONTROL!$C$32, 9.4987, 9.4983) * CHOOSE(CONTROL!$C$15, $D$11, 100%, $F$11)</f>
        <v>9.4986999999999995</v>
      </c>
      <c r="C337" s="8">
        <f>CHOOSE( CONTROL!$C$32, 9.5067, 9.5063) * CHOOSE(CONTROL!$C$15, $D$11, 100%, $F$11)</f>
        <v>9.5067000000000004</v>
      </c>
      <c r="D337" s="8">
        <f>CHOOSE( CONTROL!$C$32, 9.5019, 9.5014) * CHOOSE( CONTROL!$C$15, $D$11, 100%, $F$11)</f>
        <v>9.5018999999999991</v>
      </c>
      <c r="E337" s="12">
        <f>CHOOSE( CONTROL!$C$32, 9.5024, 9.502) * CHOOSE( CONTROL!$C$15, $D$11, 100%, $F$11)</f>
        <v>9.5023999999999997</v>
      </c>
      <c r="F337" s="4">
        <f>CHOOSE( CONTROL!$C$32, 10.2057, 10.2052) * CHOOSE(CONTROL!$C$15, $D$11, 100%, $F$11)</f>
        <v>10.2057</v>
      </c>
      <c r="G337" s="8">
        <f>CHOOSE( CONTROL!$C$32, 9.3939, 9.3934) * CHOOSE( CONTROL!$C$15, $D$11, 100%, $F$11)</f>
        <v>9.3939000000000004</v>
      </c>
      <c r="H337" s="4">
        <f>CHOOSE( CONTROL!$C$32, 10.3328, 10.3324) * CHOOSE(CONTROL!$C$15, $D$11, 100%, $F$11)</f>
        <v>10.332800000000001</v>
      </c>
      <c r="I337" s="8">
        <f>CHOOSE( CONTROL!$C$32, 9.2952, 9.2947) * CHOOSE(CONTROL!$C$15, $D$11, 100%, $F$11)</f>
        <v>9.2951999999999995</v>
      </c>
      <c r="J337" s="4">
        <f>CHOOSE( CONTROL!$C$32, 9.2077, 9.2073) * CHOOSE(CONTROL!$C$15, $D$11, 100%, $F$11)</f>
        <v>9.2077000000000009</v>
      </c>
      <c r="K337" s="4"/>
      <c r="L337" s="9">
        <v>29.7257</v>
      </c>
      <c r="M337" s="9">
        <v>11.6745</v>
      </c>
      <c r="N337" s="9">
        <v>4.7850000000000001</v>
      </c>
      <c r="O337" s="9">
        <v>0.36199999999999999</v>
      </c>
      <c r="P337" s="9">
        <v>1.2509999999999999</v>
      </c>
      <c r="Q337" s="9">
        <v>29.343599999999999</v>
      </c>
      <c r="R337" s="9"/>
      <c r="S337" s="11"/>
    </row>
    <row r="338" spans="1:19" ht="15.75">
      <c r="A338" s="13">
        <v>51440</v>
      </c>
      <c r="B338" s="8">
        <f>CHOOSE( CONTROL!$C$32, 9.9183, 9.918) * CHOOSE(CONTROL!$C$15, $D$11, 100%, $F$11)</f>
        <v>9.9183000000000003</v>
      </c>
      <c r="C338" s="8">
        <f>CHOOSE( CONTROL!$C$32, 9.9236, 9.9233) * CHOOSE(CONTROL!$C$15, $D$11, 100%, $F$11)</f>
        <v>9.9236000000000004</v>
      </c>
      <c r="D338" s="8">
        <f>CHOOSE( CONTROL!$C$32, 9.9238, 9.9236) * CHOOSE( CONTROL!$C$15, $D$11, 100%, $F$11)</f>
        <v>9.9238</v>
      </c>
      <c r="E338" s="12">
        <f>CHOOSE( CONTROL!$C$32, 9.9232, 9.9229) * CHOOSE( CONTROL!$C$15, $D$11, 100%, $F$11)</f>
        <v>9.9231999999999996</v>
      </c>
      <c r="F338" s="4">
        <f>CHOOSE( CONTROL!$C$32, 10.627, 10.6267) * CHOOSE(CONTROL!$C$15, $D$11, 100%, $F$11)</f>
        <v>10.627000000000001</v>
      </c>
      <c r="G338" s="8">
        <f>CHOOSE( CONTROL!$C$32, 9.8102, 9.8099) * CHOOSE( CONTROL!$C$15, $D$11, 100%, $F$11)</f>
        <v>9.8102</v>
      </c>
      <c r="H338" s="4">
        <f>CHOOSE( CONTROL!$C$32, 10.7492, 10.7489) * CHOOSE(CONTROL!$C$15, $D$11, 100%, $F$11)</f>
        <v>10.7492</v>
      </c>
      <c r="I338" s="8">
        <f>CHOOSE( CONTROL!$C$32, 9.7049, 9.7046) * CHOOSE(CONTROL!$C$15, $D$11, 100%, $F$11)</f>
        <v>9.7049000000000003</v>
      </c>
      <c r="J338" s="4">
        <f>CHOOSE( CONTROL!$C$32, 9.6166, 9.6163) * CHOOSE(CONTROL!$C$15, $D$11, 100%, $F$11)</f>
        <v>9.6166</v>
      </c>
      <c r="K338" s="4"/>
      <c r="L338" s="9">
        <v>31.095300000000002</v>
      </c>
      <c r="M338" s="9">
        <v>12.063700000000001</v>
      </c>
      <c r="N338" s="9">
        <v>4.9444999999999997</v>
      </c>
      <c r="O338" s="9">
        <v>0.37409999999999999</v>
      </c>
      <c r="P338" s="9">
        <v>1.2927</v>
      </c>
      <c r="Q338" s="9">
        <v>30.3217</v>
      </c>
      <c r="R338" s="9"/>
      <c r="S338" s="11"/>
    </row>
    <row r="339" spans="1:19" ht="15.75">
      <c r="A339" s="13">
        <v>51470</v>
      </c>
      <c r="B339" s="8">
        <f>CHOOSE( CONTROL!$C$32, 10.6958, 10.6955) * CHOOSE(CONTROL!$C$15, $D$11, 100%, $F$11)</f>
        <v>10.6958</v>
      </c>
      <c r="C339" s="8">
        <f>CHOOSE( CONTROL!$C$32, 10.7009, 10.7006) * CHOOSE(CONTROL!$C$15, $D$11, 100%, $F$11)</f>
        <v>10.700900000000001</v>
      </c>
      <c r="D339" s="8">
        <f>CHOOSE( CONTROL!$C$32, 10.6687, 10.6685) * CHOOSE( CONTROL!$C$15, $D$11, 100%, $F$11)</f>
        <v>10.668699999999999</v>
      </c>
      <c r="E339" s="12">
        <f>CHOOSE( CONTROL!$C$32, 10.6799, 10.6797) * CHOOSE( CONTROL!$C$15, $D$11, 100%, $F$11)</f>
        <v>10.6799</v>
      </c>
      <c r="F339" s="4">
        <f>CHOOSE( CONTROL!$C$32, 11.3611, 11.3608) * CHOOSE(CONTROL!$C$15, $D$11, 100%, $F$11)</f>
        <v>11.3611</v>
      </c>
      <c r="G339" s="8">
        <f>CHOOSE( CONTROL!$C$32, 10.5679, 10.5676) * CHOOSE( CONTROL!$C$15, $D$11, 100%, $F$11)</f>
        <v>10.5679</v>
      </c>
      <c r="H339" s="4">
        <f>CHOOSE( CONTROL!$C$32, 11.4747, 11.4744) * CHOOSE(CONTROL!$C$15, $D$11, 100%, $F$11)</f>
        <v>11.4747</v>
      </c>
      <c r="I339" s="8">
        <f>CHOOSE( CONTROL!$C$32, 10.5111, 10.5108) * CHOOSE(CONTROL!$C$15, $D$11, 100%, $F$11)</f>
        <v>10.511100000000001</v>
      </c>
      <c r="J339" s="4">
        <f>CHOOSE( CONTROL!$C$32, 10.3715, 10.3713) * CHOOSE(CONTROL!$C$15, $D$11, 100%, $F$11)</f>
        <v>10.371499999999999</v>
      </c>
      <c r="K339" s="4"/>
      <c r="L339" s="9">
        <v>28.360600000000002</v>
      </c>
      <c r="M339" s="9">
        <v>11.6745</v>
      </c>
      <c r="N339" s="9">
        <v>4.7850000000000001</v>
      </c>
      <c r="O339" s="9">
        <v>0.36199999999999999</v>
      </c>
      <c r="P339" s="9">
        <v>1.2509999999999999</v>
      </c>
      <c r="Q339" s="9">
        <v>29.343599999999999</v>
      </c>
      <c r="R339" s="9"/>
      <c r="S339" s="11"/>
    </row>
    <row r="340" spans="1:19" ht="15.75">
      <c r="A340" s="13">
        <v>51501</v>
      </c>
      <c r="B340" s="8">
        <f>CHOOSE( CONTROL!$C$32, 10.6764, 10.6761) * CHOOSE(CONTROL!$C$15, $D$11, 100%, $F$11)</f>
        <v>10.676399999999999</v>
      </c>
      <c r="C340" s="8">
        <f>CHOOSE( CONTROL!$C$32, 10.6814, 10.6812) * CHOOSE(CONTROL!$C$15, $D$11, 100%, $F$11)</f>
        <v>10.6814</v>
      </c>
      <c r="D340" s="8">
        <f>CHOOSE( CONTROL!$C$32, 10.6511, 10.6509) * CHOOSE( CONTROL!$C$15, $D$11, 100%, $F$11)</f>
        <v>10.6511</v>
      </c>
      <c r="E340" s="12">
        <f>CHOOSE( CONTROL!$C$32, 10.6616, 10.6614) * CHOOSE( CONTROL!$C$15, $D$11, 100%, $F$11)</f>
        <v>10.6616</v>
      </c>
      <c r="F340" s="4">
        <f>CHOOSE( CONTROL!$C$32, 11.3416, 11.3414) * CHOOSE(CONTROL!$C$15, $D$11, 100%, $F$11)</f>
        <v>11.3416</v>
      </c>
      <c r="G340" s="8">
        <f>CHOOSE( CONTROL!$C$32, 10.55, 10.5498) * CHOOSE( CONTROL!$C$15, $D$11, 100%, $F$11)</f>
        <v>10.55</v>
      </c>
      <c r="H340" s="4">
        <f>CHOOSE( CONTROL!$C$32, 11.4555, 11.4552) * CHOOSE(CONTROL!$C$15, $D$11, 100%, $F$11)</f>
        <v>11.455500000000001</v>
      </c>
      <c r="I340" s="8">
        <f>CHOOSE( CONTROL!$C$32, 10.4979, 10.4977) * CHOOSE(CONTROL!$C$15, $D$11, 100%, $F$11)</f>
        <v>10.4979</v>
      </c>
      <c r="J340" s="4">
        <f>CHOOSE( CONTROL!$C$32, 10.3527, 10.3524) * CHOOSE(CONTROL!$C$15, $D$11, 100%, $F$11)</f>
        <v>10.3527</v>
      </c>
      <c r="K340" s="4"/>
      <c r="L340" s="9">
        <v>29.306000000000001</v>
      </c>
      <c r="M340" s="9">
        <v>12.063700000000001</v>
      </c>
      <c r="N340" s="9">
        <v>4.9444999999999997</v>
      </c>
      <c r="O340" s="9">
        <v>0.37409999999999999</v>
      </c>
      <c r="P340" s="9">
        <v>1.2927</v>
      </c>
      <c r="Q340" s="9">
        <v>30.3217</v>
      </c>
      <c r="R340" s="9"/>
      <c r="S340" s="11"/>
    </row>
    <row r="341" spans="1:19" ht="15.75">
      <c r="A341" s="13">
        <v>51532</v>
      </c>
      <c r="B341" s="8">
        <f>CHOOSE( CONTROL!$C$32, 10.991, 10.9907) * CHOOSE(CONTROL!$C$15, $D$11, 100%, $F$11)</f>
        <v>10.991</v>
      </c>
      <c r="C341" s="8">
        <f>CHOOSE( CONTROL!$C$32, 10.9961, 10.9958) * CHOOSE(CONTROL!$C$15, $D$11, 100%, $F$11)</f>
        <v>10.9961</v>
      </c>
      <c r="D341" s="8">
        <f>CHOOSE( CONTROL!$C$32, 10.9937, 10.9934) * CHOOSE( CONTROL!$C$15, $D$11, 100%, $F$11)</f>
        <v>10.9937</v>
      </c>
      <c r="E341" s="12">
        <f>CHOOSE( CONTROL!$C$32, 10.994, 10.9937) * CHOOSE( CONTROL!$C$15, $D$11, 100%, $F$11)</f>
        <v>10.994</v>
      </c>
      <c r="F341" s="4">
        <f>CHOOSE( CONTROL!$C$32, 11.6563, 11.656) * CHOOSE(CONTROL!$C$15, $D$11, 100%, $F$11)</f>
        <v>11.6563</v>
      </c>
      <c r="G341" s="8">
        <f>CHOOSE( CONTROL!$C$32, 10.8771, 10.8768) * CHOOSE( CONTROL!$C$15, $D$11, 100%, $F$11)</f>
        <v>10.8771</v>
      </c>
      <c r="H341" s="4">
        <f>CHOOSE( CONTROL!$C$32, 11.7664, 11.7662) * CHOOSE(CONTROL!$C$15, $D$11, 100%, $F$11)</f>
        <v>11.766400000000001</v>
      </c>
      <c r="I341" s="8">
        <f>CHOOSE( CONTROL!$C$32, 10.777, 10.7767) * CHOOSE(CONTROL!$C$15, $D$11, 100%, $F$11)</f>
        <v>10.776999999999999</v>
      </c>
      <c r="J341" s="4">
        <f>CHOOSE( CONTROL!$C$32, 10.658, 10.6578) * CHOOSE(CONTROL!$C$15, $D$11, 100%, $F$11)</f>
        <v>10.657999999999999</v>
      </c>
      <c r="K341" s="4"/>
      <c r="L341" s="9">
        <v>29.306000000000001</v>
      </c>
      <c r="M341" s="9">
        <v>12.063700000000001</v>
      </c>
      <c r="N341" s="9">
        <v>4.9444999999999997</v>
      </c>
      <c r="O341" s="9">
        <v>0.37409999999999999</v>
      </c>
      <c r="P341" s="9">
        <v>1.2927</v>
      </c>
      <c r="Q341" s="9">
        <v>30.258500000000002</v>
      </c>
      <c r="R341" s="9"/>
      <c r="S341" s="11"/>
    </row>
    <row r="342" spans="1:19" ht="15.75">
      <c r="A342" s="13">
        <v>51560</v>
      </c>
      <c r="B342" s="8">
        <f>CHOOSE( CONTROL!$C$32, 10.2811, 10.2808) * CHOOSE(CONTROL!$C$15, $D$11, 100%, $F$11)</f>
        <v>10.2811</v>
      </c>
      <c r="C342" s="8">
        <f>CHOOSE( CONTROL!$C$32, 10.2861, 10.2859) * CHOOSE(CONTROL!$C$15, $D$11, 100%, $F$11)</f>
        <v>10.286099999999999</v>
      </c>
      <c r="D342" s="8">
        <f>CHOOSE( CONTROL!$C$32, 10.2661, 10.2658) * CHOOSE( CONTROL!$C$15, $D$11, 100%, $F$11)</f>
        <v>10.2661</v>
      </c>
      <c r="E342" s="12">
        <f>CHOOSE( CONTROL!$C$32, 10.2729, 10.2726) * CHOOSE( CONTROL!$C$15, $D$11, 100%, $F$11)</f>
        <v>10.2729</v>
      </c>
      <c r="F342" s="4">
        <f>CHOOSE( CONTROL!$C$32, 10.9463, 10.9461) * CHOOSE(CONTROL!$C$15, $D$11, 100%, $F$11)</f>
        <v>10.946300000000001</v>
      </c>
      <c r="G342" s="8">
        <f>CHOOSE( CONTROL!$C$32, 10.1643, 10.1641) * CHOOSE( CONTROL!$C$15, $D$11, 100%, $F$11)</f>
        <v>10.164300000000001</v>
      </c>
      <c r="H342" s="4">
        <f>CHOOSE( CONTROL!$C$32, 11.0648, 11.0645) * CHOOSE(CONTROL!$C$15, $D$11, 100%, $F$11)</f>
        <v>11.0648</v>
      </c>
      <c r="I342" s="8">
        <f>CHOOSE( CONTROL!$C$32, 10.088, 10.0878) * CHOOSE(CONTROL!$C$15, $D$11, 100%, $F$11)</f>
        <v>10.087999999999999</v>
      </c>
      <c r="J342" s="4">
        <f>CHOOSE( CONTROL!$C$32, 9.969, 9.9688) * CHOOSE(CONTROL!$C$15, $D$11, 100%, $F$11)</f>
        <v>9.9689999999999994</v>
      </c>
      <c r="K342" s="4"/>
      <c r="L342" s="9">
        <v>26.469899999999999</v>
      </c>
      <c r="M342" s="9">
        <v>10.8962</v>
      </c>
      <c r="N342" s="9">
        <v>4.4660000000000002</v>
      </c>
      <c r="O342" s="9">
        <v>0.33789999999999998</v>
      </c>
      <c r="P342" s="9">
        <v>1.1676</v>
      </c>
      <c r="Q342" s="9">
        <v>27.330200000000001</v>
      </c>
      <c r="R342" s="9"/>
      <c r="S342" s="11"/>
    </row>
    <row r="343" spans="1:19" ht="15.75">
      <c r="A343" s="13">
        <v>51591</v>
      </c>
      <c r="B343" s="8">
        <f>CHOOSE( CONTROL!$C$32, 10.0624, 10.0621) * CHOOSE(CONTROL!$C$15, $D$11, 100%, $F$11)</f>
        <v>10.0624</v>
      </c>
      <c r="C343" s="8">
        <f>CHOOSE( CONTROL!$C$32, 10.0675, 10.0672) * CHOOSE(CONTROL!$C$15, $D$11, 100%, $F$11)</f>
        <v>10.067500000000001</v>
      </c>
      <c r="D343" s="8">
        <f>CHOOSE( CONTROL!$C$32, 10.0375, 10.0372) * CHOOSE( CONTROL!$C$15, $D$11, 100%, $F$11)</f>
        <v>10.0375</v>
      </c>
      <c r="E343" s="12">
        <f>CHOOSE( CONTROL!$C$32, 10.0479, 10.0476) * CHOOSE( CONTROL!$C$15, $D$11, 100%, $F$11)</f>
        <v>10.0479</v>
      </c>
      <c r="F343" s="4">
        <f>CHOOSE( CONTROL!$C$32, 10.7277, 10.7274) * CHOOSE(CONTROL!$C$15, $D$11, 100%, $F$11)</f>
        <v>10.7277</v>
      </c>
      <c r="G343" s="8">
        <f>CHOOSE( CONTROL!$C$32, 9.935, 9.9347) * CHOOSE( CONTROL!$C$15, $D$11, 100%, $F$11)</f>
        <v>9.9350000000000005</v>
      </c>
      <c r="H343" s="4">
        <f>CHOOSE( CONTROL!$C$32, 10.8487, 10.8484) * CHOOSE(CONTROL!$C$15, $D$11, 100%, $F$11)</f>
        <v>10.848699999999999</v>
      </c>
      <c r="I343" s="8">
        <f>CHOOSE( CONTROL!$C$32, 9.8405, 9.8402) * CHOOSE(CONTROL!$C$15, $D$11, 100%, $F$11)</f>
        <v>9.8405000000000005</v>
      </c>
      <c r="J343" s="4">
        <f>CHOOSE( CONTROL!$C$32, 9.7568, 9.7565) * CHOOSE(CONTROL!$C$15, $D$11, 100%, $F$11)</f>
        <v>9.7568000000000001</v>
      </c>
      <c r="K343" s="4"/>
      <c r="L343" s="9">
        <v>29.306000000000001</v>
      </c>
      <c r="M343" s="9">
        <v>12.063700000000001</v>
      </c>
      <c r="N343" s="9">
        <v>4.9444999999999997</v>
      </c>
      <c r="O343" s="9">
        <v>0.37409999999999999</v>
      </c>
      <c r="P343" s="9">
        <v>1.2927</v>
      </c>
      <c r="Q343" s="9">
        <v>30.258500000000002</v>
      </c>
      <c r="R343" s="9"/>
      <c r="S343" s="11"/>
    </row>
    <row r="344" spans="1:19" ht="15.75">
      <c r="A344" s="13">
        <v>51621</v>
      </c>
      <c r="B344" s="8">
        <f>CHOOSE( CONTROL!$C$32, 10.216, 10.2157) * CHOOSE(CONTROL!$C$15, $D$11, 100%, $F$11)</f>
        <v>10.215999999999999</v>
      </c>
      <c r="C344" s="8">
        <f>CHOOSE( CONTROL!$C$32, 10.2205, 10.2202) * CHOOSE(CONTROL!$C$15, $D$11, 100%, $F$11)</f>
        <v>10.220499999999999</v>
      </c>
      <c r="D344" s="8">
        <f>CHOOSE( CONTROL!$C$32, 10.22, 10.2197) * CHOOSE( CONTROL!$C$15, $D$11, 100%, $F$11)</f>
        <v>10.220000000000001</v>
      </c>
      <c r="E344" s="12">
        <f>CHOOSE( CONTROL!$C$32, 10.2197, 10.2194) * CHOOSE( CONTROL!$C$15, $D$11, 100%, $F$11)</f>
        <v>10.2197</v>
      </c>
      <c r="F344" s="4">
        <f>CHOOSE( CONTROL!$C$32, 10.9243, 10.924) * CHOOSE(CONTROL!$C$15, $D$11, 100%, $F$11)</f>
        <v>10.924300000000001</v>
      </c>
      <c r="G344" s="8">
        <f>CHOOSE( CONTROL!$C$32, 10.103, 10.1028) * CHOOSE( CONTROL!$C$15, $D$11, 100%, $F$11)</f>
        <v>10.103</v>
      </c>
      <c r="H344" s="4">
        <f>CHOOSE( CONTROL!$C$32, 11.043, 11.0427) * CHOOSE(CONTROL!$C$15, $D$11, 100%, $F$11)</f>
        <v>11.042999999999999</v>
      </c>
      <c r="I344" s="8">
        <f>CHOOSE( CONTROL!$C$32, 9.9894, 9.9891) * CHOOSE(CONTROL!$C$15, $D$11, 100%, $F$11)</f>
        <v>9.9893999999999998</v>
      </c>
      <c r="J344" s="4">
        <f>CHOOSE( CONTROL!$C$32, 9.9051, 9.9048) * CHOOSE(CONTROL!$C$15, $D$11, 100%, $F$11)</f>
        <v>9.9050999999999991</v>
      </c>
      <c r="K344" s="4"/>
      <c r="L344" s="9">
        <v>30.092199999999998</v>
      </c>
      <c r="M344" s="9">
        <v>11.6745</v>
      </c>
      <c r="N344" s="9">
        <v>4.7850000000000001</v>
      </c>
      <c r="O344" s="9">
        <v>0.36199999999999999</v>
      </c>
      <c r="P344" s="9">
        <v>1.2509999999999999</v>
      </c>
      <c r="Q344" s="9">
        <v>29.282399999999999</v>
      </c>
      <c r="R344" s="9"/>
      <c r="S344" s="11"/>
    </row>
    <row r="345" spans="1:19" ht="15.75">
      <c r="A345" s="13">
        <v>51652</v>
      </c>
      <c r="B345" s="8">
        <f>CHOOSE( CONTROL!$C$32, 10.4894, 10.489) * CHOOSE(CONTROL!$C$15, $D$11, 100%, $F$11)</f>
        <v>10.4894</v>
      </c>
      <c r="C345" s="8">
        <f>CHOOSE( CONTROL!$C$32, 10.4974, 10.497) * CHOOSE(CONTROL!$C$15, $D$11, 100%, $F$11)</f>
        <v>10.497400000000001</v>
      </c>
      <c r="D345" s="8">
        <f>CHOOSE( CONTROL!$C$32, 10.4917, 10.4913) * CHOOSE( CONTROL!$C$15, $D$11, 100%, $F$11)</f>
        <v>10.4917</v>
      </c>
      <c r="E345" s="12">
        <f>CHOOSE( CONTROL!$C$32, 10.4925, 10.4921) * CHOOSE( CONTROL!$C$15, $D$11, 100%, $F$11)</f>
        <v>10.4925</v>
      </c>
      <c r="F345" s="4">
        <f>CHOOSE( CONTROL!$C$32, 11.1964, 11.1959) * CHOOSE(CONTROL!$C$15, $D$11, 100%, $F$11)</f>
        <v>11.196400000000001</v>
      </c>
      <c r="G345" s="8">
        <f>CHOOSE( CONTROL!$C$32, 10.3723, 10.3719) * CHOOSE( CONTROL!$C$15, $D$11, 100%, $F$11)</f>
        <v>10.372299999999999</v>
      </c>
      <c r="H345" s="4">
        <f>CHOOSE( CONTROL!$C$32, 11.3119, 11.3115) * CHOOSE(CONTROL!$C$15, $D$11, 100%, $F$11)</f>
        <v>11.3119</v>
      </c>
      <c r="I345" s="8">
        <f>CHOOSE( CONTROL!$C$32, 10.2542, 10.2538) * CHOOSE(CONTROL!$C$15, $D$11, 100%, $F$11)</f>
        <v>10.254200000000001</v>
      </c>
      <c r="J345" s="4">
        <f>CHOOSE( CONTROL!$C$32, 10.1692, 10.1687) * CHOOSE(CONTROL!$C$15, $D$11, 100%, $F$11)</f>
        <v>10.1692</v>
      </c>
      <c r="K345" s="4"/>
      <c r="L345" s="9">
        <v>30.7165</v>
      </c>
      <c r="M345" s="9">
        <v>12.063700000000001</v>
      </c>
      <c r="N345" s="9">
        <v>4.9444999999999997</v>
      </c>
      <c r="O345" s="9">
        <v>0.37409999999999999</v>
      </c>
      <c r="P345" s="9">
        <v>1.2927</v>
      </c>
      <c r="Q345" s="9">
        <v>30.258500000000002</v>
      </c>
      <c r="R345" s="9"/>
      <c r="S345" s="11"/>
    </row>
    <row r="346" spans="1:19" ht="15.75">
      <c r="A346" s="13">
        <v>51682</v>
      </c>
      <c r="B346" s="8">
        <f>CHOOSE( CONTROL!$C$32, 10.321, 10.3205) * CHOOSE(CONTROL!$C$15, $D$11, 100%, $F$11)</f>
        <v>10.321</v>
      </c>
      <c r="C346" s="8">
        <f>CHOOSE( CONTROL!$C$32, 10.329, 10.3285) * CHOOSE(CONTROL!$C$15, $D$11, 100%, $F$11)</f>
        <v>10.329000000000001</v>
      </c>
      <c r="D346" s="8">
        <f>CHOOSE( CONTROL!$C$32, 10.3237, 10.3232) * CHOOSE( CONTROL!$C$15, $D$11, 100%, $F$11)</f>
        <v>10.323700000000001</v>
      </c>
      <c r="E346" s="12">
        <f>CHOOSE( CONTROL!$C$32, 10.3244, 10.3239) * CHOOSE( CONTROL!$C$15, $D$11, 100%, $F$11)</f>
        <v>10.324400000000001</v>
      </c>
      <c r="F346" s="4">
        <f>CHOOSE( CONTROL!$C$32, 11.0279, 11.0275) * CHOOSE(CONTROL!$C$15, $D$11, 100%, $F$11)</f>
        <v>11.027900000000001</v>
      </c>
      <c r="G346" s="8">
        <f>CHOOSE( CONTROL!$C$32, 10.2061, 10.2057) * CHOOSE( CONTROL!$C$15, $D$11, 100%, $F$11)</f>
        <v>10.206099999999999</v>
      </c>
      <c r="H346" s="4">
        <f>CHOOSE( CONTROL!$C$32, 11.1454, 11.145) * CHOOSE(CONTROL!$C$15, $D$11, 100%, $F$11)</f>
        <v>11.1454</v>
      </c>
      <c r="I346" s="8">
        <f>CHOOSE( CONTROL!$C$32, 10.0921, 10.0916) * CHOOSE(CONTROL!$C$15, $D$11, 100%, $F$11)</f>
        <v>10.0921</v>
      </c>
      <c r="J346" s="4">
        <f>CHOOSE( CONTROL!$C$32, 10.0057, 10.0053) * CHOOSE(CONTROL!$C$15, $D$11, 100%, $F$11)</f>
        <v>10.005699999999999</v>
      </c>
      <c r="K346" s="4"/>
      <c r="L346" s="9">
        <v>29.7257</v>
      </c>
      <c r="M346" s="9">
        <v>11.6745</v>
      </c>
      <c r="N346" s="9">
        <v>4.7850000000000001</v>
      </c>
      <c r="O346" s="9">
        <v>0.36199999999999999</v>
      </c>
      <c r="P346" s="9">
        <v>1.2509999999999999</v>
      </c>
      <c r="Q346" s="9">
        <v>29.282399999999999</v>
      </c>
      <c r="R346" s="9"/>
      <c r="S346" s="11"/>
    </row>
    <row r="347" spans="1:19" ht="15.75">
      <c r="A347" s="13">
        <v>51713</v>
      </c>
      <c r="B347" s="8">
        <f>CHOOSE( CONTROL!$C$32, 10.7646, 10.7642) * CHOOSE(CONTROL!$C$15, $D$11, 100%, $F$11)</f>
        <v>10.7646</v>
      </c>
      <c r="C347" s="8">
        <f>CHOOSE( CONTROL!$C$32, 10.7726, 10.7721) * CHOOSE(CONTROL!$C$15, $D$11, 100%, $F$11)</f>
        <v>10.772600000000001</v>
      </c>
      <c r="D347" s="8">
        <f>CHOOSE( CONTROL!$C$32, 10.7677, 10.7673) * CHOOSE( CONTROL!$C$15, $D$11, 100%, $F$11)</f>
        <v>10.7677</v>
      </c>
      <c r="E347" s="12">
        <f>CHOOSE( CONTROL!$C$32, 10.7683, 10.7678) * CHOOSE( CONTROL!$C$15, $D$11, 100%, $F$11)</f>
        <v>10.7683</v>
      </c>
      <c r="F347" s="4">
        <f>CHOOSE( CONTROL!$C$32, 11.4715, 11.4711) * CHOOSE(CONTROL!$C$15, $D$11, 100%, $F$11)</f>
        <v>11.471500000000001</v>
      </c>
      <c r="G347" s="8">
        <f>CHOOSE( CONTROL!$C$32, 10.6449, 10.6445) * CHOOSE( CONTROL!$C$15, $D$11, 100%, $F$11)</f>
        <v>10.6449</v>
      </c>
      <c r="H347" s="4">
        <f>CHOOSE( CONTROL!$C$32, 11.5839, 11.5834) * CHOOSE(CONTROL!$C$15, $D$11, 100%, $F$11)</f>
        <v>11.5839</v>
      </c>
      <c r="I347" s="8">
        <f>CHOOSE( CONTROL!$C$32, 10.5244, 10.5239) * CHOOSE(CONTROL!$C$15, $D$11, 100%, $F$11)</f>
        <v>10.5244</v>
      </c>
      <c r="J347" s="4">
        <f>CHOOSE( CONTROL!$C$32, 10.4362, 10.4358) * CHOOSE(CONTROL!$C$15, $D$11, 100%, $F$11)</f>
        <v>10.436199999999999</v>
      </c>
      <c r="K347" s="4"/>
      <c r="L347" s="9">
        <v>30.7165</v>
      </c>
      <c r="M347" s="9">
        <v>12.063700000000001</v>
      </c>
      <c r="N347" s="9">
        <v>4.9444999999999997</v>
      </c>
      <c r="O347" s="9">
        <v>0.37409999999999999</v>
      </c>
      <c r="P347" s="9">
        <v>1.2927</v>
      </c>
      <c r="Q347" s="9">
        <v>30.258500000000002</v>
      </c>
      <c r="R347" s="9"/>
      <c r="S347" s="11"/>
    </row>
    <row r="348" spans="1:19" ht="15.75">
      <c r="A348" s="13">
        <v>51744</v>
      </c>
      <c r="B348" s="8">
        <f>CHOOSE( CONTROL!$C$32, 9.9346, 9.9341) * CHOOSE(CONTROL!$C$15, $D$11, 100%, $F$11)</f>
        <v>9.9345999999999997</v>
      </c>
      <c r="C348" s="8">
        <f>CHOOSE( CONTROL!$C$32, 9.9425, 9.9421) * CHOOSE(CONTROL!$C$15, $D$11, 100%, $F$11)</f>
        <v>9.9425000000000008</v>
      </c>
      <c r="D348" s="8">
        <f>CHOOSE( CONTROL!$C$32, 9.9378, 9.9374) * CHOOSE( CONTROL!$C$15, $D$11, 100%, $F$11)</f>
        <v>9.9377999999999993</v>
      </c>
      <c r="E348" s="12">
        <f>CHOOSE( CONTROL!$C$32, 9.9383, 9.9379) * CHOOSE( CONTROL!$C$15, $D$11, 100%, $F$11)</f>
        <v>9.9382999999999999</v>
      </c>
      <c r="F348" s="4">
        <f>CHOOSE( CONTROL!$C$32, 10.6415, 10.641) * CHOOSE(CONTROL!$C$15, $D$11, 100%, $F$11)</f>
        <v>10.641500000000001</v>
      </c>
      <c r="G348" s="8">
        <f>CHOOSE( CONTROL!$C$32, 9.8247, 9.8242) * CHOOSE( CONTROL!$C$15, $D$11, 100%, $F$11)</f>
        <v>9.8247</v>
      </c>
      <c r="H348" s="4">
        <f>CHOOSE( CONTROL!$C$32, 10.7635, 10.7631) * CHOOSE(CONTROL!$C$15, $D$11, 100%, $F$11)</f>
        <v>10.763500000000001</v>
      </c>
      <c r="I348" s="8">
        <f>CHOOSE( CONTROL!$C$32, 9.7188, 9.7184) * CHOOSE(CONTROL!$C$15, $D$11, 100%, $F$11)</f>
        <v>9.7187999999999999</v>
      </c>
      <c r="J348" s="4">
        <f>CHOOSE( CONTROL!$C$32, 9.6307, 9.6302) * CHOOSE(CONTROL!$C$15, $D$11, 100%, $F$11)</f>
        <v>9.6306999999999992</v>
      </c>
      <c r="K348" s="4"/>
      <c r="L348" s="9">
        <v>30.7165</v>
      </c>
      <c r="M348" s="9">
        <v>12.063700000000001</v>
      </c>
      <c r="N348" s="9">
        <v>4.9444999999999997</v>
      </c>
      <c r="O348" s="9">
        <v>0.37409999999999999</v>
      </c>
      <c r="P348" s="9">
        <v>1.2927</v>
      </c>
      <c r="Q348" s="9">
        <v>30.258500000000002</v>
      </c>
      <c r="R348" s="9"/>
      <c r="S348" s="11"/>
    </row>
    <row r="349" spans="1:19" ht="15.75">
      <c r="A349" s="13">
        <v>51774</v>
      </c>
      <c r="B349" s="8">
        <f>CHOOSE( CONTROL!$C$32, 9.7267, 9.7262) * CHOOSE(CONTROL!$C$15, $D$11, 100%, $F$11)</f>
        <v>9.7266999999999992</v>
      </c>
      <c r="C349" s="8">
        <f>CHOOSE( CONTROL!$C$32, 9.7347, 9.7342) * CHOOSE(CONTROL!$C$15, $D$11, 100%, $F$11)</f>
        <v>9.7347000000000001</v>
      </c>
      <c r="D349" s="8">
        <f>CHOOSE( CONTROL!$C$32, 9.7298, 9.7294) * CHOOSE( CONTROL!$C$15, $D$11, 100%, $F$11)</f>
        <v>9.7297999999999991</v>
      </c>
      <c r="E349" s="12">
        <f>CHOOSE( CONTROL!$C$32, 9.7304, 9.7299) * CHOOSE( CONTROL!$C$15, $D$11, 100%, $F$11)</f>
        <v>9.7303999999999995</v>
      </c>
      <c r="F349" s="4">
        <f>CHOOSE( CONTROL!$C$32, 10.4336, 10.4332) * CHOOSE(CONTROL!$C$15, $D$11, 100%, $F$11)</f>
        <v>10.4336</v>
      </c>
      <c r="G349" s="8">
        <f>CHOOSE( CONTROL!$C$32, 9.6192, 9.6187) * CHOOSE( CONTROL!$C$15, $D$11, 100%, $F$11)</f>
        <v>9.6191999999999993</v>
      </c>
      <c r="H349" s="4">
        <f>CHOOSE( CONTROL!$C$32, 10.5581, 10.5576) * CHOOSE(CONTROL!$C$15, $D$11, 100%, $F$11)</f>
        <v>10.5581</v>
      </c>
      <c r="I349" s="8">
        <f>CHOOSE( CONTROL!$C$32, 9.5165, 9.5161) * CHOOSE(CONTROL!$C$15, $D$11, 100%, $F$11)</f>
        <v>9.5165000000000006</v>
      </c>
      <c r="J349" s="4">
        <f>CHOOSE( CONTROL!$C$32, 9.4289, 9.4285) * CHOOSE(CONTROL!$C$15, $D$11, 100%, $F$11)</f>
        <v>9.4289000000000005</v>
      </c>
      <c r="K349" s="4"/>
      <c r="L349" s="9">
        <v>29.7257</v>
      </c>
      <c r="M349" s="9">
        <v>11.6745</v>
      </c>
      <c r="N349" s="9">
        <v>4.7850000000000001</v>
      </c>
      <c r="O349" s="9">
        <v>0.36199999999999999</v>
      </c>
      <c r="P349" s="9">
        <v>1.2509999999999999</v>
      </c>
      <c r="Q349" s="9">
        <v>29.282399999999999</v>
      </c>
      <c r="R349" s="9"/>
      <c r="S349" s="11"/>
    </row>
    <row r="350" spans="1:19" ht="15.75">
      <c r="A350" s="13">
        <v>51805</v>
      </c>
      <c r="B350" s="8">
        <f>CHOOSE( CONTROL!$C$32, 10.1564, 10.1561) * CHOOSE(CONTROL!$C$15, $D$11, 100%, $F$11)</f>
        <v>10.1564</v>
      </c>
      <c r="C350" s="8">
        <f>CHOOSE( CONTROL!$C$32, 10.1617, 10.1614) * CHOOSE(CONTROL!$C$15, $D$11, 100%, $F$11)</f>
        <v>10.1617</v>
      </c>
      <c r="D350" s="8">
        <f>CHOOSE( CONTROL!$C$32, 10.1619, 10.1616) * CHOOSE( CONTROL!$C$15, $D$11, 100%, $F$11)</f>
        <v>10.161899999999999</v>
      </c>
      <c r="E350" s="12">
        <f>CHOOSE( CONTROL!$C$32, 10.1613, 10.161) * CHOOSE( CONTROL!$C$15, $D$11, 100%, $F$11)</f>
        <v>10.161300000000001</v>
      </c>
      <c r="F350" s="4">
        <f>CHOOSE( CONTROL!$C$32, 10.865, 10.8648) * CHOOSE(CONTROL!$C$15, $D$11, 100%, $F$11)</f>
        <v>10.865</v>
      </c>
      <c r="G350" s="8">
        <f>CHOOSE( CONTROL!$C$32, 10.0455, 10.0452) * CHOOSE( CONTROL!$C$15, $D$11, 100%, $F$11)</f>
        <v>10.045500000000001</v>
      </c>
      <c r="H350" s="4">
        <f>CHOOSE( CONTROL!$C$32, 10.9844, 10.9842) * CHOOSE(CONTROL!$C$15, $D$11, 100%, $F$11)</f>
        <v>10.984400000000001</v>
      </c>
      <c r="I350" s="8">
        <f>CHOOSE( CONTROL!$C$32, 9.9361, 9.9358) * CHOOSE(CONTROL!$C$15, $D$11, 100%, $F$11)</f>
        <v>9.9360999999999997</v>
      </c>
      <c r="J350" s="4">
        <f>CHOOSE( CONTROL!$C$32, 9.8476, 9.8473) * CHOOSE(CONTROL!$C$15, $D$11, 100%, $F$11)</f>
        <v>9.8475999999999999</v>
      </c>
      <c r="K350" s="4"/>
      <c r="L350" s="9">
        <v>31.095300000000002</v>
      </c>
      <c r="M350" s="9">
        <v>12.063700000000001</v>
      </c>
      <c r="N350" s="9">
        <v>4.9444999999999997</v>
      </c>
      <c r="O350" s="9">
        <v>0.37409999999999999</v>
      </c>
      <c r="P350" s="9">
        <v>1.2927</v>
      </c>
      <c r="Q350" s="9">
        <v>30.258500000000002</v>
      </c>
      <c r="R350" s="9"/>
      <c r="S350" s="11"/>
    </row>
    <row r="351" spans="1:19" ht="15.75">
      <c r="A351" s="13">
        <v>51835</v>
      </c>
      <c r="B351" s="8">
        <f>CHOOSE( CONTROL!$C$32, 10.9526, 10.9523) * CHOOSE(CONTROL!$C$15, $D$11, 100%, $F$11)</f>
        <v>10.9526</v>
      </c>
      <c r="C351" s="8">
        <f>CHOOSE( CONTROL!$C$32, 10.9576, 10.9574) * CHOOSE(CONTROL!$C$15, $D$11, 100%, $F$11)</f>
        <v>10.957599999999999</v>
      </c>
      <c r="D351" s="8">
        <f>CHOOSE( CONTROL!$C$32, 10.9255, 10.9252) * CHOOSE( CONTROL!$C$15, $D$11, 100%, $F$11)</f>
        <v>10.9255</v>
      </c>
      <c r="E351" s="12">
        <f>CHOOSE( CONTROL!$C$32, 10.9367, 10.9364) * CHOOSE( CONTROL!$C$15, $D$11, 100%, $F$11)</f>
        <v>10.9367</v>
      </c>
      <c r="F351" s="4">
        <f>CHOOSE( CONTROL!$C$32, 11.6179, 11.6176) * CHOOSE(CONTROL!$C$15, $D$11, 100%, $F$11)</f>
        <v>11.617900000000001</v>
      </c>
      <c r="G351" s="8">
        <f>CHOOSE( CONTROL!$C$32, 10.8217, 10.8214) * CHOOSE( CONTROL!$C$15, $D$11, 100%, $F$11)</f>
        <v>10.8217</v>
      </c>
      <c r="H351" s="4">
        <f>CHOOSE( CONTROL!$C$32, 11.7284, 11.7282) * CHOOSE(CONTROL!$C$15, $D$11, 100%, $F$11)</f>
        <v>11.728400000000001</v>
      </c>
      <c r="I351" s="8">
        <f>CHOOSE( CONTROL!$C$32, 10.7604, 10.7601) * CHOOSE(CONTROL!$C$15, $D$11, 100%, $F$11)</f>
        <v>10.760400000000001</v>
      </c>
      <c r="J351" s="4">
        <f>CHOOSE( CONTROL!$C$32, 10.6207, 10.6205) * CHOOSE(CONTROL!$C$15, $D$11, 100%, $F$11)</f>
        <v>10.620699999999999</v>
      </c>
      <c r="K351" s="4"/>
      <c r="L351" s="9">
        <v>28.360600000000002</v>
      </c>
      <c r="M351" s="9">
        <v>11.6745</v>
      </c>
      <c r="N351" s="9">
        <v>4.7850000000000001</v>
      </c>
      <c r="O351" s="9">
        <v>0.36199999999999999</v>
      </c>
      <c r="P351" s="9">
        <v>1.2509999999999999</v>
      </c>
      <c r="Q351" s="9">
        <v>29.282399999999999</v>
      </c>
      <c r="R351" s="9"/>
      <c r="S351" s="11"/>
    </row>
    <row r="352" spans="1:19" ht="15.75">
      <c r="A352" s="13">
        <v>51866</v>
      </c>
      <c r="B352" s="8">
        <f>CHOOSE( CONTROL!$C$32, 10.9327, 10.9324) * CHOOSE(CONTROL!$C$15, $D$11, 100%, $F$11)</f>
        <v>10.932700000000001</v>
      </c>
      <c r="C352" s="8">
        <f>CHOOSE( CONTROL!$C$32, 10.9377, 10.9375) * CHOOSE(CONTROL!$C$15, $D$11, 100%, $F$11)</f>
        <v>10.9377</v>
      </c>
      <c r="D352" s="8">
        <f>CHOOSE( CONTROL!$C$32, 10.9074, 10.9072) * CHOOSE( CONTROL!$C$15, $D$11, 100%, $F$11)</f>
        <v>10.907400000000001</v>
      </c>
      <c r="E352" s="12">
        <f>CHOOSE( CONTROL!$C$32, 10.9179, 10.9177) * CHOOSE( CONTROL!$C$15, $D$11, 100%, $F$11)</f>
        <v>10.917899999999999</v>
      </c>
      <c r="F352" s="4">
        <f>CHOOSE( CONTROL!$C$32, 11.5979, 11.5977) * CHOOSE(CONTROL!$C$15, $D$11, 100%, $F$11)</f>
        <v>11.597899999999999</v>
      </c>
      <c r="G352" s="8">
        <f>CHOOSE( CONTROL!$C$32, 10.8033, 10.8031) * CHOOSE( CONTROL!$C$15, $D$11, 100%, $F$11)</f>
        <v>10.8033</v>
      </c>
      <c r="H352" s="4">
        <f>CHOOSE( CONTROL!$C$32, 11.7088, 11.7085) * CHOOSE(CONTROL!$C$15, $D$11, 100%, $F$11)</f>
        <v>11.7088</v>
      </c>
      <c r="I352" s="8">
        <f>CHOOSE( CONTROL!$C$32, 10.7468, 10.7465) * CHOOSE(CONTROL!$C$15, $D$11, 100%, $F$11)</f>
        <v>10.7468</v>
      </c>
      <c r="J352" s="4">
        <f>CHOOSE( CONTROL!$C$32, 10.6014, 10.6011) * CHOOSE(CONTROL!$C$15, $D$11, 100%, $F$11)</f>
        <v>10.6014</v>
      </c>
      <c r="K352" s="4"/>
      <c r="L352" s="9">
        <v>29.306000000000001</v>
      </c>
      <c r="M352" s="9">
        <v>12.063700000000001</v>
      </c>
      <c r="N352" s="9">
        <v>4.9444999999999997</v>
      </c>
      <c r="O352" s="9">
        <v>0.37409999999999999</v>
      </c>
      <c r="P352" s="9">
        <v>1.2927</v>
      </c>
      <c r="Q352" s="9">
        <v>30.258500000000002</v>
      </c>
      <c r="R352" s="9"/>
      <c r="S352" s="11"/>
    </row>
    <row r="353" spans="1:19" ht="15.75">
      <c r="A353" s="13">
        <v>51897</v>
      </c>
      <c r="B353" s="8">
        <f>CHOOSE( CONTROL!$C$32, 11.2549, 11.2546) * CHOOSE(CONTROL!$C$15, $D$11, 100%, $F$11)</f>
        <v>11.254899999999999</v>
      </c>
      <c r="C353" s="8">
        <f>CHOOSE( CONTROL!$C$32, 11.2599, 11.2597) * CHOOSE(CONTROL!$C$15, $D$11, 100%, $F$11)</f>
        <v>11.2599</v>
      </c>
      <c r="D353" s="8">
        <f>CHOOSE( CONTROL!$C$32, 11.2576, 11.2573) * CHOOSE( CONTROL!$C$15, $D$11, 100%, $F$11)</f>
        <v>11.2576</v>
      </c>
      <c r="E353" s="12">
        <f>CHOOSE( CONTROL!$C$32, 11.2579, 11.2576) * CHOOSE( CONTROL!$C$15, $D$11, 100%, $F$11)</f>
        <v>11.257899999999999</v>
      </c>
      <c r="F353" s="4">
        <f>CHOOSE( CONTROL!$C$32, 11.9202, 11.9199) * CHOOSE(CONTROL!$C$15, $D$11, 100%, $F$11)</f>
        <v>11.920199999999999</v>
      </c>
      <c r="G353" s="8">
        <f>CHOOSE( CONTROL!$C$32, 11.1379, 11.1376) * CHOOSE( CONTROL!$C$15, $D$11, 100%, $F$11)</f>
        <v>11.1379</v>
      </c>
      <c r="H353" s="4">
        <f>CHOOSE( CONTROL!$C$32, 12.0272, 12.0269) * CHOOSE(CONTROL!$C$15, $D$11, 100%, $F$11)</f>
        <v>12.027200000000001</v>
      </c>
      <c r="I353" s="8">
        <f>CHOOSE( CONTROL!$C$32, 11.0332, 11.0329) * CHOOSE(CONTROL!$C$15, $D$11, 100%, $F$11)</f>
        <v>11.033200000000001</v>
      </c>
      <c r="J353" s="4">
        <f>CHOOSE( CONTROL!$C$32, 10.9141, 10.9138) * CHOOSE(CONTROL!$C$15, $D$11, 100%, $F$11)</f>
        <v>10.914099999999999</v>
      </c>
      <c r="K353" s="4"/>
      <c r="L353" s="9">
        <v>29.306000000000001</v>
      </c>
      <c r="M353" s="9">
        <v>12.063700000000001</v>
      </c>
      <c r="N353" s="9">
        <v>4.9444999999999997</v>
      </c>
      <c r="O353" s="9">
        <v>0.37409999999999999</v>
      </c>
      <c r="P353" s="9">
        <v>1.2927</v>
      </c>
      <c r="Q353" s="9">
        <v>20.593900000000001</v>
      </c>
      <c r="R353" s="9"/>
      <c r="S353" s="11"/>
    </row>
    <row r="354" spans="1:19" ht="15.75">
      <c r="A354" s="13">
        <v>51925</v>
      </c>
      <c r="B354" s="8">
        <f>CHOOSE( CONTROL!$C$32, 10.5279, 10.5276) * CHOOSE(CONTROL!$C$15, $D$11, 100%, $F$11)</f>
        <v>10.527900000000001</v>
      </c>
      <c r="C354" s="8">
        <f>CHOOSE( CONTROL!$C$32, 10.5329, 10.5327) * CHOOSE(CONTROL!$C$15, $D$11, 100%, $F$11)</f>
        <v>10.5329</v>
      </c>
      <c r="D354" s="8">
        <f>CHOOSE( CONTROL!$C$32, 10.5129, 10.5126) * CHOOSE( CONTROL!$C$15, $D$11, 100%, $F$11)</f>
        <v>10.5129</v>
      </c>
      <c r="E354" s="12">
        <f>CHOOSE( CONTROL!$C$32, 10.5197, 10.5194) * CHOOSE( CONTROL!$C$15, $D$11, 100%, $F$11)</f>
        <v>10.5197</v>
      </c>
      <c r="F354" s="4">
        <f>CHOOSE( CONTROL!$C$32, 11.1931, 11.1929) * CHOOSE(CONTROL!$C$15, $D$11, 100%, $F$11)</f>
        <v>11.193099999999999</v>
      </c>
      <c r="G354" s="8">
        <f>CHOOSE( CONTROL!$C$32, 10.4083, 10.408) * CHOOSE( CONTROL!$C$15, $D$11, 100%, $F$11)</f>
        <v>10.408300000000001</v>
      </c>
      <c r="H354" s="4">
        <f>CHOOSE( CONTROL!$C$32, 11.3087, 11.3084) * CHOOSE(CONTROL!$C$15, $D$11, 100%, $F$11)</f>
        <v>11.3087</v>
      </c>
      <c r="I354" s="8">
        <f>CHOOSE( CONTROL!$C$32, 10.3277, 10.3274) * CHOOSE(CONTROL!$C$15, $D$11, 100%, $F$11)</f>
        <v>10.3277</v>
      </c>
      <c r="J354" s="4">
        <f>CHOOSE( CONTROL!$C$32, 10.2085, 10.2083) * CHOOSE(CONTROL!$C$15, $D$11, 100%, $F$11)</f>
        <v>10.208500000000001</v>
      </c>
      <c r="K354" s="4"/>
      <c r="L354" s="9">
        <v>26.469899999999999</v>
      </c>
      <c r="M354" s="9">
        <v>10.8962</v>
      </c>
      <c r="N354" s="9">
        <v>4.4660000000000002</v>
      </c>
      <c r="O354" s="9">
        <v>0.33789999999999998</v>
      </c>
      <c r="P354" s="9">
        <v>1.1676</v>
      </c>
      <c r="Q354" s="9">
        <v>18.600999999999999</v>
      </c>
      <c r="R354" s="9"/>
      <c r="S354" s="11"/>
    </row>
    <row r="355" spans="1:19" ht="15.75">
      <c r="A355" s="13">
        <v>51956</v>
      </c>
      <c r="B355" s="8">
        <f>CHOOSE( CONTROL!$C$32, 10.3039, 10.3037) * CHOOSE(CONTROL!$C$15, $D$11, 100%, $F$11)</f>
        <v>10.303900000000001</v>
      </c>
      <c r="C355" s="8">
        <f>CHOOSE( CONTROL!$C$32, 10.309, 10.3088) * CHOOSE(CONTROL!$C$15, $D$11, 100%, $F$11)</f>
        <v>10.308999999999999</v>
      </c>
      <c r="D355" s="8">
        <f>CHOOSE( CONTROL!$C$32, 10.279, 10.2788) * CHOOSE( CONTROL!$C$15, $D$11, 100%, $F$11)</f>
        <v>10.279</v>
      </c>
      <c r="E355" s="12">
        <f>CHOOSE( CONTROL!$C$32, 10.2894, 10.2892) * CHOOSE( CONTROL!$C$15, $D$11, 100%, $F$11)</f>
        <v>10.289400000000001</v>
      </c>
      <c r="F355" s="4">
        <f>CHOOSE( CONTROL!$C$32, 10.9692, 10.969) * CHOOSE(CONTROL!$C$15, $D$11, 100%, $F$11)</f>
        <v>10.969200000000001</v>
      </c>
      <c r="G355" s="8">
        <f>CHOOSE( CONTROL!$C$32, 10.1737, 10.1735) * CHOOSE( CONTROL!$C$15, $D$11, 100%, $F$11)</f>
        <v>10.1737</v>
      </c>
      <c r="H355" s="4">
        <f>CHOOSE( CONTROL!$C$32, 11.0874, 11.0871) * CHOOSE(CONTROL!$C$15, $D$11, 100%, $F$11)</f>
        <v>11.087400000000001</v>
      </c>
      <c r="I355" s="8">
        <f>CHOOSE( CONTROL!$C$32, 10.075, 10.0748) * CHOOSE(CONTROL!$C$15, $D$11, 100%, $F$11)</f>
        <v>10.074999999999999</v>
      </c>
      <c r="J355" s="4">
        <f>CHOOSE( CONTROL!$C$32, 9.9912, 9.991) * CHOOSE(CONTROL!$C$15, $D$11, 100%, $F$11)</f>
        <v>9.9911999999999992</v>
      </c>
      <c r="K355" s="4"/>
      <c r="L355" s="9">
        <v>29.306000000000001</v>
      </c>
      <c r="M355" s="9">
        <v>12.063700000000001</v>
      </c>
      <c r="N355" s="9">
        <v>4.9444999999999997</v>
      </c>
      <c r="O355" s="9">
        <v>0.37409999999999999</v>
      </c>
      <c r="P355" s="9">
        <v>1.2927</v>
      </c>
      <c r="Q355" s="9">
        <v>20.593900000000001</v>
      </c>
      <c r="R355" s="9"/>
      <c r="S355" s="11"/>
    </row>
    <row r="356" spans="1:19" ht="15.75">
      <c r="A356" s="13">
        <v>51986</v>
      </c>
      <c r="B356" s="8">
        <f>CHOOSE( CONTROL!$C$32, 10.4612, 10.4609) * CHOOSE(CONTROL!$C$15, $D$11, 100%, $F$11)</f>
        <v>10.4612</v>
      </c>
      <c r="C356" s="8">
        <f>CHOOSE( CONTROL!$C$32, 10.4657, 10.4654) * CHOOSE(CONTROL!$C$15, $D$11, 100%, $F$11)</f>
        <v>10.4657</v>
      </c>
      <c r="D356" s="8">
        <f>CHOOSE( CONTROL!$C$32, 10.4652, 10.4649) * CHOOSE( CONTROL!$C$15, $D$11, 100%, $F$11)</f>
        <v>10.465199999999999</v>
      </c>
      <c r="E356" s="12">
        <f>CHOOSE( CONTROL!$C$32, 10.4649, 10.4646) * CHOOSE( CONTROL!$C$15, $D$11, 100%, $F$11)</f>
        <v>10.4649</v>
      </c>
      <c r="F356" s="4">
        <f>CHOOSE( CONTROL!$C$32, 11.1695, 11.1692) * CHOOSE(CONTROL!$C$15, $D$11, 100%, $F$11)</f>
        <v>11.169499999999999</v>
      </c>
      <c r="G356" s="8">
        <f>CHOOSE( CONTROL!$C$32, 10.3454, 10.3451) * CHOOSE( CONTROL!$C$15, $D$11, 100%, $F$11)</f>
        <v>10.3454</v>
      </c>
      <c r="H356" s="4">
        <f>CHOOSE( CONTROL!$C$32, 11.2853, 11.2851) * CHOOSE(CONTROL!$C$15, $D$11, 100%, $F$11)</f>
        <v>11.285299999999999</v>
      </c>
      <c r="I356" s="8">
        <f>CHOOSE( CONTROL!$C$32, 10.2275, 10.2272) * CHOOSE(CONTROL!$C$15, $D$11, 100%, $F$11)</f>
        <v>10.227499999999999</v>
      </c>
      <c r="J356" s="4">
        <f>CHOOSE( CONTROL!$C$32, 10.1431, 10.1428) * CHOOSE(CONTROL!$C$15, $D$11, 100%, $F$11)</f>
        <v>10.1431</v>
      </c>
      <c r="K356" s="4"/>
      <c r="L356" s="9">
        <v>30.092199999999998</v>
      </c>
      <c r="M356" s="9">
        <v>11.6745</v>
      </c>
      <c r="N356" s="9">
        <v>4.7850000000000001</v>
      </c>
      <c r="O356" s="9">
        <v>0.36199999999999999</v>
      </c>
      <c r="P356" s="9">
        <v>1.2509999999999999</v>
      </c>
      <c r="Q356" s="9">
        <v>19.929600000000001</v>
      </c>
      <c r="R356" s="9"/>
      <c r="S356" s="11"/>
    </row>
    <row r="357" spans="1:19" ht="15.75">
      <c r="A357" s="13">
        <v>52017</v>
      </c>
      <c r="B357" s="8">
        <f>CHOOSE( CONTROL!$C$32, 10.7412, 10.7408) * CHOOSE(CONTROL!$C$15, $D$11, 100%, $F$11)</f>
        <v>10.741199999999999</v>
      </c>
      <c r="C357" s="8">
        <f>CHOOSE( CONTROL!$C$32, 10.7492, 10.7487) * CHOOSE(CONTROL!$C$15, $D$11, 100%, $F$11)</f>
        <v>10.7492</v>
      </c>
      <c r="D357" s="8">
        <f>CHOOSE( CONTROL!$C$32, 10.7435, 10.743) * CHOOSE( CONTROL!$C$15, $D$11, 100%, $F$11)</f>
        <v>10.743499999999999</v>
      </c>
      <c r="E357" s="12">
        <f>CHOOSE( CONTROL!$C$32, 10.7443, 10.7439) * CHOOSE( CONTROL!$C$15, $D$11, 100%, $F$11)</f>
        <v>10.744300000000001</v>
      </c>
      <c r="F357" s="4">
        <f>CHOOSE( CONTROL!$C$32, 11.4481, 11.4477) * CHOOSE(CONTROL!$C$15, $D$11, 100%, $F$11)</f>
        <v>11.4481</v>
      </c>
      <c r="G357" s="8">
        <f>CHOOSE( CONTROL!$C$32, 10.6211, 10.6207) * CHOOSE( CONTROL!$C$15, $D$11, 100%, $F$11)</f>
        <v>10.6211</v>
      </c>
      <c r="H357" s="4">
        <f>CHOOSE( CONTROL!$C$32, 11.5607, 11.5603) * CHOOSE(CONTROL!$C$15, $D$11, 100%, $F$11)</f>
        <v>11.560700000000001</v>
      </c>
      <c r="I357" s="8">
        <f>CHOOSE( CONTROL!$C$32, 10.4987, 10.4982) * CHOOSE(CONTROL!$C$15, $D$11, 100%, $F$11)</f>
        <v>10.498699999999999</v>
      </c>
      <c r="J357" s="4">
        <f>CHOOSE( CONTROL!$C$32, 10.4135, 10.4131) * CHOOSE(CONTROL!$C$15, $D$11, 100%, $F$11)</f>
        <v>10.413500000000001</v>
      </c>
      <c r="K357" s="4"/>
      <c r="L357" s="9">
        <v>30.7165</v>
      </c>
      <c r="M357" s="9">
        <v>12.063700000000001</v>
      </c>
      <c r="N357" s="9">
        <v>4.9444999999999997</v>
      </c>
      <c r="O357" s="9">
        <v>0.37409999999999999</v>
      </c>
      <c r="P357" s="9">
        <v>1.2927</v>
      </c>
      <c r="Q357" s="9">
        <v>20.593900000000001</v>
      </c>
      <c r="R357" s="9"/>
      <c r="S357" s="11"/>
    </row>
    <row r="358" spans="1:19" ht="15.75">
      <c r="A358" s="13">
        <v>52047</v>
      </c>
      <c r="B358" s="8">
        <f>CHOOSE( CONTROL!$C$32, 10.5687, 10.5682) * CHOOSE(CONTROL!$C$15, $D$11, 100%, $F$11)</f>
        <v>10.5687</v>
      </c>
      <c r="C358" s="8">
        <f>CHOOSE( CONTROL!$C$32, 10.5767, 10.5762) * CHOOSE(CONTROL!$C$15, $D$11, 100%, $F$11)</f>
        <v>10.576700000000001</v>
      </c>
      <c r="D358" s="8">
        <f>CHOOSE( CONTROL!$C$32, 10.5714, 10.5709) * CHOOSE( CONTROL!$C$15, $D$11, 100%, $F$11)</f>
        <v>10.571400000000001</v>
      </c>
      <c r="E358" s="12">
        <f>CHOOSE( CONTROL!$C$32, 10.5721, 10.5716) * CHOOSE( CONTROL!$C$15, $D$11, 100%, $F$11)</f>
        <v>10.572100000000001</v>
      </c>
      <c r="F358" s="4">
        <f>CHOOSE( CONTROL!$C$32, 11.2756, 11.2752) * CHOOSE(CONTROL!$C$15, $D$11, 100%, $F$11)</f>
        <v>11.275600000000001</v>
      </c>
      <c r="G358" s="8">
        <f>CHOOSE( CONTROL!$C$32, 10.4509, 10.4505) * CHOOSE( CONTROL!$C$15, $D$11, 100%, $F$11)</f>
        <v>10.450900000000001</v>
      </c>
      <c r="H358" s="4">
        <f>CHOOSE( CONTROL!$C$32, 11.3902, 11.3898) * CHOOSE(CONTROL!$C$15, $D$11, 100%, $F$11)</f>
        <v>11.3902</v>
      </c>
      <c r="I358" s="8">
        <f>CHOOSE( CONTROL!$C$32, 10.3326, 10.3321) * CHOOSE(CONTROL!$C$15, $D$11, 100%, $F$11)</f>
        <v>10.332599999999999</v>
      </c>
      <c r="J358" s="4">
        <f>CHOOSE( CONTROL!$C$32, 10.2461, 10.2457) * CHOOSE(CONTROL!$C$15, $D$11, 100%, $F$11)</f>
        <v>10.2461</v>
      </c>
      <c r="K358" s="4"/>
      <c r="L358" s="9">
        <v>29.7257</v>
      </c>
      <c r="M358" s="9">
        <v>11.6745</v>
      </c>
      <c r="N358" s="9">
        <v>4.7850000000000001</v>
      </c>
      <c r="O358" s="9">
        <v>0.36199999999999999</v>
      </c>
      <c r="P358" s="9">
        <v>1.2509999999999999</v>
      </c>
      <c r="Q358" s="9">
        <v>19.929600000000001</v>
      </c>
      <c r="R358" s="9"/>
      <c r="S358" s="11"/>
    </row>
    <row r="359" spans="1:19" ht="15.75">
      <c r="A359" s="13">
        <v>52078</v>
      </c>
      <c r="B359" s="8">
        <f>CHOOSE( CONTROL!$C$32, 11.023, 11.0225) * CHOOSE(CONTROL!$C$15, $D$11, 100%, $F$11)</f>
        <v>11.023</v>
      </c>
      <c r="C359" s="8">
        <f>CHOOSE( CONTROL!$C$32, 11.0309, 11.0305) * CHOOSE(CONTROL!$C$15, $D$11, 100%, $F$11)</f>
        <v>11.030900000000001</v>
      </c>
      <c r="D359" s="8">
        <f>CHOOSE( CONTROL!$C$32, 11.0261, 11.0256) * CHOOSE( CONTROL!$C$15, $D$11, 100%, $F$11)</f>
        <v>11.0261</v>
      </c>
      <c r="E359" s="12">
        <f>CHOOSE( CONTROL!$C$32, 11.0266, 11.0262) * CHOOSE( CONTROL!$C$15, $D$11, 100%, $F$11)</f>
        <v>11.0266</v>
      </c>
      <c r="F359" s="4">
        <f>CHOOSE( CONTROL!$C$32, 11.7299, 11.7295) * CHOOSE(CONTROL!$C$15, $D$11, 100%, $F$11)</f>
        <v>11.729900000000001</v>
      </c>
      <c r="G359" s="8">
        <f>CHOOSE( CONTROL!$C$32, 10.9003, 10.8998) * CHOOSE( CONTROL!$C$15, $D$11, 100%, $F$11)</f>
        <v>10.9003</v>
      </c>
      <c r="H359" s="4">
        <f>CHOOSE( CONTROL!$C$32, 11.8392, 11.8387) * CHOOSE(CONTROL!$C$15, $D$11, 100%, $F$11)</f>
        <v>11.8392</v>
      </c>
      <c r="I359" s="8">
        <f>CHOOSE( CONTROL!$C$32, 10.7752, 10.7748) * CHOOSE(CONTROL!$C$15, $D$11, 100%, $F$11)</f>
        <v>10.7752</v>
      </c>
      <c r="J359" s="4">
        <f>CHOOSE( CONTROL!$C$32, 10.687, 10.6865) * CHOOSE(CONTROL!$C$15, $D$11, 100%, $F$11)</f>
        <v>10.686999999999999</v>
      </c>
      <c r="K359" s="4"/>
      <c r="L359" s="9">
        <v>30.7165</v>
      </c>
      <c r="M359" s="9">
        <v>12.063700000000001</v>
      </c>
      <c r="N359" s="9">
        <v>4.9444999999999997</v>
      </c>
      <c r="O359" s="9">
        <v>0.37409999999999999</v>
      </c>
      <c r="P359" s="9">
        <v>1.2927</v>
      </c>
      <c r="Q359" s="9">
        <v>20.593900000000001</v>
      </c>
      <c r="R359" s="9"/>
      <c r="S359" s="11"/>
    </row>
    <row r="360" spans="1:19" ht="15.75">
      <c r="A360" s="13">
        <v>52109</v>
      </c>
      <c r="B360" s="8">
        <f>CHOOSE( CONTROL!$C$32, 10.173, 10.1725) * CHOOSE(CONTROL!$C$15, $D$11, 100%, $F$11)</f>
        <v>10.173</v>
      </c>
      <c r="C360" s="8">
        <f>CHOOSE( CONTROL!$C$32, 10.181, 10.1805) * CHOOSE(CONTROL!$C$15, $D$11, 100%, $F$11)</f>
        <v>10.180999999999999</v>
      </c>
      <c r="D360" s="8">
        <f>CHOOSE( CONTROL!$C$32, 10.1762, 10.1758) * CHOOSE( CONTROL!$C$15, $D$11, 100%, $F$11)</f>
        <v>10.1762</v>
      </c>
      <c r="E360" s="12">
        <f>CHOOSE( CONTROL!$C$32, 10.1767, 10.1763) * CHOOSE( CONTROL!$C$15, $D$11, 100%, $F$11)</f>
        <v>10.1767</v>
      </c>
      <c r="F360" s="4">
        <f>CHOOSE( CONTROL!$C$32, 10.8799, 10.8795) * CHOOSE(CONTROL!$C$15, $D$11, 100%, $F$11)</f>
        <v>10.879899999999999</v>
      </c>
      <c r="G360" s="8">
        <f>CHOOSE( CONTROL!$C$32, 10.0603, 10.0599) * CHOOSE( CONTROL!$C$15, $D$11, 100%, $F$11)</f>
        <v>10.0603</v>
      </c>
      <c r="H360" s="4">
        <f>CHOOSE( CONTROL!$C$32, 10.9991, 10.9987) * CHOOSE(CONTROL!$C$15, $D$11, 100%, $F$11)</f>
        <v>10.9991</v>
      </c>
      <c r="I360" s="8">
        <f>CHOOSE( CONTROL!$C$32, 9.9503, 9.9499) * CHOOSE(CONTROL!$C$15, $D$11, 100%, $F$11)</f>
        <v>9.9503000000000004</v>
      </c>
      <c r="J360" s="4">
        <f>CHOOSE( CONTROL!$C$32, 9.8621, 9.8616) * CHOOSE(CONTROL!$C$15, $D$11, 100%, $F$11)</f>
        <v>9.8620999999999999</v>
      </c>
      <c r="K360" s="4"/>
      <c r="L360" s="9">
        <v>30.7165</v>
      </c>
      <c r="M360" s="9">
        <v>12.063700000000001</v>
      </c>
      <c r="N360" s="9">
        <v>4.9444999999999997</v>
      </c>
      <c r="O360" s="9">
        <v>0.37409999999999999</v>
      </c>
      <c r="P360" s="9">
        <v>1.2927</v>
      </c>
      <c r="Q360" s="9">
        <v>20.593900000000001</v>
      </c>
      <c r="R360" s="9"/>
      <c r="S360" s="11"/>
    </row>
    <row r="361" spans="1:19" ht="15.75">
      <c r="A361" s="13">
        <v>52139</v>
      </c>
      <c r="B361" s="8">
        <f>CHOOSE( CONTROL!$C$32, 9.9601, 9.9597) * CHOOSE(CONTROL!$C$15, $D$11, 100%, $F$11)</f>
        <v>9.9601000000000006</v>
      </c>
      <c r="C361" s="8">
        <f>CHOOSE( CONTROL!$C$32, 9.9681, 9.9676) * CHOOSE(CONTROL!$C$15, $D$11, 100%, $F$11)</f>
        <v>9.9680999999999997</v>
      </c>
      <c r="D361" s="8">
        <f>CHOOSE( CONTROL!$C$32, 9.9632, 9.9628) * CHOOSE( CONTROL!$C$15, $D$11, 100%, $F$11)</f>
        <v>9.9632000000000005</v>
      </c>
      <c r="E361" s="12">
        <f>CHOOSE( CONTROL!$C$32, 9.9638, 9.9633) * CHOOSE( CONTROL!$C$15, $D$11, 100%, $F$11)</f>
        <v>9.9638000000000009</v>
      </c>
      <c r="F361" s="4">
        <f>CHOOSE( CONTROL!$C$32, 10.6671, 10.6666) * CHOOSE(CONTROL!$C$15, $D$11, 100%, $F$11)</f>
        <v>10.6671</v>
      </c>
      <c r="G361" s="8">
        <f>CHOOSE( CONTROL!$C$32, 9.8499, 9.8494) * CHOOSE( CONTROL!$C$15, $D$11, 100%, $F$11)</f>
        <v>9.8498999999999999</v>
      </c>
      <c r="H361" s="4">
        <f>CHOOSE( CONTROL!$C$32, 10.7888, 10.7883) * CHOOSE(CONTROL!$C$15, $D$11, 100%, $F$11)</f>
        <v>10.7888</v>
      </c>
      <c r="I361" s="8">
        <f>CHOOSE( CONTROL!$C$32, 9.7432, 9.7427) * CHOOSE(CONTROL!$C$15, $D$11, 100%, $F$11)</f>
        <v>9.7431999999999999</v>
      </c>
      <c r="J361" s="4">
        <f>CHOOSE( CONTROL!$C$32, 9.6555, 9.655) * CHOOSE(CONTROL!$C$15, $D$11, 100%, $F$11)</f>
        <v>9.6555</v>
      </c>
      <c r="K361" s="4"/>
      <c r="L361" s="9">
        <v>29.7257</v>
      </c>
      <c r="M361" s="9">
        <v>11.6745</v>
      </c>
      <c r="N361" s="9">
        <v>4.7850000000000001</v>
      </c>
      <c r="O361" s="9">
        <v>0.36199999999999999</v>
      </c>
      <c r="P361" s="9">
        <v>1.2509999999999999</v>
      </c>
      <c r="Q361" s="9">
        <v>19.929600000000001</v>
      </c>
      <c r="R361" s="9"/>
      <c r="S361" s="11"/>
    </row>
    <row r="362" spans="1:19" ht="15.75">
      <c r="A362" s="13">
        <v>52170</v>
      </c>
      <c r="B362" s="8">
        <f>CHOOSE( CONTROL!$C$32, 10.4002, 10.3999) * CHOOSE(CONTROL!$C$15, $D$11, 100%, $F$11)</f>
        <v>10.4002</v>
      </c>
      <c r="C362" s="8">
        <f>CHOOSE( CONTROL!$C$32, 10.4055, 10.4052) * CHOOSE(CONTROL!$C$15, $D$11, 100%, $F$11)</f>
        <v>10.4055</v>
      </c>
      <c r="D362" s="8">
        <f>CHOOSE( CONTROL!$C$32, 10.4057, 10.4054) * CHOOSE( CONTROL!$C$15, $D$11, 100%, $F$11)</f>
        <v>10.4057</v>
      </c>
      <c r="E362" s="12">
        <f>CHOOSE( CONTROL!$C$32, 10.4051, 10.4048) * CHOOSE( CONTROL!$C$15, $D$11, 100%, $F$11)</f>
        <v>10.405099999999999</v>
      </c>
      <c r="F362" s="4">
        <f>CHOOSE( CONTROL!$C$32, 11.1088, 11.1086) * CHOOSE(CONTROL!$C$15, $D$11, 100%, $F$11)</f>
        <v>11.1088</v>
      </c>
      <c r="G362" s="8">
        <f>CHOOSE( CONTROL!$C$32, 10.2864, 10.2861) * CHOOSE( CONTROL!$C$15, $D$11, 100%, $F$11)</f>
        <v>10.2864</v>
      </c>
      <c r="H362" s="4">
        <f>CHOOSE( CONTROL!$C$32, 11.2254, 11.2251) * CHOOSE(CONTROL!$C$15, $D$11, 100%, $F$11)</f>
        <v>11.2254</v>
      </c>
      <c r="I362" s="8">
        <f>CHOOSE( CONTROL!$C$32, 10.1728, 10.1725) * CHOOSE(CONTROL!$C$15, $D$11, 100%, $F$11)</f>
        <v>10.172800000000001</v>
      </c>
      <c r="J362" s="4">
        <f>CHOOSE( CONTROL!$C$32, 10.0842, 10.084) * CHOOSE(CONTROL!$C$15, $D$11, 100%, $F$11)</f>
        <v>10.084199999999999</v>
      </c>
      <c r="K362" s="4"/>
      <c r="L362" s="9">
        <v>31.095300000000002</v>
      </c>
      <c r="M362" s="9">
        <v>12.063700000000001</v>
      </c>
      <c r="N362" s="9">
        <v>4.9444999999999997</v>
      </c>
      <c r="O362" s="9">
        <v>0.37409999999999999</v>
      </c>
      <c r="P362" s="9">
        <v>1.2927</v>
      </c>
      <c r="Q362" s="9">
        <v>20.593900000000001</v>
      </c>
      <c r="R362" s="9"/>
      <c r="S362" s="11"/>
    </row>
    <row r="363" spans="1:19" ht="15.75">
      <c r="A363" s="13">
        <v>52200</v>
      </c>
      <c r="B363" s="8">
        <f>CHOOSE( CONTROL!$C$32, 11.2155, 11.2152) * CHOOSE(CONTROL!$C$15, $D$11, 100%, $F$11)</f>
        <v>11.2155</v>
      </c>
      <c r="C363" s="8">
        <f>CHOOSE( CONTROL!$C$32, 11.2206, 11.2203) * CHOOSE(CONTROL!$C$15, $D$11, 100%, $F$11)</f>
        <v>11.220599999999999</v>
      </c>
      <c r="D363" s="8">
        <f>CHOOSE( CONTROL!$C$32, 11.1885, 11.1882) * CHOOSE( CONTROL!$C$15, $D$11, 100%, $F$11)</f>
        <v>11.188499999999999</v>
      </c>
      <c r="E363" s="12">
        <f>CHOOSE( CONTROL!$C$32, 11.1997, 11.1994) * CHOOSE( CONTROL!$C$15, $D$11, 100%, $F$11)</f>
        <v>11.1997</v>
      </c>
      <c r="F363" s="4">
        <f>CHOOSE( CONTROL!$C$32, 11.8808, 11.8805) * CHOOSE(CONTROL!$C$15, $D$11, 100%, $F$11)</f>
        <v>11.880800000000001</v>
      </c>
      <c r="G363" s="8">
        <f>CHOOSE( CONTROL!$C$32, 11.0815, 11.0813) * CHOOSE( CONTROL!$C$15, $D$11, 100%, $F$11)</f>
        <v>11.0815</v>
      </c>
      <c r="H363" s="4">
        <f>CHOOSE( CONTROL!$C$32, 11.9883, 11.988) * CHOOSE(CONTROL!$C$15, $D$11, 100%, $F$11)</f>
        <v>11.988300000000001</v>
      </c>
      <c r="I363" s="8">
        <f>CHOOSE( CONTROL!$C$32, 11.0157, 11.0154) * CHOOSE(CONTROL!$C$15, $D$11, 100%, $F$11)</f>
        <v>11.015700000000001</v>
      </c>
      <c r="J363" s="4">
        <f>CHOOSE( CONTROL!$C$32, 10.8759, 10.8756) * CHOOSE(CONTROL!$C$15, $D$11, 100%, $F$11)</f>
        <v>10.8759</v>
      </c>
      <c r="K363" s="4"/>
      <c r="L363" s="9">
        <v>28.360600000000002</v>
      </c>
      <c r="M363" s="9">
        <v>11.6745</v>
      </c>
      <c r="N363" s="9">
        <v>4.7850000000000001</v>
      </c>
      <c r="O363" s="9">
        <v>0.36199999999999999</v>
      </c>
      <c r="P363" s="9">
        <v>1.2509999999999999</v>
      </c>
      <c r="Q363" s="9">
        <v>19.929600000000001</v>
      </c>
      <c r="R363" s="9"/>
      <c r="S363" s="11"/>
    </row>
    <row r="364" spans="1:19" ht="15.75">
      <c r="A364" s="13">
        <v>52231</v>
      </c>
      <c r="B364" s="8">
        <f>CHOOSE( CONTROL!$C$32, 11.1951, 11.1949) * CHOOSE(CONTROL!$C$15, $D$11, 100%, $F$11)</f>
        <v>11.1951</v>
      </c>
      <c r="C364" s="8">
        <f>CHOOSE( CONTROL!$C$32, 11.2002, 11.1999) * CHOOSE(CONTROL!$C$15, $D$11, 100%, $F$11)</f>
        <v>11.200200000000001</v>
      </c>
      <c r="D364" s="8">
        <f>CHOOSE( CONTROL!$C$32, 11.1699, 11.1696) * CHOOSE( CONTROL!$C$15, $D$11, 100%, $F$11)</f>
        <v>11.1699</v>
      </c>
      <c r="E364" s="12">
        <f>CHOOSE( CONTROL!$C$32, 11.1804, 11.1801) * CHOOSE( CONTROL!$C$15, $D$11, 100%, $F$11)</f>
        <v>11.180400000000001</v>
      </c>
      <c r="F364" s="4">
        <f>CHOOSE( CONTROL!$C$32, 11.8604, 11.8601) * CHOOSE(CONTROL!$C$15, $D$11, 100%, $F$11)</f>
        <v>11.8604</v>
      </c>
      <c r="G364" s="8">
        <f>CHOOSE( CONTROL!$C$32, 11.0627, 11.0624) * CHOOSE( CONTROL!$C$15, $D$11, 100%, $F$11)</f>
        <v>11.0627</v>
      </c>
      <c r="H364" s="4">
        <f>CHOOSE( CONTROL!$C$32, 11.9682, 11.9679) * CHOOSE(CONTROL!$C$15, $D$11, 100%, $F$11)</f>
        <v>11.9682</v>
      </c>
      <c r="I364" s="8">
        <f>CHOOSE( CONTROL!$C$32, 11.0016, 11.0014) * CHOOSE(CONTROL!$C$15, $D$11, 100%, $F$11)</f>
        <v>11.0016</v>
      </c>
      <c r="J364" s="4">
        <f>CHOOSE( CONTROL!$C$32, 10.8561, 10.8559) * CHOOSE(CONTROL!$C$15, $D$11, 100%, $F$11)</f>
        <v>10.8561</v>
      </c>
      <c r="K364" s="4"/>
      <c r="L364" s="9">
        <v>29.306000000000001</v>
      </c>
      <c r="M364" s="9">
        <v>12.063700000000001</v>
      </c>
      <c r="N364" s="9">
        <v>4.9444999999999997</v>
      </c>
      <c r="O364" s="9">
        <v>0.37409999999999999</v>
      </c>
      <c r="P364" s="9">
        <v>1.2927</v>
      </c>
      <c r="Q364" s="9">
        <v>20.593900000000001</v>
      </c>
      <c r="R364" s="9"/>
      <c r="S364" s="11"/>
    </row>
    <row r="365" spans="1:19" ht="15.75">
      <c r="A365" s="13">
        <v>52262</v>
      </c>
      <c r="B365" s="8">
        <f>CHOOSE( CONTROL!$C$32, 11.5251, 11.5248) * CHOOSE(CONTROL!$C$15, $D$11, 100%, $F$11)</f>
        <v>11.5251</v>
      </c>
      <c r="C365" s="8">
        <f>CHOOSE( CONTROL!$C$32, 11.5302, 11.5299) * CHOOSE(CONTROL!$C$15, $D$11, 100%, $F$11)</f>
        <v>11.530200000000001</v>
      </c>
      <c r="D365" s="8">
        <f>CHOOSE( CONTROL!$C$32, 11.5278, 11.5275) * CHOOSE( CONTROL!$C$15, $D$11, 100%, $F$11)</f>
        <v>11.527799999999999</v>
      </c>
      <c r="E365" s="12">
        <f>CHOOSE( CONTROL!$C$32, 11.5281, 11.5278) * CHOOSE( CONTROL!$C$15, $D$11, 100%, $F$11)</f>
        <v>11.5281</v>
      </c>
      <c r="F365" s="4">
        <f>CHOOSE( CONTROL!$C$32, 12.1904, 12.1901) * CHOOSE(CONTROL!$C$15, $D$11, 100%, $F$11)</f>
        <v>12.1904</v>
      </c>
      <c r="G365" s="8">
        <f>CHOOSE( CONTROL!$C$32, 11.4049, 11.4047) * CHOOSE( CONTROL!$C$15, $D$11, 100%, $F$11)</f>
        <v>11.4049</v>
      </c>
      <c r="H365" s="4">
        <f>CHOOSE( CONTROL!$C$32, 12.2942, 12.294) * CHOOSE(CONTROL!$C$15, $D$11, 100%, $F$11)</f>
        <v>12.2942</v>
      </c>
      <c r="I365" s="8">
        <f>CHOOSE( CONTROL!$C$32, 11.2955, 11.2953) * CHOOSE(CONTROL!$C$15, $D$11, 100%, $F$11)</f>
        <v>11.295500000000001</v>
      </c>
      <c r="J365" s="4">
        <f>CHOOSE( CONTROL!$C$32, 11.1763, 11.1761) * CHOOSE(CONTROL!$C$15, $D$11, 100%, $F$11)</f>
        <v>11.176299999999999</v>
      </c>
      <c r="K365" s="4"/>
      <c r="L365" s="9">
        <v>29.306000000000001</v>
      </c>
      <c r="M365" s="9">
        <v>12.063700000000001</v>
      </c>
      <c r="N365" s="9">
        <v>4.9444999999999997</v>
      </c>
      <c r="O365" s="9">
        <v>0.37409999999999999</v>
      </c>
      <c r="P365" s="9">
        <v>1.2927</v>
      </c>
      <c r="Q365" s="9">
        <v>20.5288</v>
      </c>
      <c r="R365" s="9"/>
      <c r="S365" s="11"/>
    </row>
    <row r="366" spans="1:19" ht="15.75">
      <c r="A366" s="13">
        <v>52290</v>
      </c>
      <c r="B366" s="8">
        <f>CHOOSE( CONTROL!$C$32, 10.7806, 10.7803) * CHOOSE(CONTROL!$C$15, $D$11, 100%, $F$11)</f>
        <v>10.7806</v>
      </c>
      <c r="C366" s="8">
        <f>CHOOSE( CONTROL!$C$32, 10.7857, 10.7854) * CHOOSE(CONTROL!$C$15, $D$11, 100%, $F$11)</f>
        <v>10.7857</v>
      </c>
      <c r="D366" s="8">
        <f>CHOOSE( CONTROL!$C$32, 10.7656, 10.7654) * CHOOSE( CONTROL!$C$15, $D$11, 100%, $F$11)</f>
        <v>10.765599999999999</v>
      </c>
      <c r="E366" s="12">
        <f>CHOOSE( CONTROL!$C$32, 10.7724, 10.7722) * CHOOSE( CONTROL!$C$15, $D$11, 100%, $F$11)</f>
        <v>10.772399999999999</v>
      </c>
      <c r="F366" s="4">
        <f>CHOOSE( CONTROL!$C$32, 11.4459, 11.4456) * CHOOSE(CONTROL!$C$15, $D$11, 100%, $F$11)</f>
        <v>11.4459</v>
      </c>
      <c r="G366" s="8">
        <f>CHOOSE( CONTROL!$C$32, 10.658, 10.6578) * CHOOSE( CONTROL!$C$15, $D$11, 100%, $F$11)</f>
        <v>10.657999999999999</v>
      </c>
      <c r="H366" s="4">
        <f>CHOOSE( CONTROL!$C$32, 11.5585, 11.5582) * CHOOSE(CONTROL!$C$15, $D$11, 100%, $F$11)</f>
        <v>11.5585</v>
      </c>
      <c r="I366" s="8">
        <f>CHOOSE( CONTROL!$C$32, 10.5731, 10.5728) * CHOOSE(CONTROL!$C$15, $D$11, 100%, $F$11)</f>
        <v>10.5731</v>
      </c>
      <c r="J366" s="4">
        <f>CHOOSE( CONTROL!$C$32, 10.4538, 10.4536) * CHOOSE(CONTROL!$C$15, $D$11, 100%, $F$11)</f>
        <v>10.453799999999999</v>
      </c>
      <c r="K366" s="4"/>
      <c r="L366" s="9">
        <v>26.469899999999999</v>
      </c>
      <c r="M366" s="9">
        <v>10.8962</v>
      </c>
      <c r="N366" s="9">
        <v>4.4660000000000002</v>
      </c>
      <c r="O366" s="9">
        <v>0.33789999999999998</v>
      </c>
      <c r="P366" s="9">
        <v>1.1676</v>
      </c>
      <c r="Q366" s="9">
        <v>18.542200000000001</v>
      </c>
      <c r="R366" s="9"/>
      <c r="S366" s="11"/>
    </row>
    <row r="367" spans="1:19" ht="15.75">
      <c r="A367" s="13">
        <v>52321</v>
      </c>
      <c r="B367" s="8">
        <f>CHOOSE( CONTROL!$C$32, 10.5513, 10.551) * CHOOSE(CONTROL!$C$15, $D$11, 100%, $F$11)</f>
        <v>10.551299999999999</v>
      </c>
      <c r="C367" s="8">
        <f>CHOOSE( CONTROL!$C$32, 10.5564, 10.5561) * CHOOSE(CONTROL!$C$15, $D$11, 100%, $F$11)</f>
        <v>10.5564</v>
      </c>
      <c r="D367" s="8">
        <f>CHOOSE( CONTROL!$C$32, 10.5264, 10.5261) * CHOOSE( CONTROL!$C$15, $D$11, 100%, $F$11)</f>
        <v>10.526400000000001</v>
      </c>
      <c r="E367" s="12">
        <f>CHOOSE( CONTROL!$C$32, 10.5368, 10.5365) * CHOOSE( CONTROL!$C$15, $D$11, 100%, $F$11)</f>
        <v>10.536799999999999</v>
      </c>
      <c r="F367" s="4">
        <f>CHOOSE( CONTROL!$C$32, 11.2166, 11.2163) * CHOOSE(CONTROL!$C$15, $D$11, 100%, $F$11)</f>
        <v>11.2166</v>
      </c>
      <c r="G367" s="8">
        <f>CHOOSE( CONTROL!$C$32, 10.4182, 10.4179) * CHOOSE( CONTROL!$C$15, $D$11, 100%, $F$11)</f>
        <v>10.418200000000001</v>
      </c>
      <c r="H367" s="4">
        <f>CHOOSE( CONTROL!$C$32, 11.3319, 11.3316) * CHOOSE(CONTROL!$C$15, $D$11, 100%, $F$11)</f>
        <v>11.331899999999999</v>
      </c>
      <c r="I367" s="8">
        <f>CHOOSE( CONTROL!$C$32, 10.3152, 10.315) * CHOOSE(CONTROL!$C$15, $D$11, 100%, $F$11)</f>
        <v>10.315200000000001</v>
      </c>
      <c r="J367" s="4">
        <f>CHOOSE( CONTROL!$C$32, 10.2313, 10.231) * CHOOSE(CONTROL!$C$15, $D$11, 100%, $F$11)</f>
        <v>10.231299999999999</v>
      </c>
      <c r="K367" s="4"/>
      <c r="L367" s="9">
        <v>29.306000000000001</v>
      </c>
      <c r="M367" s="9">
        <v>12.063700000000001</v>
      </c>
      <c r="N367" s="9">
        <v>4.9444999999999997</v>
      </c>
      <c r="O367" s="9">
        <v>0.37409999999999999</v>
      </c>
      <c r="P367" s="9">
        <v>1.2927</v>
      </c>
      <c r="Q367" s="9">
        <v>20.5288</v>
      </c>
      <c r="R367" s="9"/>
      <c r="S367" s="11"/>
    </row>
    <row r="368" spans="1:19" ht="15.75">
      <c r="A368" s="13">
        <v>52351</v>
      </c>
      <c r="B368" s="8">
        <f>CHOOSE( CONTROL!$C$32, 10.7123, 10.712) * CHOOSE(CONTROL!$C$15, $D$11, 100%, $F$11)</f>
        <v>10.712300000000001</v>
      </c>
      <c r="C368" s="8">
        <f>CHOOSE( CONTROL!$C$32, 10.7168, 10.7165) * CHOOSE(CONTROL!$C$15, $D$11, 100%, $F$11)</f>
        <v>10.716799999999999</v>
      </c>
      <c r="D368" s="8">
        <f>CHOOSE( CONTROL!$C$32, 10.7163, 10.716) * CHOOSE( CONTROL!$C$15, $D$11, 100%, $F$11)</f>
        <v>10.7163</v>
      </c>
      <c r="E368" s="12">
        <f>CHOOSE( CONTROL!$C$32, 10.716, 10.7157) * CHOOSE( CONTROL!$C$15, $D$11, 100%, $F$11)</f>
        <v>10.715999999999999</v>
      </c>
      <c r="F368" s="4">
        <f>CHOOSE( CONTROL!$C$32, 11.4206, 11.4203) * CHOOSE(CONTROL!$C$15, $D$11, 100%, $F$11)</f>
        <v>11.4206</v>
      </c>
      <c r="G368" s="8">
        <f>CHOOSE( CONTROL!$C$32, 10.5935, 10.5933) * CHOOSE( CONTROL!$C$15, $D$11, 100%, $F$11)</f>
        <v>10.593500000000001</v>
      </c>
      <c r="H368" s="4">
        <f>CHOOSE( CONTROL!$C$32, 11.5335, 11.5332) * CHOOSE(CONTROL!$C$15, $D$11, 100%, $F$11)</f>
        <v>11.5335</v>
      </c>
      <c r="I368" s="8">
        <f>CHOOSE( CONTROL!$C$32, 10.4713, 10.4711) * CHOOSE(CONTROL!$C$15, $D$11, 100%, $F$11)</f>
        <v>10.471299999999999</v>
      </c>
      <c r="J368" s="4">
        <f>CHOOSE( CONTROL!$C$32, 10.3868, 10.3865) * CHOOSE(CONTROL!$C$15, $D$11, 100%, $F$11)</f>
        <v>10.386799999999999</v>
      </c>
      <c r="K368" s="4"/>
      <c r="L368" s="9">
        <v>30.092199999999998</v>
      </c>
      <c r="M368" s="9">
        <v>11.6745</v>
      </c>
      <c r="N368" s="9">
        <v>4.7850000000000001</v>
      </c>
      <c r="O368" s="9">
        <v>0.36199999999999999</v>
      </c>
      <c r="P368" s="9">
        <v>1.2509999999999999</v>
      </c>
      <c r="Q368" s="9">
        <v>19.866599999999998</v>
      </c>
      <c r="R368" s="9"/>
      <c r="S368" s="11"/>
    </row>
    <row r="369" spans="1:19" ht="15.75">
      <c r="A369" s="13">
        <v>52382</v>
      </c>
      <c r="B369" s="8">
        <f>CHOOSE( CONTROL!$C$32, 10.999, 10.9986) * CHOOSE(CONTROL!$C$15, $D$11, 100%, $F$11)</f>
        <v>10.999000000000001</v>
      </c>
      <c r="C369" s="8">
        <f>CHOOSE( CONTROL!$C$32, 11.007, 11.0065) * CHOOSE(CONTROL!$C$15, $D$11, 100%, $F$11)</f>
        <v>11.007</v>
      </c>
      <c r="D369" s="8">
        <f>CHOOSE( CONTROL!$C$32, 11.0013, 11.0008) * CHOOSE( CONTROL!$C$15, $D$11, 100%, $F$11)</f>
        <v>11.001300000000001</v>
      </c>
      <c r="E369" s="12">
        <f>CHOOSE( CONTROL!$C$32, 11.0021, 11.0017) * CHOOSE( CONTROL!$C$15, $D$11, 100%, $F$11)</f>
        <v>11.0021</v>
      </c>
      <c r="F369" s="4">
        <f>CHOOSE( CONTROL!$C$32, 11.706, 11.7055) * CHOOSE(CONTROL!$C$15, $D$11, 100%, $F$11)</f>
        <v>11.706</v>
      </c>
      <c r="G369" s="8">
        <f>CHOOSE( CONTROL!$C$32, 10.8759, 10.8754) * CHOOSE( CONTROL!$C$15, $D$11, 100%, $F$11)</f>
        <v>10.8759</v>
      </c>
      <c r="H369" s="4">
        <f>CHOOSE( CONTROL!$C$32, 11.8155, 11.8151) * CHOOSE(CONTROL!$C$15, $D$11, 100%, $F$11)</f>
        <v>11.8155</v>
      </c>
      <c r="I369" s="8">
        <f>CHOOSE( CONTROL!$C$32, 10.749, 10.7485) * CHOOSE(CONTROL!$C$15, $D$11, 100%, $F$11)</f>
        <v>10.749000000000001</v>
      </c>
      <c r="J369" s="4">
        <f>CHOOSE( CONTROL!$C$32, 10.6637, 10.6633) * CHOOSE(CONTROL!$C$15, $D$11, 100%, $F$11)</f>
        <v>10.6637</v>
      </c>
      <c r="K369" s="4"/>
      <c r="L369" s="9">
        <v>30.7165</v>
      </c>
      <c r="M369" s="9">
        <v>12.063700000000001</v>
      </c>
      <c r="N369" s="9">
        <v>4.9444999999999997</v>
      </c>
      <c r="O369" s="9">
        <v>0.37409999999999999</v>
      </c>
      <c r="P369" s="9">
        <v>1.2927</v>
      </c>
      <c r="Q369" s="9">
        <v>20.5288</v>
      </c>
      <c r="R369" s="9"/>
      <c r="S369" s="11"/>
    </row>
    <row r="370" spans="1:19" ht="15.75">
      <c r="A370" s="13">
        <v>52412</v>
      </c>
      <c r="B370" s="8">
        <f>CHOOSE( CONTROL!$C$32, 10.8224, 10.8219) * CHOOSE(CONTROL!$C$15, $D$11, 100%, $F$11)</f>
        <v>10.8224</v>
      </c>
      <c r="C370" s="8">
        <f>CHOOSE( CONTROL!$C$32, 10.8303, 10.8299) * CHOOSE(CONTROL!$C$15, $D$11, 100%, $F$11)</f>
        <v>10.830299999999999</v>
      </c>
      <c r="D370" s="8">
        <f>CHOOSE( CONTROL!$C$32, 10.825, 10.8246) * CHOOSE( CONTROL!$C$15, $D$11, 100%, $F$11)</f>
        <v>10.824999999999999</v>
      </c>
      <c r="E370" s="12">
        <f>CHOOSE( CONTROL!$C$32, 10.8257, 10.8253) * CHOOSE( CONTROL!$C$15, $D$11, 100%, $F$11)</f>
        <v>10.825699999999999</v>
      </c>
      <c r="F370" s="4">
        <f>CHOOSE( CONTROL!$C$32, 11.5293, 11.5288) * CHOOSE(CONTROL!$C$15, $D$11, 100%, $F$11)</f>
        <v>11.529299999999999</v>
      </c>
      <c r="G370" s="8">
        <f>CHOOSE( CONTROL!$C$32, 10.7016, 10.7012) * CHOOSE( CONTROL!$C$15, $D$11, 100%, $F$11)</f>
        <v>10.701599999999999</v>
      </c>
      <c r="H370" s="4">
        <f>CHOOSE( CONTROL!$C$32, 11.6409, 11.6405) * CHOOSE(CONTROL!$C$15, $D$11, 100%, $F$11)</f>
        <v>11.6409</v>
      </c>
      <c r="I370" s="8">
        <f>CHOOSE( CONTROL!$C$32, 10.5789, 10.5784) * CHOOSE(CONTROL!$C$15, $D$11, 100%, $F$11)</f>
        <v>10.578900000000001</v>
      </c>
      <c r="J370" s="4">
        <f>CHOOSE( CONTROL!$C$32, 10.4923, 10.4918) * CHOOSE(CONTROL!$C$15, $D$11, 100%, $F$11)</f>
        <v>10.4923</v>
      </c>
      <c r="K370" s="4"/>
      <c r="L370" s="9">
        <v>29.7257</v>
      </c>
      <c r="M370" s="9">
        <v>11.6745</v>
      </c>
      <c r="N370" s="9">
        <v>4.7850000000000001</v>
      </c>
      <c r="O370" s="9">
        <v>0.36199999999999999</v>
      </c>
      <c r="P370" s="9">
        <v>1.2509999999999999</v>
      </c>
      <c r="Q370" s="9">
        <v>19.866599999999998</v>
      </c>
      <c r="R370" s="9"/>
      <c r="S370" s="11"/>
    </row>
    <row r="371" spans="1:19" ht="15.75">
      <c r="A371" s="13">
        <v>52443</v>
      </c>
      <c r="B371" s="8">
        <f>CHOOSE( CONTROL!$C$32, 11.2875, 11.2871) * CHOOSE(CONTROL!$C$15, $D$11, 100%, $F$11)</f>
        <v>11.2875</v>
      </c>
      <c r="C371" s="8">
        <f>CHOOSE( CONTROL!$C$32, 11.2955, 11.2951) * CHOOSE(CONTROL!$C$15, $D$11, 100%, $F$11)</f>
        <v>11.295500000000001</v>
      </c>
      <c r="D371" s="8">
        <f>CHOOSE( CONTROL!$C$32, 11.2907, 11.2902) * CHOOSE( CONTROL!$C$15, $D$11, 100%, $F$11)</f>
        <v>11.290699999999999</v>
      </c>
      <c r="E371" s="12">
        <f>CHOOSE( CONTROL!$C$32, 11.2912, 11.2908) * CHOOSE( CONTROL!$C$15, $D$11, 100%, $F$11)</f>
        <v>11.2912</v>
      </c>
      <c r="F371" s="4">
        <f>CHOOSE( CONTROL!$C$32, 11.9945, 11.994) * CHOOSE(CONTROL!$C$15, $D$11, 100%, $F$11)</f>
        <v>11.9945</v>
      </c>
      <c r="G371" s="8">
        <f>CHOOSE( CONTROL!$C$32, 11.1617, 11.1613) * CHOOSE( CONTROL!$C$15, $D$11, 100%, $F$11)</f>
        <v>11.1617</v>
      </c>
      <c r="H371" s="4">
        <f>CHOOSE( CONTROL!$C$32, 12.1007, 12.1002) * CHOOSE(CONTROL!$C$15, $D$11, 100%, $F$11)</f>
        <v>12.1007</v>
      </c>
      <c r="I371" s="8">
        <f>CHOOSE( CONTROL!$C$32, 11.0321, 11.0317) * CHOOSE(CONTROL!$C$15, $D$11, 100%, $F$11)</f>
        <v>11.0321</v>
      </c>
      <c r="J371" s="4">
        <f>CHOOSE( CONTROL!$C$32, 10.9437, 10.9433) * CHOOSE(CONTROL!$C$15, $D$11, 100%, $F$11)</f>
        <v>10.9437</v>
      </c>
      <c r="K371" s="4"/>
      <c r="L371" s="9">
        <v>30.7165</v>
      </c>
      <c r="M371" s="9">
        <v>12.063700000000001</v>
      </c>
      <c r="N371" s="9">
        <v>4.9444999999999997</v>
      </c>
      <c r="O371" s="9">
        <v>0.37409999999999999</v>
      </c>
      <c r="P371" s="9">
        <v>1.2927</v>
      </c>
      <c r="Q371" s="9">
        <v>20.5288</v>
      </c>
      <c r="R371" s="9"/>
      <c r="S371" s="11"/>
    </row>
    <row r="372" spans="1:19" ht="15.75">
      <c r="A372" s="13">
        <v>52474</v>
      </c>
      <c r="B372" s="8">
        <f>CHOOSE( CONTROL!$C$32, 10.4171, 10.4167) * CHOOSE(CONTROL!$C$15, $D$11, 100%, $F$11)</f>
        <v>10.4171</v>
      </c>
      <c r="C372" s="8">
        <f>CHOOSE( CONTROL!$C$32, 10.4251, 10.4246) * CHOOSE(CONTROL!$C$15, $D$11, 100%, $F$11)</f>
        <v>10.4251</v>
      </c>
      <c r="D372" s="8">
        <f>CHOOSE( CONTROL!$C$32, 10.4204, 10.4199) * CHOOSE( CONTROL!$C$15, $D$11, 100%, $F$11)</f>
        <v>10.420400000000001</v>
      </c>
      <c r="E372" s="12">
        <f>CHOOSE( CONTROL!$C$32, 10.4209, 10.4204) * CHOOSE( CONTROL!$C$15, $D$11, 100%, $F$11)</f>
        <v>10.4209</v>
      </c>
      <c r="F372" s="4">
        <f>CHOOSE( CONTROL!$C$32, 11.1241, 11.1236) * CHOOSE(CONTROL!$C$15, $D$11, 100%, $F$11)</f>
        <v>11.1241</v>
      </c>
      <c r="G372" s="8">
        <f>CHOOSE( CONTROL!$C$32, 10.3016, 10.3012) * CHOOSE( CONTROL!$C$15, $D$11, 100%, $F$11)</f>
        <v>10.301600000000001</v>
      </c>
      <c r="H372" s="4">
        <f>CHOOSE( CONTROL!$C$32, 11.2404, 11.24) * CHOOSE(CONTROL!$C$15, $D$11, 100%, $F$11)</f>
        <v>11.240399999999999</v>
      </c>
      <c r="I372" s="8">
        <f>CHOOSE( CONTROL!$C$32, 10.1874, 10.187) * CHOOSE(CONTROL!$C$15, $D$11, 100%, $F$11)</f>
        <v>10.1874</v>
      </c>
      <c r="J372" s="4">
        <f>CHOOSE( CONTROL!$C$32, 10.099, 10.0986) * CHOOSE(CONTROL!$C$15, $D$11, 100%, $F$11)</f>
        <v>10.099</v>
      </c>
      <c r="K372" s="4"/>
      <c r="L372" s="9">
        <v>30.7165</v>
      </c>
      <c r="M372" s="9">
        <v>12.063700000000001</v>
      </c>
      <c r="N372" s="9">
        <v>4.9444999999999997</v>
      </c>
      <c r="O372" s="9">
        <v>0.37409999999999999</v>
      </c>
      <c r="P372" s="9">
        <v>1.2927</v>
      </c>
      <c r="Q372" s="9">
        <v>20.5288</v>
      </c>
      <c r="R372" s="9"/>
      <c r="S372" s="11"/>
    </row>
    <row r="373" spans="1:19" ht="15.75">
      <c r="A373" s="13">
        <v>52504</v>
      </c>
      <c r="B373" s="8">
        <f>CHOOSE( CONTROL!$C$32, 10.1992, 10.1987) * CHOOSE(CONTROL!$C$15, $D$11, 100%, $F$11)</f>
        <v>10.199199999999999</v>
      </c>
      <c r="C373" s="8">
        <f>CHOOSE( CONTROL!$C$32, 10.2071, 10.2067) * CHOOSE(CONTROL!$C$15, $D$11, 100%, $F$11)</f>
        <v>10.207100000000001</v>
      </c>
      <c r="D373" s="8">
        <f>CHOOSE( CONTROL!$C$32, 10.2023, 10.2018) * CHOOSE( CONTROL!$C$15, $D$11, 100%, $F$11)</f>
        <v>10.202299999999999</v>
      </c>
      <c r="E373" s="12">
        <f>CHOOSE( CONTROL!$C$32, 10.2028, 10.2024) * CHOOSE( CONTROL!$C$15, $D$11, 100%, $F$11)</f>
        <v>10.2028</v>
      </c>
      <c r="F373" s="4">
        <f>CHOOSE( CONTROL!$C$32, 10.9061, 10.9057) * CHOOSE(CONTROL!$C$15, $D$11, 100%, $F$11)</f>
        <v>10.9061</v>
      </c>
      <c r="G373" s="8">
        <f>CHOOSE( CONTROL!$C$32, 10.0861, 10.0856) * CHOOSE( CONTROL!$C$15, $D$11, 100%, $F$11)</f>
        <v>10.0861</v>
      </c>
      <c r="H373" s="4">
        <f>CHOOSE( CONTROL!$C$32, 11.025, 11.0246) * CHOOSE(CONTROL!$C$15, $D$11, 100%, $F$11)</f>
        <v>11.025</v>
      </c>
      <c r="I373" s="8">
        <f>CHOOSE( CONTROL!$C$32, 9.9753, 9.9748) * CHOOSE(CONTROL!$C$15, $D$11, 100%, $F$11)</f>
        <v>9.9753000000000007</v>
      </c>
      <c r="J373" s="4">
        <f>CHOOSE( CONTROL!$C$32, 9.8875, 9.887) * CHOOSE(CONTROL!$C$15, $D$11, 100%, $F$11)</f>
        <v>9.8874999999999993</v>
      </c>
      <c r="K373" s="4"/>
      <c r="L373" s="9">
        <v>29.7257</v>
      </c>
      <c r="M373" s="9">
        <v>11.6745</v>
      </c>
      <c r="N373" s="9">
        <v>4.7850000000000001</v>
      </c>
      <c r="O373" s="9">
        <v>0.36199999999999999</v>
      </c>
      <c r="P373" s="9">
        <v>1.2509999999999999</v>
      </c>
      <c r="Q373" s="9">
        <v>19.866599999999998</v>
      </c>
      <c r="R373" s="9"/>
      <c r="S373" s="11"/>
    </row>
    <row r="374" spans="1:19" ht="15.75">
      <c r="A374" s="13">
        <v>52535</v>
      </c>
      <c r="B374" s="8">
        <f>CHOOSE( CONTROL!$C$32, 10.6498, 10.6496) * CHOOSE(CONTROL!$C$15, $D$11, 100%, $F$11)</f>
        <v>10.649800000000001</v>
      </c>
      <c r="C374" s="8">
        <f>CHOOSE( CONTROL!$C$32, 10.6552, 10.6549) * CHOOSE(CONTROL!$C$15, $D$11, 100%, $F$11)</f>
        <v>10.655200000000001</v>
      </c>
      <c r="D374" s="8">
        <f>CHOOSE( CONTROL!$C$32, 10.6554, 10.6551) * CHOOSE( CONTROL!$C$15, $D$11, 100%, $F$11)</f>
        <v>10.6554</v>
      </c>
      <c r="E374" s="12">
        <f>CHOOSE( CONTROL!$C$32, 10.6548, 10.6545) * CHOOSE( CONTROL!$C$15, $D$11, 100%, $F$11)</f>
        <v>10.6548</v>
      </c>
      <c r="F374" s="4">
        <f>CHOOSE( CONTROL!$C$32, 11.3585, 11.3582) * CHOOSE(CONTROL!$C$15, $D$11, 100%, $F$11)</f>
        <v>11.358499999999999</v>
      </c>
      <c r="G374" s="8">
        <f>CHOOSE( CONTROL!$C$32, 10.5331, 10.5329) * CHOOSE( CONTROL!$C$15, $D$11, 100%, $F$11)</f>
        <v>10.533099999999999</v>
      </c>
      <c r="H374" s="4">
        <f>CHOOSE( CONTROL!$C$32, 11.4721, 11.4718) * CHOOSE(CONTROL!$C$15, $D$11, 100%, $F$11)</f>
        <v>11.472099999999999</v>
      </c>
      <c r="I374" s="8">
        <f>CHOOSE( CONTROL!$C$32, 10.4152, 10.4149) * CHOOSE(CONTROL!$C$15, $D$11, 100%, $F$11)</f>
        <v>10.4152</v>
      </c>
      <c r="J374" s="4">
        <f>CHOOSE( CONTROL!$C$32, 10.3265, 10.3262) * CHOOSE(CONTROL!$C$15, $D$11, 100%, $F$11)</f>
        <v>10.326499999999999</v>
      </c>
      <c r="K374" s="4"/>
      <c r="L374" s="9">
        <v>31.095300000000002</v>
      </c>
      <c r="M374" s="9">
        <v>12.063700000000001</v>
      </c>
      <c r="N374" s="9">
        <v>4.9444999999999997</v>
      </c>
      <c r="O374" s="9">
        <v>0.37409999999999999</v>
      </c>
      <c r="P374" s="9">
        <v>1.2927</v>
      </c>
      <c r="Q374" s="9">
        <v>20.5288</v>
      </c>
      <c r="R374" s="9"/>
      <c r="S374" s="11"/>
    </row>
    <row r="375" spans="1:19" ht="15.75">
      <c r="A375" s="13">
        <v>52565</v>
      </c>
      <c r="B375" s="8">
        <f>CHOOSE( CONTROL!$C$32, 11.4848, 11.4845) * CHOOSE(CONTROL!$C$15, $D$11, 100%, $F$11)</f>
        <v>11.4848</v>
      </c>
      <c r="C375" s="8">
        <f>CHOOSE( CONTROL!$C$32, 11.4898, 11.4896) * CHOOSE(CONTROL!$C$15, $D$11, 100%, $F$11)</f>
        <v>11.489800000000001</v>
      </c>
      <c r="D375" s="8">
        <f>CHOOSE( CONTROL!$C$32, 11.4577, 11.4574) * CHOOSE( CONTROL!$C$15, $D$11, 100%, $F$11)</f>
        <v>11.457700000000001</v>
      </c>
      <c r="E375" s="12">
        <f>CHOOSE( CONTROL!$C$32, 11.4689, 11.4686) * CHOOSE( CONTROL!$C$15, $D$11, 100%, $F$11)</f>
        <v>11.4689</v>
      </c>
      <c r="F375" s="4">
        <f>CHOOSE( CONTROL!$C$32, 12.15, 12.1498) * CHOOSE(CONTROL!$C$15, $D$11, 100%, $F$11)</f>
        <v>12.15</v>
      </c>
      <c r="G375" s="8">
        <f>CHOOSE( CONTROL!$C$32, 11.3476, 11.3474) * CHOOSE( CONTROL!$C$15, $D$11, 100%, $F$11)</f>
        <v>11.3476</v>
      </c>
      <c r="H375" s="4">
        <f>CHOOSE( CONTROL!$C$32, 12.2544, 12.2541) * CHOOSE(CONTROL!$C$15, $D$11, 100%, $F$11)</f>
        <v>12.2544</v>
      </c>
      <c r="I375" s="8">
        <f>CHOOSE( CONTROL!$C$32, 11.2772, 11.2769) * CHOOSE(CONTROL!$C$15, $D$11, 100%, $F$11)</f>
        <v>11.277200000000001</v>
      </c>
      <c r="J375" s="4">
        <f>CHOOSE( CONTROL!$C$32, 11.1372, 11.1369) * CHOOSE(CONTROL!$C$15, $D$11, 100%, $F$11)</f>
        <v>11.1372</v>
      </c>
      <c r="K375" s="4"/>
      <c r="L375" s="9">
        <v>28.360600000000002</v>
      </c>
      <c r="M375" s="9">
        <v>11.6745</v>
      </c>
      <c r="N375" s="9">
        <v>4.7850000000000001</v>
      </c>
      <c r="O375" s="9">
        <v>0.36199999999999999</v>
      </c>
      <c r="P375" s="9">
        <v>1.2509999999999999</v>
      </c>
      <c r="Q375" s="9">
        <v>19.866599999999998</v>
      </c>
      <c r="R375" s="9"/>
      <c r="S375" s="11"/>
    </row>
    <row r="376" spans="1:19" ht="15.75">
      <c r="A376" s="13">
        <v>52596</v>
      </c>
      <c r="B376" s="8">
        <f>CHOOSE( CONTROL!$C$32, 11.4639, 11.4636) * CHOOSE(CONTROL!$C$15, $D$11, 100%, $F$11)</f>
        <v>11.463900000000001</v>
      </c>
      <c r="C376" s="8">
        <f>CHOOSE( CONTROL!$C$32, 11.469, 11.4687) * CHOOSE(CONTROL!$C$15, $D$11, 100%, $F$11)</f>
        <v>11.468999999999999</v>
      </c>
      <c r="D376" s="8">
        <f>CHOOSE( CONTROL!$C$32, 11.4387, 11.4384) * CHOOSE( CONTROL!$C$15, $D$11, 100%, $F$11)</f>
        <v>11.438700000000001</v>
      </c>
      <c r="E376" s="12">
        <f>CHOOSE( CONTROL!$C$32, 11.4492, 11.4489) * CHOOSE( CONTROL!$C$15, $D$11, 100%, $F$11)</f>
        <v>11.449199999999999</v>
      </c>
      <c r="F376" s="4">
        <f>CHOOSE( CONTROL!$C$32, 12.1292, 12.1289) * CHOOSE(CONTROL!$C$15, $D$11, 100%, $F$11)</f>
        <v>12.129200000000001</v>
      </c>
      <c r="G376" s="8">
        <f>CHOOSE( CONTROL!$C$32, 11.3283, 11.3281) * CHOOSE( CONTROL!$C$15, $D$11, 100%, $F$11)</f>
        <v>11.3283</v>
      </c>
      <c r="H376" s="4">
        <f>CHOOSE( CONTROL!$C$32, 12.2338, 12.2335) * CHOOSE(CONTROL!$C$15, $D$11, 100%, $F$11)</f>
        <v>12.2338</v>
      </c>
      <c r="I376" s="8">
        <f>CHOOSE( CONTROL!$C$32, 11.2626, 11.2623) * CHOOSE(CONTROL!$C$15, $D$11, 100%, $F$11)</f>
        <v>11.262600000000001</v>
      </c>
      <c r="J376" s="4">
        <f>CHOOSE( CONTROL!$C$32, 11.117, 11.1167) * CHOOSE(CONTROL!$C$15, $D$11, 100%, $F$11)</f>
        <v>11.117000000000001</v>
      </c>
      <c r="K376" s="4"/>
      <c r="L376" s="9">
        <v>29.306000000000001</v>
      </c>
      <c r="M376" s="9">
        <v>12.063700000000001</v>
      </c>
      <c r="N376" s="9">
        <v>4.9444999999999997</v>
      </c>
      <c r="O376" s="9">
        <v>0.37409999999999999</v>
      </c>
      <c r="P376" s="9">
        <v>1.2927</v>
      </c>
      <c r="Q376" s="9">
        <v>20.5288</v>
      </c>
      <c r="R376" s="9"/>
      <c r="S376" s="11"/>
    </row>
    <row r="377" spans="1:19" ht="15.75">
      <c r="A377" s="13">
        <v>52627</v>
      </c>
      <c r="B377" s="8">
        <f>CHOOSE( CONTROL!$C$32, 11.8018, 11.8015) * CHOOSE(CONTROL!$C$15, $D$11, 100%, $F$11)</f>
        <v>11.8018</v>
      </c>
      <c r="C377" s="8">
        <f>CHOOSE( CONTROL!$C$32, 11.8068, 11.8066) * CHOOSE(CONTROL!$C$15, $D$11, 100%, $F$11)</f>
        <v>11.806800000000001</v>
      </c>
      <c r="D377" s="8">
        <f>CHOOSE( CONTROL!$C$32, 11.8045, 11.8042) * CHOOSE( CONTROL!$C$15, $D$11, 100%, $F$11)</f>
        <v>11.804500000000001</v>
      </c>
      <c r="E377" s="12">
        <f>CHOOSE( CONTROL!$C$32, 11.8048, 11.8045) * CHOOSE( CONTROL!$C$15, $D$11, 100%, $F$11)</f>
        <v>11.8048</v>
      </c>
      <c r="F377" s="4">
        <f>CHOOSE( CONTROL!$C$32, 12.4671, 12.4668) * CHOOSE(CONTROL!$C$15, $D$11, 100%, $F$11)</f>
        <v>12.4671</v>
      </c>
      <c r="G377" s="8">
        <f>CHOOSE( CONTROL!$C$32, 11.6784, 11.6781) * CHOOSE( CONTROL!$C$15, $D$11, 100%, $F$11)</f>
        <v>11.6784</v>
      </c>
      <c r="H377" s="4">
        <f>CHOOSE( CONTROL!$C$32, 12.5677, 12.5674) * CHOOSE(CONTROL!$C$15, $D$11, 100%, $F$11)</f>
        <v>12.5677</v>
      </c>
      <c r="I377" s="8">
        <f>CHOOSE( CONTROL!$C$32, 11.5642, 11.5639) * CHOOSE(CONTROL!$C$15, $D$11, 100%, $F$11)</f>
        <v>11.5642</v>
      </c>
      <c r="J377" s="4">
        <f>CHOOSE( CONTROL!$C$32, 11.4449, 11.4446) * CHOOSE(CONTROL!$C$15, $D$11, 100%, $F$11)</f>
        <v>11.444900000000001</v>
      </c>
      <c r="K377" s="4"/>
      <c r="L377" s="9">
        <v>29.306000000000001</v>
      </c>
      <c r="M377" s="9">
        <v>12.063700000000001</v>
      </c>
      <c r="N377" s="9">
        <v>4.9444999999999997</v>
      </c>
      <c r="O377" s="9">
        <v>0.37409999999999999</v>
      </c>
      <c r="P377" s="9">
        <v>1.2927</v>
      </c>
      <c r="Q377" s="9">
        <v>20.4619</v>
      </c>
      <c r="R377" s="9"/>
      <c r="S377" s="11"/>
    </row>
    <row r="378" spans="1:19" ht="15.75">
      <c r="A378" s="13">
        <v>52655</v>
      </c>
      <c r="B378" s="8">
        <f>CHOOSE( CONTROL!$C$32, 11.0394, 11.0391) * CHOOSE(CONTROL!$C$15, $D$11, 100%, $F$11)</f>
        <v>11.039400000000001</v>
      </c>
      <c r="C378" s="8">
        <f>CHOOSE( CONTROL!$C$32, 11.0445, 11.0442) * CHOOSE(CONTROL!$C$15, $D$11, 100%, $F$11)</f>
        <v>11.044499999999999</v>
      </c>
      <c r="D378" s="8">
        <f>CHOOSE( CONTROL!$C$32, 11.0244, 11.0242) * CHOOSE( CONTROL!$C$15, $D$11, 100%, $F$11)</f>
        <v>11.0244</v>
      </c>
      <c r="E378" s="12">
        <f>CHOOSE( CONTROL!$C$32, 11.0312, 11.031) * CHOOSE( CONTROL!$C$15, $D$11, 100%, $F$11)</f>
        <v>11.0312</v>
      </c>
      <c r="F378" s="4">
        <f>CHOOSE( CONTROL!$C$32, 11.7047, 11.7044) * CHOOSE(CONTROL!$C$15, $D$11, 100%, $F$11)</f>
        <v>11.704700000000001</v>
      </c>
      <c r="G378" s="8">
        <f>CHOOSE( CONTROL!$C$32, 10.9138, 10.9135) * CHOOSE( CONTROL!$C$15, $D$11, 100%, $F$11)</f>
        <v>10.9138</v>
      </c>
      <c r="H378" s="4">
        <f>CHOOSE( CONTROL!$C$32, 11.8143, 11.814) * CHOOSE(CONTROL!$C$15, $D$11, 100%, $F$11)</f>
        <v>11.814299999999999</v>
      </c>
      <c r="I378" s="8">
        <f>CHOOSE( CONTROL!$C$32, 10.8244, 10.8241) * CHOOSE(CONTROL!$C$15, $D$11, 100%, $F$11)</f>
        <v>10.824400000000001</v>
      </c>
      <c r="J378" s="4">
        <f>CHOOSE( CONTROL!$C$32, 10.705, 10.7047) * CHOOSE(CONTROL!$C$15, $D$11, 100%, $F$11)</f>
        <v>10.705</v>
      </c>
      <c r="K378" s="4"/>
      <c r="L378" s="9">
        <v>27.415299999999998</v>
      </c>
      <c r="M378" s="9">
        <v>11.285299999999999</v>
      </c>
      <c r="N378" s="9">
        <v>4.6254999999999997</v>
      </c>
      <c r="O378" s="9">
        <v>0.34989999999999999</v>
      </c>
      <c r="P378" s="9">
        <v>1.2093</v>
      </c>
      <c r="Q378" s="9">
        <v>19.1417</v>
      </c>
      <c r="R378" s="9"/>
      <c r="S378" s="11"/>
    </row>
    <row r="379" spans="1:19" ht="15.75">
      <c r="A379" s="13">
        <v>52687</v>
      </c>
      <c r="B379" s="8">
        <f>CHOOSE( CONTROL!$C$32, 10.8046, 10.8043) * CHOOSE(CONTROL!$C$15, $D$11, 100%, $F$11)</f>
        <v>10.804600000000001</v>
      </c>
      <c r="C379" s="8">
        <f>CHOOSE( CONTROL!$C$32, 10.8097, 10.8094) * CHOOSE(CONTROL!$C$15, $D$11, 100%, $F$11)</f>
        <v>10.809699999999999</v>
      </c>
      <c r="D379" s="8">
        <f>CHOOSE( CONTROL!$C$32, 10.7797, 10.7794) * CHOOSE( CONTROL!$C$15, $D$11, 100%, $F$11)</f>
        <v>10.7797</v>
      </c>
      <c r="E379" s="12">
        <f>CHOOSE( CONTROL!$C$32, 10.7901, 10.7898) * CHOOSE( CONTROL!$C$15, $D$11, 100%, $F$11)</f>
        <v>10.790100000000001</v>
      </c>
      <c r="F379" s="4">
        <f>CHOOSE( CONTROL!$C$32, 11.4699, 11.4696) * CHOOSE(CONTROL!$C$15, $D$11, 100%, $F$11)</f>
        <v>11.469900000000001</v>
      </c>
      <c r="G379" s="8">
        <f>CHOOSE( CONTROL!$C$32, 10.6685, 10.6682) * CHOOSE( CONTROL!$C$15, $D$11, 100%, $F$11)</f>
        <v>10.6685</v>
      </c>
      <c r="H379" s="4">
        <f>CHOOSE( CONTROL!$C$32, 11.5822, 11.5819) * CHOOSE(CONTROL!$C$15, $D$11, 100%, $F$11)</f>
        <v>11.5822</v>
      </c>
      <c r="I379" s="8">
        <f>CHOOSE( CONTROL!$C$32, 10.5612, 10.5609) * CHOOSE(CONTROL!$C$15, $D$11, 100%, $F$11)</f>
        <v>10.561199999999999</v>
      </c>
      <c r="J379" s="4">
        <f>CHOOSE( CONTROL!$C$32, 10.4771, 10.4768) * CHOOSE(CONTROL!$C$15, $D$11, 100%, $F$11)</f>
        <v>10.4771</v>
      </c>
      <c r="K379" s="4"/>
      <c r="L379" s="9">
        <v>29.306000000000001</v>
      </c>
      <c r="M379" s="9">
        <v>12.063700000000001</v>
      </c>
      <c r="N379" s="9">
        <v>4.9444999999999997</v>
      </c>
      <c r="O379" s="9">
        <v>0.37409999999999999</v>
      </c>
      <c r="P379" s="9">
        <v>1.2927</v>
      </c>
      <c r="Q379" s="9">
        <v>20.4619</v>
      </c>
      <c r="R379" s="9"/>
      <c r="S379" s="11"/>
    </row>
    <row r="380" spans="1:19" ht="15.75">
      <c r="A380" s="13">
        <v>52717</v>
      </c>
      <c r="B380" s="8">
        <f>CHOOSE( CONTROL!$C$32, 10.9694, 10.9692) * CHOOSE(CONTROL!$C$15, $D$11, 100%, $F$11)</f>
        <v>10.9694</v>
      </c>
      <c r="C380" s="8">
        <f>CHOOSE( CONTROL!$C$32, 10.9739, 10.9737) * CHOOSE(CONTROL!$C$15, $D$11, 100%, $F$11)</f>
        <v>10.9739</v>
      </c>
      <c r="D380" s="8">
        <f>CHOOSE( CONTROL!$C$32, 10.9734, 10.9732) * CHOOSE( CONTROL!$C$15, $D$11, 100%, $F$11)</f>
        <v>10.9734</v>
      </c>
      <c r="E380" s="12">
        <f>CHOOSE( CONTROL!$C$32, 10.9731, 10.9729) * CHOOSE( CONTROL!$C$15, $D$11, 100%, $F$11)</f>
        <v>10.973100000000001</v>
      </c>
      <c r="F380" s="4">
        <f>CHOOSE( CONTROL!$C$32, 11.6778, 11.6775) * CHOOSE(CONTROL!$C$15, $D$11, 100%, $F$11)</f>
        <v>11.6778</v>
      </c>
      <c r="G380" s="8">
        <f>CHOOSE( CONTROL!$C$32, 10.8477, 10.8474) * CHOOSE( CONTROL!$C$15, $D$11, 100%, $F$11)</f>
        <v>10.8477</v>
      </c>
      <c r="H380" s="4">
        <f>CHOOSE( CONTROL!$C$32, 11.7876, 11.7874) * CHOOSE(CONTROL!$C$15, $D$11, 100%, $F$11)</f>
        <v>11.787599999999999</v>
      </c>
      <c r="I380" s="8">
        <f>CHOOSE( CONTROL!$C$32, 10.721, 10.7208) * CHOOSE(CONTROL!$C$15, $D$11, 100%, $F$11)</f>
        <v>10.721</v>
      </c>
      <c r="J380" s="4">
        <f>CHOOSE( CONTROL!$C$32, 10.6363, 10.6361) * CHOOSE(CONTROL!$C$15, $D$11, 100%, $F$11)</f>
        <v>10.6363</v>
      </c>
      <c r="K380" s="4"/>
      <c r="L380" s="9">
        <v>30.092199999999998</v>
      </c>
      <c r="M380" s="9">
        <v>11.6745</v>
      </c>
      <c r="N380" s="9">
        <v>4.7850000000000001</v>
      </c>
      <c r="O380" s="9">
        <v>0.36199999999999999</v>
      </c>
      <c r="P380" s="9">
        <v>1.2509999999999999</v>
      </c>
      <c r="Q380" s="9">
        <v>19.8018</v>
      </c>
      <c r="R380" s="9"/>
      <c r="S380" s="11"/>
    </row>
    <row r="381" spans="1:19" ht="15.75">
      <c r="A381" s="13">
        <v>52748</v>
      </c>
      <c r="B381" s="8">
        <f>CHOOSE( CONTROL!$C$32, 11.263, 11.2626) * CHOOSE(CONTROL!$C$15, $D$11, 100%, $F$11)</f>
        <v>11.263</v>
      </c>
      <c r="C381" s="8">
        <f>CHOOSE( CONTROL!$C$32, 11.271, 11.2705) * CHOOSE(CONTROL!$C$15, $D$11, 100%, $F$11)</f>
        <v>11.271000000000001</v>
      </c>
      <c r="D381" s="8">
        <f>CHOOSE( CONTROL!$C$32, 11.2653, 11.2648) * CHOOSE( CONTROL!$C$15, $D$11, 100%, $F$11)</f>
        <v>11.2653</v>
      </c>
      <c r="E381" s="12">
        <f>CHOOSE( CONTROL!$C$32, 11.2661, 11.2657) * CHOOSE( CONTROL!$C$15, $D$11, 100%, $F$11)</f>
        <v>11.2661</v>
      </c>
      <c r="F381" s="4">
        <f>CHOOSE( CONTROL!$C$32, 11.97, 11.9695) * CHOOSE(CONTROL!$C$15, $D$11, 100%, $F$11)</f>
        <v>11.97</v>
      </c>
      <c r="G381" s="8">
        <f>CHOOSE( CONTROL!$C$32, 11.1368, 11.1364) * CHOOSE( CONTROL!$C$15, $D$11, 100%, $F$11)</f>
        <v>11.136799999999999</v>
      </c>
      <c r="H381" s="4">
        <f>CHOOSE( CONTROL!$C$32, 12.0764, 12.076) * CHOOSE(CONTROL!$C$15, $D$11, 100%, $F$11)</f>
        <v>12.0764</v>
      </c>
      <c r="I381" s="8">
        <f>CHOOSE( CONTROL!$C$32, 11.0053, 11.0049) * CHOOSE(CONTROL!$C$15, $D$11, 100%, $F$11)</f>
        <v>11.0053</v>
      </c>
      <c r="J381" s="4">
        <f>CHOOSE( CONTROL!$C$32, 10.9199, 10.9195) * CHOOSE(CONTROL!$C$15, $D$11, 100%, $F$11)</f>
        <v>10.9199</v>
      </c>
      <c r="K381" s="4"/>
      <c r="L381" s="9">
        <v>30.7165</v>
      </c>
      <c r="M381" s="9">
        <v>12.063700000000001</v>
      </c>
      <c r="N381" s="9">
        <v>4.9444999999999997</v>
      </c>
      <c r="O381" s="9">
        <v>0.37409999999999999</v>
      </c>
      <c r="P381" s="9">
        <v>1.2927</v>
      </c>
      <c r="Q381" s="9">
        <v>20.4619</v>
      </c>
      <c r="R381" s="9"/>
      <c r="S381" s="11"/>
    </row>
    <row r="382" spans="1:19" ht="15.75">
      <c r="A382" s="13">
        <v>52778</v>
      </c>
      <c r="B382" s="8">
        <f>CHOOSE( CONTROL!$C$32, 11.0821, 11.0817) * CHOOSE(CONTROL!$C$15, $D$11, 100%, $F$11)</f>
        <v>11.082100000000001</v>
      </c>
      <c r="C382" s="8">
        <f>CHOOSE( CONTROL!$C$32, 11.0901, 11.0896) * CHOOSE(CONTROL!$C$15, $D$11, 100%, $F$11)</f>
        <v>11.0901</v>
      </c>
      <c r="D382" s="8">
        <f>CHOOSE( CONTROL!$C$32, 11.0848, 11.0843) * CHOOSE( CONTROL!$C$15, $D$11, 100%, $F$11)</f>
        <v>11.0848</v>
      </c>
      <c r="E382" s="12">
        <f>CHOOSE( CONTROL!$C$32, 11.0855, 11.085) * CHOOSE( CONTROL!$C$15, $D$11, 100%, $F$11)</f>
        <v>11.0855</v>
      </c>
      <c r="F382" s="4">
        <f>CHOOSE( CONTROL!$C$32, 11.7891, 11.7886) * CHOOSE(CONTROL!$C$15, $D$11, 100%, $F$11)</f>
        <v>11.789099999999999</v>
      </c>
      <c r="G382" s="8">
        <f>CHOOSE( CONTROL!$C$32, 10.9584, 10.9579) * CHOOSE( CONTROL!$C$15, $D$11, 100%, $F$11)</f>
        <v>10.958399999999999</v>
      </c>
      <c r="H382" s="4">
        <f>CHOOSE( CONTROL!$C$32, 11.8976, 11.8972) * CHOOSE(CONTROL!$C$15, $D$11, 100%, $F$11)</f>
        <v>11.897600000000001</v>
      </c>
      <c r="I382" s="8">
        <f>CHOOSE( CONTROL!$C$32, 10.8311, 10.8306) * CHOOSE(CONTROL!$C$15, $D$11, 100%, $F$11)</f>
        <v>10.831099999999999</v>
      </c>
      <c r="J382" s="4">
        <f>CHOOSE( CONTROL!$C$32, 10.7444, 10.7439) * CHOOSE(CONTROL!$C$15, $D$11, 100%, $F$11)</f>
        <v>10.744400000000001</v>
      </c>
      <c r="K382" s="4"/>
      <c r="L382" s="9">
        <v>29.7257</v>
      </c>
      <c r="M382" s="9">
        <v>11.6745</v>
      </c>
      <c r="N382" s="9">
        <v>4.7850000000000001</v>
      </c>
      <c r="O382" s="9">
        <v>0.36199999999999999</v>
      </c>
      <c r="P382" s="9">
        <v>1.2509999999999999</v>
      </c>
      <c r="Q382" s="9">
        <v>19.8018</v>
      </c>
      <c r="R382" s="9"/>
      <c r="S382" s="11"/>
    </row>
    <row r="383" spans="1:19" ht="15.75">
      <c r="A383" s="13">
        <v>52809</v>
      </c>
      <c r="B383" s="8">
        <f>CHOOSE( CONTROL!$C$32, 11.5585, 11.558) * CHOOSE(CONTROL!$C$15, $D$11, 100%, $F$11)</f>
        <v>11.5585</v>
      </c>
      <c r="C383" s="8">
        <f>CHOOSE( CONTROL!$C$32, 11.5665, 11.566) * CHOOSE(CONTROL!$C$15, $D$11, 100%, $F$11)</f>
        <v>11.5665</v>
      </c>
      <c r="D383" s="8">
        <f>CHOOSE( CONTROL!$C$32, 11.5616, 11.5612) * CHOOSE( CONTROL!$C$15, $D$11, 100%, $F$11)</f>
        <v>11.5616</v>
      </c>
      <c r="E383" s="12">
        <f>CHOOSE( CONTROL!$C$32, 11.5622, 11.5617) * CHOOSE( CONTROL!$C$15, $D$11, 100%, $F$11)</f>
        <v>11.562200000000001</v>
      </c>
      <c r="F383" s="4">
        <f>CHOOSE( CONTROL!$C$32, 12.2654, 12.265) * CHOOSE(CONTROL!$C$15, $D$11, 100%, $F$11)</f>
        <v>12.2654</v>
      </c>
      <c r="G383" s="8">
        <f>CHOOSE( CONTROL!$C$32, 11.4295, 11.429) * CHOOSE( CONTROL!$C$15, $D$11, 100%, $F$11)</f>
        <v>11.429500000000001</v>
      </c>
      <c r="H383" s="4">
        <f>CHOOSE( CONTROL!$C$32, 12.3684, 12.368) * CHOOSE(CONTROL!$C$15, $D$11, 100%, $F$11)</f>
        <v>12.368399999999999</v>
      </c>
      <c r="I383" s="8">
        <f>CHOOSE( CONTROL!$C$32, 11.2952, 11.2948) * CHOOSE(CONTROL!$C$15, $D$11, 100%, $F$11)</f>
        <v>11.295199999999999</v>
      </c>
      <c r="J383" s="4">
        <f>CHOOSE( CONTROL!$C$32, 11.2067, 11.2062) * CHOOSE(CONTROL!$C$15, $D$11, 100%, $F$11)</f>
        <v>11.2067</v>
      </c>
      <c r="K383" s="4"/>
      <c r="L383" s="9">
        <v>30.7165</v>
      </c>
      <c r="M383" s="9">
        <v>12.063700000000001</v>
      </c>
      <c r="N383" s="9">
        <v>4.9444999999999997</v>
      </c>
      <c r="O383" s="9">
        <v>0.37409999999999999</v>
      </c>
      <c r="P383" s="9">
        <v>1.2927</v>
      </c>
      <c r="Q383" s="9">
        <v>20.4619</v>
      </c>
      <c r="R383" s="9"/>
      <c r="S383" s="11"/>
    </row>
    <row r="384" spans="1:19" ht="15.75">
      <c r="A384" s="13">
        <v>52840</v>
      </c>
      <c r="B384" s="8">
        <f>CHOOSE( CONTROL!$C$32, 10.6671, 10.6667) * CHOOSE(CONTROL!$C$15, $D$11, 100%, $F$11)</f>
        <v>10.6671</v>
      </c>
      <c r="C384" s="8">
        <f>CHOOSE( CONTROL!$C$32, 10.6751, 10.6747) * CHOOSE(CONTROL!$C$15, $D$11, 100%, $F$11)</f>
        <v>10.6751</v>
      </c>
      <c r="D384" s="8">
        <f>CHOOSE( CONTROL!$C$32, 10.6704, 10.67) * CHOOSE( CONTROL!$C$15, $D$11, 100%, $F$11)</f>
        <v>10.670400000000001</v>
      </c>
      <c r="E384" s="12">
        <f>CHOOSE( CONTROL!$C$32, 10.6709, 10.6705) * CHOOSE( CONTROL!$C$15, $D$11, 100%, $F$11)</f>
        <v>10.6709</v>
      </c>
      <c r="F384" s="4">
        <f>CHOOSE( CONTROL!$C$32, 11.3741, 11.3736) * CHOOSE(CONTROL!$C$15, $D$11, 100%, $F$11)</f>
        <v>11.3741</v>
      </c>
      <c r="G384" s="8">
        <f>CHOOSE( CONTROL!$C$32, 10.5487, 10.5483) * CHOOSE( CONTROL!$C$15, $D$11, 100%, $F$11)</f>
        <v>10.5487</v>
      </c>
      <c r="H384" s="4">
        <f>CHOOSE( CONTROL!$C$32, 11.4875, 11.4871) * CHOOSE(CONTROL!$C$15, $D$11, 100%, $F$11)</f>
        <v>11.487500000000001</v>
      </c>
      <c r="I384" s="8">
        <f>CHOOSE( CONTROL!$C$32, 10.4302, 10.4297) * CHOOSE(CONTROL!$C$15, $D$11, 100%, $F$11)</f>
        <v>10.430199999999999</v>
      </c>
      <c r="J384" s="4">
        <f>CHOOSE( CONTROL!$C$32, 10.3416, 10.3412) * CHOOSE(CONTROL!$C$15, $D$11, 100%, $F$11)</f>
        <v>10.3416</v>
      </c>
      <c r="K384" s="4"/>
      <c r="L384" s="9">
        <v>30.7165</v>
      </c>
      <c r="M384" s="9">
        <v>12.063700000000001</v>
      </c>
      <c r="N384" s="9">
        <v>4.9444999999999997</v>
      </c>
      <c r="O384" s="9">
        <v>0.37409999999999999</v>
      </c>
      <c r="P384" s="9">
        <v>1.2927</v>
      </c>
      <c r="Q384" s="9">
        <v>20.4619</v>
      </c>
      <c r="R384" s="9"/>
      <c r="S384" s="11"/>
    </row>
    <row r="385" spans="1:19" ht="15.75">
      <c r="A385" s="13">
        <v>52870</v>
      </c>
      <c r="B385" s="8">
        <f>CHOOSE( CONTROL!$C$32, 10.4439, 10.4435) * CHOOSE(CONTROL!$C$15, $D$11, 100%, $F$11)</f>
        <v>10.443899999999999</v>
      </c>
      <c r="C385" s="8">
        <f>CHOOSE( CONTROL!$C$32, 10.4519, 10.4515) * CHOOSE(CONTROL!$C$15, $D$11, 100%, $F$11)</f>
        <v>10.4519</v>
      </c>
      <c r="D385" s="8">
        <f>CHOOSE( CONTROL!$C$32, 10.4471, 10.4466) * CHOOSE( CONTROL!$C$15, $D$11, 100%, $F$11)</f>
        <v>10.447100000000001</v>
      </c>
      <c r="E385" s="12">
        <f>CHOOSE( CONTROL!$C$32, 10.4476, 10.4472) * CHOOSE( CONTROL!$C$15, $D$11, 100%, $F$11)</f>
        <v>10.4476</v>
      </c>
      <c r="F385" s="4">
        <f>CHOOSE( CONTROL!$C$32, 11.1509, 11.1504) * CHOOSE(CONTROL!$C$15, $D$11, 100%, $F$11)</f>
        <v>11.1509</v>
      </c>
      <c r="G385" s="8">
        <f>CHOOSE( CONTROL!$C$32, 10.328, 10.3276) * CHOOSE( CONTROL!$C$15, $D$11, 100%, $F$11)</f>
        <v>10.327999999999999</v>
      </c>
      <c r="H385" s="4">
        <f>CHOOSE( CONTROL!$C$32, 11.2669, 11.2665) * CHOOSE(CONTROL!$C$15, $D$11, 100%, $F$11)</f>
        <v>11.2669</v>
      </c>
      <c r="I385" s="8">
        <f>CHOOSE( CONTROL!$C$32, 10.2129, 10.2125) * CHOOSE(CONTROL!$C$15, $D$11, 100%, $F$11)</f>
        <v>10.212899999999999</v>
      </c>
      <c r="J385" s="4">
        <f>CHOOSE( CONTROL!$C$32, 10.125, 10.1246) * CHOOSE(CONTROL!$C$15, $D$11, 100%, $F$11)</f>
        <v>10.125</v>
      </c>
      <c r="K385" s="4"/>
      <c r="L385" s="9">
        <v>29.7257</v>
      </c>
      <c r="M385" s="9">
        <v>11.6745</v>
      </c>
      <c r="N385" s="9">
        <v>4.7850000000000001</v>
      </c>
      <c r="O385" s="9">
        <v>0.36199999999999999</v>
      </c>
      <c r="P385" s="9">
        <v>1.2509999999999999</v>
      </c>
      <c r="Q385" s="9">
        <v>19.8018</v>
      </c>
      <c r="R385" s="9"/>
      <c r="S385" s="11"/>
    </row>
    <row r="386" spans="1:19" ht="15.75">
      <c r="A386" s="13">
        <v>52901</v>
      </c>
      <c r="B386" s="8">
        <f>CHOOSE( CONTROL!$C$32, 10.9055, 10.9052) * CHOOSE(CONTROL!$C$15, $D$11, 100%, $F$11)</f>
        <v>10.9055</v>
      </c>
      <c r="C386" s="8">
        <f>CHOOSE( CONTROL!$C$32, 10.9108, 10.9105) * CHOOSE(CONTROL!$C$15, $D$11, 100%, $F$11)</f>
        <v>10.9108</v>
      </c>
      <c r="D386" s="8">
        <f>CHOOSE( CONTROL!$C$32, 10.911, 10.9107) * CHOOSE( CONTROL!$C$15, $D$11, 100%, $F$11)</f>
        <v>10.911</v>
      </c>
      <c r="E386" s="12">
        <f>CHOOSE( CONTROL!$C$32, 10.9104, 10.9101) * CHOOSE( CONTROL!$C$15, $D$11, 100%, $F$11)</f>
        <v>10.910399999999999</v>
      </c>
      <c r="F386" s="4">
        <f>CHOOSE( CONTROL!$C$32, 11.6141, 11.6139) * CHOOSE(CONTROL!$C$15, $D$11, 100%, $F$11)</f>
        <v>11.614100000000001</v>
      </c>
      <c r="G386" s="8">
        <f>CHOOSE( CONTROL!$C$32, 10.7858, 10.7855) * CHOOSE( CONTROL!$C$15, $D$11, 100%, $F$11)</f>
        <v>10.7858</v>
      </c>
      <c r="H386" s="4">
        <f>CHOOSE( CONTROL!$C$32, 11.7248, 11.7245) * CHOOSE(CONTROL!$C$15, $D$11, 100%, $F$11)</f>
        <v>11.7248</v>
      </c>
      <c r="I386" s="8">
        <f>CHOOSE( CONTROL!$C$32, 10.6634, 10.6632) * CHOOSE(CONTROL!$C$15, $D$11, 100%, $F$11)</f>
        <v>10.663399999999999</v>
      </c>
      <c r="J386" s="4">
        <f>CHOOSE( CONTROL!$C$32, 10.5746, 10.5744) * CHOOSE(CONTROL!$C$15, $D$11, 100%, $F$11)</f>
        <v>10.5746</v>
      </c>
      <c r="K386" s="4"/>
      <c r="L386" s="9">
        <v>31.095300000000002</v>
      </c>
      <c r="M386" s="9">
        <v>12.063700000000001</v>
      </c>
      <c r="N386" s="9">
        <v>4.9444999999999997</v>
      </c>
      <c r="O386" s="9">
        <v>0.37409999999999999</v>
      </c>
      <c r="P386" s="9">
        <v>1.2927</v>
      </c>
      <c r="Q386" s="9">
        <v>20.4619</v>
      </c>
      <c r="R386" s="9"/>
      <c r="S386" s="11"/>
    </row>
    <row r="387" spans="1:19" ht="15.75">
      <c r="A387" s="13">
        <v>52931</v>
      </c>
      <c r="B387" s="8">
        <f>CHOOSE( CONTROL!$C$32, 11.7605, 11.7602) * CHOOSE(CONTROL!$C$15, $D$11, 100%, $F$11)</f>
        <v>11.7605</v>
      </c>
      <c r="C387" s="8">
        <f>CHOOSE( CONTROL!$C$32, 11.7656, 11.7653) * CHOOSE(CONTROL!$C$15, $D$11, 100%, $F$11)</f>
        <v>11.765599999999999</v>
      </c>
      <c r="D387" s="8">
        <f>CHOOSE( CONTROL!$C$32, 11.7334, 11.7332) * CHOOSE( CONTROL!$C$15, $D$11, 100%, $F$11)</f>
        <v>11.7334</v>
      </c>
      <c r="E387" s="12">
        <f>CHOOSE( CONTROL!$C$32, 11.7446, 11.7444) * CHOOSE( CONTROL!$C$15, $D$11, 100%, $F$11)</f>
        <v>11.7446</v>
      </c>
      <c r="F387" s="4">
        <f>CHOOSE( CONTROL!$C$32, 12.4258, 12.4255) * CHOOSE(CONTROL!$C$15, $D$11, 100%, $F$11)</f>
        <v>12.425800000000001</v>
      </c>
      <c r="G387" s="8">
        <f>CHOOSE( CONTROL!$C$32, 11.6201, 11.6199) * CHOOSE( CONTROL!$C$15, $D$11, 100%, $F$11)</f>
        <v>11.620100000000001</v>
      </c>
      <c r="H387" s="4">
        <f>CHOOSE( CONTROL!$C$32, 12.5269, 12.5266) * CHOOSE(CONTROL!$C$15, $D$11, 100%, $F$11)</f>
        <v>12.526899999999999</v>
      </c>
      <c r="I387" s="8">
        <f>CHOOSE( CONTROL!$C$32, 11.5449, 11.5446) * CHOOSE(CONTROL!$C$15, $D$11, 100%, $F$11)</f>
        <v>11.5449</v>
      </c>
      <c r="J387" s="4">
        <f>CHOOSE( CONTROL!$C$32, 11.4048, 11.4045) * CHOOSE(CONTROL!$C$15, $D$11, 100%, $F$11)</f>
        <v>11.4048</v>
      </c>
      <c r="K387" s="4"/>
      <c r="L387" s="9">
        <v>28.360600000000002</v>
      </c>
      <c r="M387" s="9">
        <v>11.6745</v>
      </c>
      <c r="N387" s="9">
        <v>4.7850000000000001</v>
      </c>
      <c r="O387" s="9">
        <v>0.36199999999999999</v>
      </c>
      <c r="P387" s="9">
        <v>1.2509999999999999</v>
      </c>
      <c r="Q387" s="9">
        <v>19.8018</v>
      </c>
      <c r="R387" s="9"/>
      <c r="S387" s="11"/>
    </row>
    <row r="388" spans="1:19" ht="15.75">
      <c r="A388" s="13">
        <v>52962</v>
      </c>
      <c r="B388" s="8">
        <f>CHOOSE( CONTROL!$C$32, 11.7391, 11.7388) * CHOOSE(CONTROL!$C$15, $D$11, 100%, $F$11)</f>
        <v>11.739100000000001</v>
      </c>
      <c r="C388" s="8">
        <f>CHOOSE( CONTROL!$C$32, 11.7442, 11.7439) * CHOOSE(CONTROL!$C$15, $D$11, 100%, $F$11)</f>
        <v>11.744199999999999</v>
      </c>
      <c r="D388" s="8">
        <f>CHOOSE( CONTROL!$C$32, 11.7139, 11.7136) * CHOOSE( CONTROL!$C$15, $D$11, 100%, $F$11)</f>
        <v>11.713900000000001</v>
      </c>
      <c r="E388" s="12">
        <f>CHOOSE( CONTROL!$C$32, 11.7244, 11.7241) * CHOOSE( CONTROL!$C$15, $D$11, 100%, $F$11)</f>
        <v>11.724399999999999</v>
      </c>
      <c r="F388" s="4">
        <f>CHOOSE( CONTROL!$C$32, 12.4044, 12.4041) * CHOOSE(CONTROL!$C$15, $D$11, 100%, $F$11)</f>
        <v>12.404400000000001</v>
      </c>
      <c r="G388" s="8">
        <f>CHOOSE( CONTROL!$C$32, 11.6003, 11.6001) * CHOOSE( CONTROL!$C$15, $D$11, 100%, $F$11)</f>
        <v>11.600300000000001</v>
      </c>
      <c r="H388" s="4">
        <f>CHOOSE( CONTROL!$C$32, 12.5058, 12.5055) * CHOOSE(CONTROL!$C$15, $D$11, 100%, $F$11)</f>
        <v>12.505800000000001</v>
      </c>
      <c r="I388" s="8">
        <f>CHOOSE( CONTROL!$C$32, 11.5298, 11.5296) * CHOOSE(CONTROL!$C$15, $D$11, 100%, $F$11)</f>
        <v>11.5298</v>
      </c>
      <c r="J388" s="4">
        <f>CHOOSE( CONTROL!$C$32, 11.3841, 11.3838) * CHOOSE(CONTROL!$C$15, $D$11, 100%, $F$11)</f>
        <v>11.3841</v>
      </c>
      <c r="K388" s="4"/>
      <c r="L388" s="9">
        <v>29.306000000000001</v>
      </c>
      <c r="M388" s="9">
        <v>12.063700000000001</v>
      </c>
      <c r="N388" s="9">
        <v>4.9444999999999997</v>
      </c>
      <c r="O388" s="9">
        <v>0.37409999999999999</v>
      </c>
      <c r="P388" s="9">
        <v>1.2927</v>
      </c>
      <c r="Q388" s="9">
        <v>20.4619</v>
      </c>
      <c r="R388" s="9"/>
      <c r="S388" s="11"/>
    </row>
    <row r="389" spans="1:19" ht="15.75">
      <c r="A389" s="13">
        <v>52993</v>
      </c>
      <c r="B389" s="8">
        <f>CHOOSE( CONTROL!$C$32, 12.0851, 12.0848) * CHOOSE(CONTROL!$C$15, $D$11, 100%, $F$11)</f>
        <v>12.085100000000001</v>
      </c>
      <c r="C389" s="8">
        <f>CHOOSE( CONTROL!$C$32, 12.0902, 12.0899) * CHOOSE(CONTROL!$C$15, $D$11, 100%, $F$11)</f>
        <v>12.090199999999999</v>
      </c>
      <c r="D389" s="8">
        <f>CHOOSE( CONTROL!$C$32, 12.0878, 12.0876) * CHOOSE( CONTROL!$C$15, $D$11, 100%, $F$11)</f>
        <v>12.0878</v>
      </c>
      <c r="E389" s="12">
        <f>CHOOSE( CONTROL!$C$32, 12.0881, 12.0879) * CHOOSE( CONTROL!$C$15, $D$11, 100%, $F$11)</f>
        <v>12.088100000000001</v>
      </c>
      <c r="F389" s="4">
        <f>CHOOSE( CONTROL!$C$32, 12.7504, 12.7501) * CHOOSE(CONTROL!$C$15, $D$11, 100%, $F$11)</f>
        <v>12.750400000000001</v>
      </c>
      <c r="G389" s="8">
        <f>CHOOSE( CONTROL!$C$32, 11.9584, 11.9581) * CHOOSE( CONTROL!$C$15, $D$11, 100%, $F$11)</f>
        <v>11.958399999999999</v>
      </c>
      <c r="H389" s="4">
        <f>CHOOSE( CONTROL!$C$32, 12.8477, 12.8474) * CHOOSE(CONTROL!$C$15, $D$11, 100%, $F$11)</f>
        <v>12.8477</v>
      </c>
      <c r="I389" s="8">
        <f>CHOOSE( CONTROL!$C$32, 11.8393, 11.8391) * CHOOSE(CONTROL!$C$15, $D$11, 100%, $F$11)</f>
        <v>11.8393</v>
      </c>
      <c r="J389" s="4">
        <f>CHOOSE( CONTROL!$C$32, 11.7198, 11.7196) * CHOOSE(CONTROL!$C$15, $D$11, 100%, $F$11)</f>
        <v>11.719799999999999</v>
      </c>
      <c r="K389" s="4"/>
      <c r="L389" s="9">
        <v>29.306000000000001</v>
      </c>
      <c r="M389" s="9">
        <v>12.063700000000001</v>
      </c>
      <c r="N389" s="9">
        <v>4.9444999999999997</v>
      </c>
      <c r="O389" s="9">
        <v>0.37409999999999999</v>
      </c>
      <c r="P389" s="9">
        <v>1.2927</v>
      </c>
      <c r="Q389" s="9">
        <v>20.396799999999999</v>
      </c>
      <c r="R389" s="9"/>
      <c r="S389" s="11"/>
    </row>
    <row r="390" spans="1:19" ht="15.75">
      <c r="A390" s="13">
        <v>53021</v>
      </c>
      <c r="B390" s="8">
        <f>CHOOSE( CONTROL!$C$32, 11.3044, 11.3042) * CHOOSE(CONTROL!$C$15, $D$11, 100%, $F$11)</f>
        <v>11.304399999999999</v>
      </c>
      <c r="C390" s="8">
        <f>CHOOSE( CONTROL!$C$32, 11.3095, 11.3092) * CHOOSE(CONTROL!$C$15, $D$11, 100%, $F$11)</f>
        <v>11.3095</v>
      </c>
      <c r="D390" s="8">
        <f>CHOOSE( CONTROL!$C$32, 11.2895, 11.2892) * CHOOSE( CONTROL!$C$15, $D$11, 100%, $F$11)</f>
        <v>11.2895</v>
      </c>
      <c r="E390" s="12">
        <f>CHOOSE( CONTROL!$C$32, 11.2963, 11.296) * CHOOSE( CONTROL!$C$15, $D$11, 100%, $F$11)</f>
        <v>11.2963</v>
      </c>
      <c r="F390" s="4">
        <f>CHOOSE( CONTROL!$C$32, 11.9697, 11.9694) * CHOOSE(CONTROL!$C$15, $D$11, 100%, $F$11)</f>
        <v>11.9697</v>
      </c>
      <c r="G390" s="8">
        <f>CHOOSE( CONTROL!$C$32, 11.1757, 11.1755) * CHOOSE( CONTROL!$C$15, $D$11, 100%, $F$11)</f>
        <v>11.175700000000001</v>
      </c>
      <c r="H390" s="4">
        <f>CHOOSE( CONTROL!$C$32, 12.0762, 12.0759) * CHOOSE(CONTROL!$C$15, $D$11, 100%, $F$11)</f>
        <v>12.0762</v>
      </c>
      <c r="I390" s="8">
        <f>CHOOSE( CONTROL!$C$32, 11.0817, 11.0814) * CHOOSE(CONTROL!$C$15, $D$11, 100%, $F$11)</f>
        <v>11.0817</v>
      </c>
      <c r="J390" s="4">
        <f>CHOOSE( CONTROL!$C$32, 10.9622, 10.9619) * CHOOSE(CONTROL!$C$15, $D$11, 100%, $F$11)</f>
        <v>10.962199999999999</v>
      </c>
      <c r="K390" s="4"/>
      <c r="L390" s="9">
        <v>26.469899999999999</v>
      </c>
      <c r="M390" s="9">
        <v>10.8962</v>
      </c>
      <c r="N390" s="9">
        <v>4.4660000000000002</v>
      </c>
      <c r="O390" s="9">
        <v>0.33789999999999998</v>
      </c>
      <c r="P390" s="9">
        <v>1.1676</v>
      </c>
      <c r="Q390" s="9">
        <v>18.422899999999998</v>
      </c>
      <c r="R390" s="9"/>
      <c r="S390" s="11"/>
    </row>
    <row r="391" spans="1:19" ht="15.75">
      <c r="A391" s="13">
        <v>53052</v>
      </c>
      <c r="B391" s="8">
        <f>CHOOSE( CONTROL!$C$32, 11.064, 11.0637) * CHOOSE(CONTROL!$C$15, $D$11, 100%, $F$11)</f>
        <v>11.064</v>
      </c>
      <c r="C391" s="8">
        <f>CHOOSE( CONTROL!$C$32, 11.0691, 11.0688) * CHOOSE(CONTROL!$C$15, $D$11, 100%, $F$11)</f>
        <v>11.069100000000001</v>
      </c>
      <c r="D391" s="8">
        <f>CHOOSE( CONTROL!$C$32, 11.0391, 11.0388) * CHOOSE( CONTROL!$C$15, $D$11, 100%, $F$11)</f>
        <v>11.039099999999999</v>
      </c>
      <c r="E391" s="12">
        <f>CHOOSE( CONTROL!$C$32, 11.0495, 11.0492) * CHOOSE( CONTROL!$C$15, $D$11, 100%, $F$11)</f>
        <v>11.0495</v>
      </c>
      <c r="F391" s="4">
        <f>CHOOSE( CONTROL!$C$32, 11.7293, 11.729) * CHOOSE(CONTROL!$C$15, $D$11, 100%, $F$11)</f>
        <v>11.7293</v>
      </c>
      <c r="G391" s="8">
        <f>CHOOSE( CONTROL!$C$32, 10.9249, 10.9246) * CHOOSE( CONTROL!$C$15, $D$11, 100%, $F$11)</f>
        <v>10.924899999999999</v>
      </c>
      <c r="H391" s="4">
        <f>CHOOSE( CONTROL!$C$32, 11.8385, 11.8383) * CHOOSE(CONTROL!$C$15, $D$11, 100%, $F$11)</f>
        <v>11.8385</v>
      </c>
      <c r="I391" s="8">
        <f>CHOOSE( CONTROL!$C$32, 10.813, 10.8128) * CHOOSE(CONTROL!$C$15, $D$11, 100%, $F$11)</f>
        <v>10.813000000000001</v>
      </c>
      <c r="J391" s="4">
        <f>CHOOSE( CONTROL!$C$32, 10.7288, 10.7286) * CHOOSE(CONTROL!$C$15, $D$11, 100%, $F$11)</f>
        <v>10.7288</v>
      </c>
      <c r="K391" s="4"/>
      <c r="L391" s="9">
        <v>29.306000000000001</v>
      </c>
      <c r="M391" s="9">
        <v>12.063700000000001</v>
      </c>
      <c r="N391" s="9">
        <v>4.9444999999999997</v>
      </c>
      <c r="O391" s="9">
        <v>0.37409999999999999</v>
      </c>
      <c r="P391" s="9">
        <v>1.2927</v>
      </c>
      <c r="Q391" s="9">
        <v>20.396799999999999</v>
      </c>
      <c r="R391" s="9"/>
      <c r="S391" s="11"/>
    </row>
    <row r="392" spans="1:19" ht="15.75">
      <c r="A392" s="13">
        <v>53082</v>
      </c>
      <c r="B392" s="8">
        <f>CHOOSE( CONTROL!$C$32, 11.2328, 11.2325) * CHOOSE(CONTROL!$C$15, $D$11, 100%, $F$11)</f>
        <v>11.232799999999999</v>
      </c>
      <c r="C392" s="8">
        <f>CHOOSE( CONTROL!$C$32, 11.2373, 11.237) * CHOOSE(CONTROL!$C$15, $D$11, 100%, $F$11)</f>
        <v>11.237299999999999</v>
      </c>
      <c r="D392" s="8">
        <f>CHOOSE( CONTROL!$C$32, 11.2368, 11.2365) * CHOOSE( CONTROL!$C$15, $D$11, 100%, $F$11)</f>
        <v>11.236800000000001</v>
      </c>
      <c r="E392" s="12">
        <f>CHOOSE( CONTROL!$C$32, 11.2365, 11.2362) * CHOOSE( CONTROL!$C$15, $D$11, 100%, $F$11)</f>
        <v>11.236499999999999</v>
      </c>
      <c r="F392" s="4">
        <f>CHOOSE( CONTROL!$C$32, 11.9411, 11.9408) * CHOOSE(CONTROL!$C$15, $D$11, 100%, $F$11)</f>
        <v>11.9411</v>
      </c>
      <c r="G392" s="8">
        <f>CHOOSE( CONTROL!$C$32, 11.1079, 11.1077) * CHOOSE( CONTROL!$C$15, $D$11, 100%, $F$11)</f>
        <v>11.107900000000001</v>
      </c>
      <c r="H392" s="4">
        <f>CHOOSE( CONTROL!$C$32, 12.0479, 12.0476) * CHOOSE(CONTROL!$C$15, $D$11, 100%, $F$11)</f>
        <v>12.0479</v>
      </c>
      <c r="I392" s="8">
        <f>CHOOSE( CONTROL!$C$32, 10.9767, 10.9764) * CHOOSE(CONTROL!$C$15, $D$11, 100%, $F$11)</f>
        <v>10.976699999999999</v>
      </c>
      <c r="J392" s="4">
        <f>CHOOSE( CONTROL!$C$32, 10.8919, 10.8916) * CHOOSE(CONTROL!$C$15, $D$11, 100%, $F$11)</f>
        <v>10.8919</v>
      </c>
      <c r="K392" s="4"/>
      <c r="L392" s="9">
        <v>30.092199999999998</v>
      </c>
      <c r="M392" s="9">
        <v>11.6745</v>
      </c>
      <c r="N392" s="9">
        <v>4.7850000000000001</v>
      </c>
      <c r="O392" s="9">
        <v>0.36199999999999999</v>
      </c>
      <c r="P392" s="9">
        <v>1.2509999999999999</v>
      </c>
      <c r="Q392" s="9">
        <v>19.738800000000001</v>
      </c>
      <c r="R392" s="9"/>
      <c r="S392" s="11"/>
    </row>
    <row r="393" spans="1:19" ht="15.75">
      <c r="A393" s="13">
        <v>53113</v>
      </c>
      <c r="B393" s="8">
        <f>CHOOSE( CONTROL!$C$32, 11.5334, 11.5329) * CHOOSE(CONTROL!$C$15, $D$11, 100%, $F$11)</f>
        <v>11.5334</v>
      </c>
      <c r="C393" s="8">
        <f>CHOOSE( CONTROL!$C$32, 11.5413, 11.5409) * CHOOSE(CONTROL!$C$15, $D$11, 100%, $F$11)</f>
        <v>11.5413</v>
      </c>
      <c r="D393" s="8">
        <f>CHOOSE( CONTROL!$C$32, 11.5356, 11.5352) * CHOOSE( CONTROL!$C$15, $D$11, 100%, $F$11)</f>
        <v>11.535600000000001</v>
      </c>
      <c r="E393" s="12">
        <f>CHOOSE( CONTROL!$C$32, 11.5365, 11.536) * CHOOSE( CONTROL!$C$15, $D$11, 100%, $F$11)</f>
        <v>11.5365</v>
      </c>
      <c r="F393" s="4">
        <f>CHOOSE( CONTROL!$C$32, 12.2403, 12.2398) * CHOOSE(CONTROL!$C$15, $D$11, 100%, $F$11)</f>
        <v>12.2403</v>
      </c>
      <c r="G393" s="8">
        <f>CHOOSE( CONTROL!$C$32, 11.404, 11.4035) * CHOOSE( CONTROL!$C$15, $D$11, 100%, $F$11)</f>
        <v>11.404</v>
      </c>
      <c r="H393" s="4">
        <f>CHOOSE( CONTROL!$C$32, 12.3436, 12.3431) * CHOOSE(CONTROL!$C$15, $D$11, 100%, $F$11)</f>
        <v>12.3436</v>
      </c>
      <c r="I393" s="8">
        <f>CHOOSE( CONTROL!$C$32, 11.2678, 11.2674) * CHOOSE(CONTROL!$C$15, $D$11, 100%, $F$11)</f>
        <v>11.267799999999999</v>
      </c>
      <c r="J393" s="4">
        <f>CHOOSE( CONTROL!$C$32, 11.1823, 11.1819) * CHOOSE(CONTROL!$C$15, $D$11, 100%, $F$11)</f>
        <v>11.1823</v>
      </c>
      <c r="K393" s="4"/>
      <c r="L393" s="9">
        <v>30.7165</v>
      </c>
      <c r="M393" s="9">
        <v>12.063700000000001</v>
      </c>
      <c r="N393" s="9">
        <v>4.9444999999999997</v>
      </c>
      <c r="O393" s="9">
        <v>0.37409999999999999</v>
      </c>
      <c r="P393" s="9">
        <v>1.2927</v>
      </c>
      <c r="Q393" s="9">
        <v>20.396799999999999</v>
      </c>
      <c r="R393" s="9"/>
      <c r="S393" s="11"/>
    </row>
    <row r="394" spans="1:19" ht="15.75">
      <c r="A394" s="13">
        <v>53143</v>
      </c>
      <c r="B394" s="8">
        <f>CHOOSE( CONTROL!$C$32, 11.3481, 11.3477) * CHOOSE(CONTROL!$C$15, $D$11, 100%, $F$11)</f>
        <v>11.348100000000001</v>
      </c>
      <c r="C394" s="8">
        <f>CHOOSE( CONTROL!$C$32, 11.3561, 11.3556) * CHOOSE(CONTROL!$C$15, $D$11, 100%, $F$11)</f>
        <v>11.3561</v>
      </c>
      <c r="D394" s="8">
        <f>CHOOSE( CONTROL!$C$32, 11.3508, 11.3503) * CHOOSE( CONTROL!$C$15, $D$11, 100%, $F$11)</f>
        <v>11.3508</v>
      </c>
      <c r="E394" s="12">
        <f>CHOOSE( CONTROL!$C$32, 11.3515, 11.351) * CHOOSE( CONTROL!$C$15, $D$11, 100%, $F$11)</f>
        <v>11.3515</v>
      </c>
      <c r="F394" s="4">
        <f>CHOOSE( CONTROL!$C$32, 12.0551, 12.0546) * CHOOSE(CONTROL!$C$15, $D$11, 100%, $F$11)</f>
        <v>12.055099999999999</v>
      </c>
      <c r="G394" s="8">
        <f>CHOOSE( CONTROL!$C$32, 11.2212, 11.2208) * CHOOSE( CONTROL!$C$15, $D$11, 100%, $F$11)</f>
        <v>11.2212</v>
      </c>
      <c r="H394" s="4">
        <f>CHOOSE( CONTROL!$C$32, 12.1605, 12.1601) * CHOOSE(CONTROL!$C$15, $D$11, 100%, $F$11)</f>
        <v>12.160500000000001</v>
      </c>
      <c r="I394" s="8">
        <f>CHOOSE( CONTROL!$C$32, 11.0894, 11.0889) * CHOOSE(CONTROL!$C$15, $D$11, 100%, $F$11)</f>
        <v>11.089399999999999</v>
      </c>
      <c r="J394" s="4">
        <f>CHOOSE( CONTROL!$C$32, 11.0025, 11.0021) * CHOOSE(CONTROL!$C$15, $D$11, 100%, $F$11)</f>
        <v>11.0025</v>
      </c>
      <c r="K394" s="4"/>
      <c r="L394" s="9">
        <v>29.7257</v>
      </c>
      <c r="M394" s="9">
        <v>11.6745</v>
      </c>
      <c r="N394" s="9">
        <v>4.7850000000000001</v>
      </c>
      <c r="O394" s="9">
        <v>0.36199999999999999</v>
      </c>
      <c r="P394" s="9">
        <v>1.2509999999999999</v>
      </c>
      <c r="Q394" s="9">
        <v>19.738800000000001</v>
      </c>
      <c r="R394" s="9"/>
      <c r="S394" s="11"/>
    </row>
    <row r="395" spans="1:19" ht="15.75">
      <c r="A395" s="13">
        <v>53174</v>
      </c>
      <c r="B395" s="8">
        <f>CHOOSE( CONTROL!$C$32, 11.8359, 11.8355) * CHOOSE(CONTROL!$C$15, $D$11, 100%, $F$11)</f>
        <v>11.835900000000001</v>
      </c>
      <c r="C395" s="8">
        <f>CHOOSE( CONTROL!$C$32, 11.8439, 11.8434) * CHOOSE(CONTROL!$C$15, $D$11, 100%, $F$11)</f>
        <v>11.8439</v>
      </c>
      <c r="D395" s="8">
        <f>CHOOSE( CONTROL!$C$32, 11.8391, 11.8386) * CHOOSE( CONTROL!$C$15, $D$11, 100%, $F$11)</f>
        <v>11.8391</v>
      </c>
      <c r="E395" s="12">
        <f>CHOOSE( CONTROL!$C$32, 11.8396, 11.8391) * CHOOSE( CONTROL!$C$15, $D$11, 100%, $F$11)</f>
        <v>11.839600000000001</v>
      </c>
      <c r="F395" s="4">
        <f>CHOOSE( CONTROL!$C$32, 12.5429, 12.5424) * CHOOSE(CONTROL!$C$15, $D$11, 100%, $F$11)</f>
        <v>12.542899999999999</v>
      </c>
      <c r="G395" s="8">
        <f>CHOOSE( CONTROL!$C$32, 11.7037, 11.7032) * CHOOSE( CONTROL!$C$15, $D$11, 100%, $F$11)</f>
        <v>11.7037</v>
      </c>
      <c r="H395" s="4">
        <f>CHOOSE( CONTROL!$C$32, 12.6426, 12.6422) * CHOOSE(CONTROL!$C$15, $D$11, 100%, $F$11)</f>
        <v>12.6426</v>
      </c>
      <c r="I395" s="8">
        <f>CHOOSE( CONTROL!$C$32, 11.5646, 11.5641) * CHOOSE(CONTROL!$C$15, $D$11, 100%, $F$11)</f>
        <v>11.5646</v>
      </c>
      <c r="J395" s="4">
        <f>CHOOSE( CONTROL!$C$32, 11.4759, 11.4755) * CHOOSE(CONTROL!$C$15, $D$11, 100%, $F$11)</f>
        <v>11.475899999999999</v>
      </c>
      <c r="K395" s="4"/>
      <c r="L395" s="9">
        <v>30.7165</v>
      </c>
      <c r="M395" s="9">
        <v>12.063700000000001</v>
      </c>
      <c r="N395" s="9">
        <v>4.9444999999999997</v>
      </c>
      <c r="O395" s="9">
        <v>0.37409999999999999</v>
      </c>
      <c r="P395" s="9">
        <v>1.2927</v>
      </c>
      <c r="Q395" s="9">
        <v>20.396799999999999</v>
      </c>
      <c r="R395" s="9"/>
      <c r="S395" s="11"/>
    </row>
    <row r="396" spans="1:19" ht="15.75">
      <c r="A396" s="13">
        <v>53205</v>
      </c>
      <c r="B396" s="8">
        <f>CHOOSE( CONTROL!$C$32, 10.9232, 10.9227) * CHOOSE(CONTROL!$C$15, $D$11, 100%, $F$11)</f>
        <v>10.9232</v>
      </c>
      <c r="C396" s="8">
        <f>CHOOSE( CONTROL!$C$32, 10.9311, 10.9307) * CHOOSE(CONTROL!$C$15, $D$11, 100%, $F$11)</f>
        <v>10.931100000000001</v>
      </c>
      <c r="D396" s="8">
        <f>CHOOSE( CONTROL!$C$32, 10.9264, 10.926) * CHOOSE( CONTROL!$C$15, $D$11, 100%, $F$11)</f>
        <v>10.926399999999999</v>
      </c>
      <c r="E396" s="12">
        <f>CHOOSE( CONTROL!$C$32, 10.9269, 10.9265) * CHOOSE( CONTROL!$C$15, $D$11, 100%, $F$11)</f>
        <v>10.9269</v>
      </c>
      <c r="F396" s="4">
        <f>CHOOSE( CONTROL!$C$32, 11.6301, 11.6297) * CHOOSE(CONTROL!$C$15, $D$11, 100%, $F$11)</f>
        <v>11.630100000000001</v>
      </c>
      <c r="G396" s="8">
        <f>CHOOSE( CONTROL!$C$32, 10.8017, 10.8013) * CHOOSE( CONTROL!$C$15, $D$11, 100%, $F$11)</f>
        <v>10.8017</v>
      </c>
      <c r="H396" s="4">
        <f>CHOOSE( CONTROL!$C$32, 11.7406, 11.7401) * CHOOSE(CONTROL!$C$15, $D$11, 100%, $F$11)</f>
        <v>11.740600000000001</v>
      </c>
      <c r="I396" s="8">
        <f>CHOOSE( CONTROL!$C$32, 10.6788, 10.6783) * CHOOSE(CONTROL!$C$15, $D$11, 100%, $F$11)</f>
        <v>10.678800000000001</v>
      </c>
      <c r="J396" s="4">
        <f>CHOOSE( CONTROL!$C$32, 10.5901, 10.5897) * CHOOSE(CONTROL!$C$15, $D$11, 100%, $F$11)</f>
        <v>10.5901</v>
      </c>
      <c r="K396" s="4"/>
      <c r="L396" s="9">
        <v>30.7165</v>
      </c>
      <c r="M396" s="9">
        <v>12.063700000000001</v>
      </c>
      <c r="N396" s="9">
        <v>4.9444999999999997</v>
      </c>
      <c r="O396" s="9">
        <v>0.37409999999999999</v>
      </c>
      <c r="P396" s="9">
        <v>1.2927</v>
      </c>
      <c r="Q396" s="9">
        <v>20.396799999999999</v>
      </c>
      <c r="R396" s="9"/>
      <c r="S396" s="11"/>
    </row>
    <row r="397" spans="1:19" ht="15.75">
      <c r="A397" s="13">
        <v>53235</v>
      </c>
      <c r="B397" s="8">
        <f>CHOOSE( CONTROL!$C$32, 10.6946, 10.6942) * CHOOSE(CONTROL!$C$15, $D$11, 100%, $F$11)</f>
        <v>10.694599999999999</v>
      </c>
      <c r="C397" s="8">
        <f>CHOOSE( CONTROL!$C$32, 10.7026, 10.7021) * CHOOSE(CONTROL!$C$15, $D$11, 100%, $F$11)</f>
        <v>10.7026</v>
      </c>
      <c r="D397" s="8">
        <f>CHOOSE( CONTROL!$C$32, 10.6977, 10.6973) * CHOOSE( CONTROL!$C$15, $D$11, 100%, $F$11)</f>
        <v>10.697699999999999</v>
      </c>
      <c r="E397" s="12">
        <f>CHOOSE( CONTROL!$C$32, 10.6983, 10.6978) * CHOOSE( CONTROL!$C$15, $D$11, 100%, $F$11)</f>
        <v>10.6983</v>
      </c>
      <c r="F397" s="4">
        <f>CHOOSE( CONTROL!$C$32, 11.4016, 11.4011) * CHOOSE(CONTROL!$C$15, $D$11, 100%, $F$11)</f>
        <v>11.4016</v>
      </c>
      <c r="G397" s="8">
        <f>CHOOSE( CONTROL!$C$32, 10.5757, 10.5753) * CHOOSE( CONTROL!$C$15, $D$11, 100%, $F$11)</f>
        <v>10.575699999999999</v>
      </c>
      <c r="H397" s="4">
        <f>CHOOSE( CONTROL!$C$32, 11.5147, 11.5142) * CHOOSE(CONTROL!$C$15, $D$11, 100%, $F$11)</f>
        <v>11.514699999999999</v>
      </c>
      <c r="I397" s="8">
        <f>CHOOSE( CONTROL!$C$32, 10.4563, 10.4559) * CHOOSE(CONTROL!$C$15, $D$11, 100%, $F$11)</f>
        <v>10.456300000000001</v>
      </c>
      <c r="J397" s="4">
        <f>CHOOSE( CONTROL!$C$32, 10.3683, 10.3679) * CHOOSE(CONTROL!$C$15, $D$11, 100%, $F$11)</f>
        <v>10.3683</v>
      </c>
      <c r="K397" s="4"/>
      <c r="L397" s="9">
        <v>29.7257</v>
      </c>
      <c r="M397" s="9">
        <v>11.6745</v>
      </c>
      <c r="N397" s="9">
        <v>4.7850000000000001</v>
      </c>
      <c r="O397" s="9">
        <v>0.36199999999999999</v>
      </c>
      <c r="P397" s="9">
        <v>1.2509999999999999</v>
      </c>
      <c r="Q397" s="9">
        <v>19.738800000000001</v>
      </c>
      <c r="R397" s="9"/>
      <c r="S397" s="11"/>
    </row>
    <row r="398" spans="1:19" ht="15.75">
      <c r="A398" s="13">
        <v>53266</v>
      </c>
      <c r="B398" s="8">
        <f>CHOOSE( CONTROL!$C$32, 11.1673, 11.167) * CHOOSE(CONTROL!$C$15, $D$11, 100%, $F$11)</f>
        <v>11.167299999999999</v>
      </c>
      <c r="C398" s="8">
        <f>CHOOSE( CONTROL!$C$32, 11.1726, 11.1723) * CHOOSE(CONTROL!$C$15, $D$11, 100%, $F$11)</f>
        <v>11.172599999999999</v>
      </c>
      <c r="D398" s="8">
        <f>CHOOSE( CONTROL!$C$32, 11.1728, 11.1725) * CHOOSE( CONTROL!$C$15, $D$11, 100%, $F$11)</f>
        <v>11.172800000000001</v>
      </c>
      <c r="E398" s="12">
        <f>CHOOSE( CONTROL!$C$32, 11.1722, 11.1719) * CHOOSE( CONTROL!$C$15, $D$11, 100%, $F$11)</f>
        <v>11.1722</v>
      </c>
      <c r="F398" s="4">
        <f>CHOOSE( CONTROL!$C$32, 11.8759, 11.8757) * CHOOSE(CONTROL!$C$15, $D$11, 100%, $F$11)</f>
        <v>11.8759</v>
      </c>
      <c r="G398" s="8">
        <f>CHOOSE( CONTROL!$C$32, 11.0445, 11.0443) * CHOOSE( CONTROL!$C$15, $D$11, 100%, $F$11)</f>
        <v>11.044499999999999</v>
      </c>
      <c r="H398" s="4">
        <f>CHOOSE( CONTROL!$C$32, 11.9835, 11.9832) * CHOOSE(CONTROL!$C$15, $D$11, 100%, $F$11)</f>
        <v>11.983499999999999</v>
      </c>
      <c r="I398" s="8">
        <f>CHOOSE( CONTROL!$C$32, 10.9176, 10.9174) * CHOOSE(CONTROL!$C$15, $D$11, 100%, $F$11)</f>
        <v>10.9176</v>
      </c>
      <c r="J398" s="4">
        <f>CHOOSE( CONTROL!$C$32, 10.8287, 10.8284) * CHOOSE(CONTROL!$C$15, $D$11, 100%, $F$11)</f>
        <v>10.8287</v>
      </c>
      <c r="K398" s="4"/>
      <c r="L398" s="9">
        <v>31.095300000000002</v>
      </c>
      <c r="M398" s="9">
        <v>12.063700000000001</v>
      </c>
      <c r="N398" s="9">
        <v>4.9444999999999997</v>
      </c>
      <c r="O398" s="9">
        <v>0.37409999999999999</v>
      </c>
      <c r="P398" s="9">
        <v>1.2927</v>
      </c>
      <c r="Q398" s="9">
        <v>20.396799999999999</v>
      </c>
      <c r="R398" s="9"/>
      <c r="S398" s="11"/>
    </row>
    <row r="399" spans="1:19" ht="15.75">
      <c r="A399" s="13">
        <v>53296</v>
      </c>
      <c r="B399" s="8">
        <f>CHOOSE( CONTROL!$C$32, 12.0428, 12.0426) * CHOOSE(CONTROL!$C$15, $D$11, 100%, $F$11)</f>
        <v>12.0428</v>
      </c>
      <c r="C399" s="8">
        <f>CHOOSE( CONTROL!$C$32, 12.0479, 12.0476) * CHOOSE(CONTROL!$C$15, $D$11, 100%, $F$11)</f>
        <v>12.0479</v>
      </c>
      <c r="D399" s="8">
        <f>CHOOSE( CONTROL!$C$32, 12.0158, 12.0155) * CHOOSE( CONTROL!$C$15, $D$11, 100%, $F$11)</f>
        <v>12.0158</v>
      </c>
      <c r="E399" s="12">
        <f>CHOOSE( CONTROL!$C$32, 12.027, 12.0267) * CHOOSE( CONTROL!$C$15, $D$11, 100%, $F$11)</f>
        <v>12.026999999999999</v>
      </c>
      <c r="F399" s="4">
        <f>CHOOSE( CONTROL!$C$32, 12.7081, 12.7079) * CHOOSE(CONTROL!$C$15, $D$11, 100%, $F$11)</f>
        <v>12.7081</v>
      </c>
      <c r="G399" s="8">
        <f>CHOOSE( CONTROL!$C$32, 11.8992, 11.8989) * CHOOSE( CONTROL!$C$15, $D$11, 100%, $F$11)</f>
        <v>11.8992</v>
      </c>
      <c r="H399" s="4">
        <f>CHOOSE( CONTROL!$C$32, 12.8059, 12.8057) * CHOOSE(CONTROL!$C$15, $D$11, 100%, $F$11)</f>
        <v>12.805899999999999</v>
      </c>
      <c r="I399" s="8">
        <f>CHOOSE( CONTROL!$C$32, 11.819, 11.8188) * CHOOSE(CONTROL!$C$15, $D$11, 100%, $F$11)</f>
        <v>11.819000000000001</v>
      </c>
      <c r="J399" s="4">
        <f>CHOOSE( CONTROL!$C$32, 11.6788, 11.6786) * CHOOSE(CONTROL!$C$15, $D$11, 100%, $F$11)</f>
        <v>11.678800000000001</v>
      </c>
      <c r="K399" s="4"/>
      <c r="L399" s="9">
        <v>28.360600000000002</v>
      </c>
      <c r="M399" s="9">
        <v>11.6745</v>
      </c>
      <c r="N399" s="9">
        <v>4.7850000000000001</v>
      </c>
      <c r="O399" s="9">
        <v>0.36199999999999999</v>
      </c>
      <c r="P399" s="9">
        <v>1.2509999999999999</v>
      </c>
      <c r="Q399" s="9">
        <v>19.738800000000001</v>
      </c>
      <c r="R399" s="9"/>
      <c r="S399" s="11"/>
    </row>
    <row r="400" spans="1:19" ht="15.75">
      <c r="A400" s="13">
        <v>53327</v>
      </c>
      <c r="B400" s="8">
        <f>CHOOSE( CONTROL!$C$32, 12.021, 12.0207) * CHOOSE(CONTROL!$C$15, $D$11, 100%, $F$11)</f>
        <v>12.021000000000001</v>
      </c>
      <c r="C400" s="8">
        <f>CHOOSE( CONTROL!$C$32, 12.026, 12.0258) * CHOOSE(CONTROL!$C$15, $D$11, 100%, $F$11)</f>
        <v>12.026</v>
      </c>
      <c r="D400" s="8">
        <f>CHOOSE( CONTROL!$C$32, 11.9957, 11.9955) * CHOOSE( CONTROL!$C$15, $D$11, 100%, $F$11)</f>
        <v>11.995699999999999</v>
      </c>
      <c r="E400" s="12">
        <f>CHOOSE( CONTROL!$C$32, 12.0062, 12.006) * CHOOSE( CONTROL!$C$15, $D$11, 100%, $F$11)</f>
        <v>12.0062</v>
      </c>
      <c r="F400" s="4">
        <f>CHOOSE( CONTROL!$C$32, 12.6862, 12.686) * CHOOSE(CONTROL!$C$15, $D$11, 100%, $F$11)</f>
        <v>12.686199999999999</v>
      </c>
      <c r="G400" s="8">
        <f>CHOOSE( CONTROL!$C$32, 11.8789, 11.8786) * CHOOSE( CONTROL!$C$15, $D$11, 100%, $F$11)</f>
        <v>11.8789</v>
      </c>
      <c r="H400" s="4">
        <f>CHOOSE( CONTROL!$C$32, 12.7843, 12.784) * CHOOSE(CONTROL!$C$15, $D$11, 100%, $F$11)</f>
        <v>12.7843</v>
      </c>
      <c r="I400" s="8">
        <f>CHOOSE( CONTROL!$C$32, 11.8035, 11.8032) * CHOOSE(CONTROL!$C$15, $D$11, 100%, $F$11)</f>
        <v>11.8035</v>
      </c>
      <c r="J400" s="4">
        <f>CHOOSE( CONTROL!$C$32, 11.6576, 11.6573) * CHOOSE(CONTROL!$C$15, $D$11, 100%, $F$11)</f>
        <v>11.6576</v>
      </c>
      <c r="K400" s="4"/>
      <c r="L400" s="9">
        <v>29.306000000000001</v>
      </c>
      <c r="M400" s="9">
        <v>12.063700000000001</v>
      </c>
      <c r="N400" s="9">
        <v>4.9444999999999997</v>
      </c>
      <c r="O400" s="9">
        <v>0.37409999999999999</v>
      </c>
      <c r="P400" s="9">
        <v>1.2927</v>
      </c>
      <c r="Q400" s="9">
        <v>20.396799999999999</v>
      </c>
      <c r="R400" s="9"/>
      <c r="S400" s="11"/>
    </row>
    <row r="401" spans="1:19" ht="15.75">
      <c r="A401" s="13">
        <v>53358</v>
      </c>
      <c r="B401" s="8">
        <f>CHOOSE( CONTROL!$C$32, 12.3753, 12.375) * CHOOSE(CONTROL!$C$15, $D$11, 100%, $F$11)</f>
        <v>12.375299999999999</v>
      </c>
      <c r="C401" s="8">
        <f>CHOOSE( CONTROL!$C$32, 12.3803, 12.3801) * CHOOSE(CONTROL!$C$15, $D$11, 100%, $F$11)</f>
        <v>12.3803</v>
      </c>
      <c r="D401" s="8">
        <f>CHOOSE( CONTROL!$C$32, 12.378, 12.3777) * CHOOSE( CONTROL!$C$15, $D$11, 100%, $F$11)</f>
        <v>12.378</v>
      </c>
      <c r="E401" s="12">
        <f>CHOOSE( CONTROL!$C$32, 12.3783, 12.378) * CHOOSE( CONTROL!$C$15, $D$11, 100%, $F$11)</f>
        <v>12.378299999999999</v>
      </c>
      <c r="F401" s="4">
        <f>CHOOSE( CONTROL!$C$32, 13.0405, 13.0403) * CHOOSE(CONTROL!$C$15, $D$11, 100%, $F$11)</f>
        <v>13.0405</v>
      </c>
      <c r="G401" s="8">
        <f>CHOOSE( CONTROL!$C$32, 12.2452, 12.2449) * CHOOSE( CONTROL!$C$15, $D$11, 100%, $F$11)</f>
        <v>12.245200000000001</v>
      </c>
      <c r="H401" s="4">
        <f>CHOOSE( CONTROL!$C$32, 13.1345, 13.1342) * CHOOSE(CONTROL!$C$15, $D$11, 100%, $F$11)</f>
        <v>13.134499999999999</v>
      </c>
      <c r="I401" s="8">
        <f>CHOOSE( CONTROL!$C$32, 12.121, 12.1208) * CHOOSE(CONTROL!$C$15, $D$11, 100%, $F$11)</f>
        <v>12.121</v>
      </c>
      <c r="J401" s="4">
        <f>CHOOSE( CONTROL!$C$32, 12.0014, 12.0012) * CHOOSE(CONTROL!$C$15, $D$11, 100%, $F$11)</f>
        <v>12.0014</v>
      </c>
      <c r="K401" s="4"/>
      <c r="L401" s="9">
        <v>29.306000000000001</v>
      </c>
      <c r="M401" s="9">
        <v>12.063700000000001</v>
      </c>
      <c r="N401" s="9">
        <v>4.9444999999999997</v>
      </c>
      <c r="O401" s="9">
        <v>0.37409999999999999</v>
      </c>
      <c r="P401" s="9">
        <v>1.2927</v>
      </c>
      <c r="Q401" s="9">
        <v>20.331700000000001</v>
      </c>
      <c r="R401" s="9"/>
      <c r="S401" s="11"/>
    </row>
    <row r="402" spans="1:19" ht="15.75">
      <c r="A402" s="13">
        <v>53386</v>
      </c>
      <c r="B402" s="8">
        <f>CHOOSE( CONTROL!$C$32, 11.5758, 11.5756) * CHOOSE(CONTROL!$C$15, $D$11, 100%, $F$11)</f>
        <v>11.575799999999999</v>
      </c>
      <c r="C402" s="8">
        <f>CHOOSE( CONTROL!$C$32, 11.5809, 11.5806) * CHOOSE(CONTROL!$C$15, $D$11, 100%, $F$11)</f>
        <v>11.5809</v>
      </c>
      <c r="D402" s="8">
        <f>CHOOSE( CONTROL!$C$32, 11.5609, 11.5606) * CHOOSE( CONTROL!$C$15, $D$11, 100%, $F$11)</f>
        <v>11.5609</v>
      </c>
      <c r="E402" s="12">
        <f>CHOOSE( CONTROL!$C$32, 11.5677, 11.5674) * CHOOSE( CONTROL!$C$15, $D$11, 100%, $F$11)</f>
        <v>11.5677</v>
      </c>
      <c r="F402" s="4">
        <f>CHOOSE( CONTROL!$C$32, 12.2411, 12.2408) * CHOOSE(CONTROL!$C$15, $D$11, 100%, $F$11)</f>
        <v>12.241099999999999</v>
      </c>
      <c r="G402" s="8">
        <f>CHOOSE( CONTROL!$C$32, 11.4439, 11.4437) * CHOOSE( CONTROL!$C$15, $D$11, 100%, $F$11)</f>
        <v>11.443899999999999</v>
      </c>
      <c r="H402" s="4">
        <f>CHOOSE( CONTROL!$C$32, 12.3444, 12.3441) * CHOOSE(CONTROL!$C$15, $D$11, 100%, $F$11)</f>
        <v>12.3444</v>
      </c>
      <c r="I402" s="8">
        <f>CHOOSE( CONTROL!$C$32, 11.3452, 11.345) * CHOOSE(CONTROL!$C$15, $D$11, 100%, $F$11)</f>
        <v>11.3452</v>
      </c>
      <c r="J402" s="4">
        <f>CHOOSE( CONTROL!$C$32, 11.2256, 11.2253) * CHOOSE(CONTROL!$C$15, $D$11, 100%, $F$11)</f>
        <v>11.2256</v>
      </c>
      <c r="K402" s="4"/>
      <c r="L402" s="9">
        <v>26.469899999999999</v>
      </c>
      <c r="M402" s="9">
        <v>10.8962</v>
      </c>
      <c r="N402" s="9">
        <v>4.4660000000000002</v>
      </c>
      <c r="O402" s="9">
        <v>0.33789999999999998</v>
      </c>
      <c r="P402" s="9">
        <v>1.1676</v>
      </c>
      <c r="Q402" s="9">
        <v>18.364100000000001</v>
      </c>
      <c r="R402" s="9"/>
      <c r="S402" s="11"/>
    </row>
    <row r="403" spans="1:19" ht="15.75">
      <c r="A403" s="13">
        <v>53417</v>
      </c>
      <c r="B403" s="8">
        <f>CHOOSE( CONTROL!$C$32, 11.3296, 11.3293) * CHOOSE(CONTROL!$C$15, $D$11, 100%, $F$11)</f>
        <v>11.329599999999999</v>
      </c>
      <c r="C403" s="8">
        <f>CHOOSE( CONTROL!$C$32, 11.3347, 11.3344) * CHOOSE(CONTROL!$C$15, $D$11, 100%, $F$11)</f>
        <v>11.3347</v>
      </c>
      <c r="D403" s="8">
        <f>CHOOSE( CONTROL!$C$32, 11.3047, 11.3044) * CHOOSE( CONTROL!$C$15, $D$11, 100%, $F$11)</f>
        <v>11.3047</v>
      </c>
      <c r="E403" s="12">
        <f>CHOOSE( CONTROL!$C$32, 11.3151, 11.3148) * CHOOSE( CONTROL!$C$15, $D$11, 100%, $F$11)</f>
        <v>11.315099999999999</v>
      </c>
      <c r="F403" s="4">
        <f>CHOOSE( CONTROL!$C$32, 11.9949, 11.9946) * CHOOSE(CONTROL!$C$15, $D$11, 100%, $F$11)</f>
        <v>11.994899999999999</v>
      </c>
      <c r="G403" s="8">
        <f>CHOOSE( CONTROL!$C$32, 11.1874, 11.1871) * CHOOSE( CONTROL!$C$15, $D$11, 100%, $F$11)</f>
        <v>11.1874</v>
      </c>
      <c r="H403" s="4">
        <f>CHOOSE( CONTROL!$C$32, 12.1011, 12.1008) * CHOOSE(CONTROL!$C$15, $D$11, 100%, $F$11)</f>
        <v>12.101100000000001</v>
      </c>
      <c r="I403" s="8">
        <f>CHOOSE( CONTROL!$C$32, 11.0709, 11.0707) * CHOOSE(CONTROL!$C$15, $D$11, 100%, $F$11)</f>
        <v>11.0709</v>
      </c>
      <c r="J403" s="4">
        <f>CHOOSE( CONTROL!$C$32, 10.9866, 10.9864) * CHOOSE(CONTROL!$C$15, $D$11, 100%, $F$11)</f>
        <v>10.986599999999999</v>
      </c>
      <c r="K403" s="4"/>
      <c r="L403" s="9">
        <v>29.306000000000001</v>
      </c>
      <c r="M403" s="9">
        <v>12.063700000000001</v>
      </c>
      <c r="N403" s="9">
        <v>4.9444999999999997</v>
      </c>
      <c r="O403" s="9">
        <v>0.37409999999999999</v>
      </c>
      <c r="P403" s="9">
        <v>1.2927</v>
      </c>
      <c r="Q403" s="9">
        <v>20.331700000000001</v>
      </c>
      <c r="R403" s="9"/>
      <c r="S403" s="11"/>
    </row>
    <row r="404" spans="1:19" ht="15.75">
      <c r="A404" s="13">
        <v>53447</v>
      </c>
      <c r="B404" s="8">
        <f>CHOOSE( CONTROL!$C$32, 11.5024, 11.5021) * CHOOSE(CONTROL!$C$15, $D$11, 100%, $F$11)</f>
        <v>11.5024</v>
      </c>
      <c r="C404" s="8">
        <f>CHOOSE( CONTROL!$C$32, 11.5069, 11.5067) * CHOOSE(CONTROL!$C$15, $D$11, 100%, $F$11)</f>
        <v>11.5069</v>
      </c>
      <c r="D404" s="8">
        <f>CHOOSE( CONTROL!$C$32, 11.5064, 11.5062) * CHOOSE( CONTROL!$C$15, $D$11, 100%, $F$11)</f>
        <v>11.506399999999999</v>
      </c>
      <c r="E404" s="12">
        <f>CHOOSE( CONTROL!$C$32, 11.5061, 11.5058) * CHOOSE( CONTROL!$C$15, $D$11, 100%, $F$11)</f>
        <v>11.5061</v>
      </c>
      <c r="F404" s="4">
        <f>CHOOSE( CONTROL!$C$32, 12.2107, 12.2105) * CHOOSE(CONTROL!$C$15, $D$11, 100%, $F$11)</f>
        <v>12.210699999999999</v>
      </c>
      <c r="G404" s="8">
        <f>CHOOSE( CONTROL!$C$32, 11.3744, 11.3742) * CHOOSE( CONTROL!$C$15, $D$11, 100%, $F$11)</f>
        <v>11.3744</v>
      </c>
      <c r="H404" s="4">
        <f>CHOOSE( CONTROL!$C$32, 12.3144, 12.3141) * CHOOSE(CONTROL!$C$15, $D$11, 100%, $F$11)</f>
        <v>12.314399999999999</v>
      </c>
      <c r="I404" s="8">
        <f>CHOOSE( CONTROL!$C$32, 11.2385, 11.2383) * CHOOSE(CONTROL!$C$15, $D$11, 100%, $F$11)</f>
        <v>11.2385</v>
      </c>
      <c r="J404" s="4">
        <f>CHOOSE( CONTROL!$C$32, 11.1536, 11.1533) * CHOOSE(CONTROL!$C$15, $D$11, 100%, $F$11)</f>
        <v>11.153600000000001</v>
      </c>
      <c r="K404" s="4"/>
      <c r="L404" s="9">
        <v>30.092199999999998</v>
      </c>
      <c r="M404" s="9">
        <v>11.6745</v>
      </c>
      <c r="N404" s="9">
        <v>4.7850000000000001</v>
      </c>
      <c r="O404" s="9">
        <v>0.36199999999999999</v>
      </c>
      <c r="P404" s="9">
        <v>1.2509999999999999</v>
      </c>
      <c r="Q404" s="9">
        <v>19.675799999999999</v>
      </c>
      <c r="R404" s="9"/>
      <c r="S404" s="11"/>
    </row>
    <row r="405" spans="1:19" ht="15.75">
      <c r="A405" s="13">
        <v>53478</v>
      </c>
      <c r="B405" s="8">
        <f>CHOOSE( CONTROL!$C$32, 11.8102, 11.8097) * CHOOSE(CONTROL!$C$15, $D$11, 100%, $F$11)</f>
        <v>11.8102</v>
      </c>
      <c r="C405" s="8">
        <f>CHOOSE( CONTROL!$C$32, 11.8182, 11.8177) * CHOOSE(CONTROL!$C$15, $D$11, 100%, $F$11)</f>
        <v>11.818199999999999</v>
      </c>
      <c r="D405" s="8">
        <f>CHOOSE( CONTROL!$C$32, 11.8125, 11.812) * CHOOSE( CONTROL!$C$15, $D$11, 100%, $F$11)</f>
        <v>11.8125</v>
      </c>
      <c r="E405" s="12">
        <f>CHOOSE( CONTROL!$C$32, 11.8133, 11.8128) * CHOOSE( CONTROL!$C$15, $D$11, 100%, $F$11)</f>
        <v>11.8133</v>
      </c>
      <c r="F405" s="4">
        <f>CHOOSE( CONTROL!$C$32, 12.5171, 12.5167) * CHOOSE(CONTROL!$C$15, $D$11, 100%, $F$11)</f>
        <v>12.517099999999999</v>
      </c>
      <c r="G405" s="8">
        <f>CHOOSE( CONTROL!$C$32, 11.6776, 11.6771) * CHOOSE( CONTROL!$C$15, $D$11, 100%, $F$11)</f>
        <v>11.6776</v>
      </c>
      <c r="H405" s="4">
        <f>CHOOSE( CONTROL!$C$32, 12.6172, 12.6167) * CHOOSE(CONTROL!$C$15, $D$11, 100%, $F$11)</f>
        <v>12.6172</v>
      </c>
      <c r="I405" s="8">
        <f>CHOOSE( CONTROL!$C$32, 11.5366, 11.5362) * CHOOSE(CONTROL!$C$15, $D$11, 100%, $F$11)</f>
        <v>11.5366</v>
      </c>
      <c r="J405" s="4">
        <f>CHOOSE( CONTROL!$C$32, 11.451, 11.4505) * CHOOSE(CONTROL!$C$15, $D$11, 100%, $F$11)</f>
        <v>11.451000000000001</v>
      </c>
      <c r="K405" s="4"/>
      <c r="L405" s="9">
        <v>30.7165</v>
      </c>
      <c r="M405" s="9">
        <v>12.063700000000001</v>
      </c>
      <c r="N405" s="9">
        <v>4.9444999999999997</v>
      </c>
      <c r="O405" s="9">
        <v>0.37409999999999999</v>
      </c>
      <c r="P405" s="9">
        <v>1.2927</v>
      </c>
      <c r="Q405" s="9">
        <v>20.331700000000001</v>
      </c>
      <c r="R405" s="9"/>
      <c r="S405" s="11"/>
    </row>
    <row r="406" spans="1:19" ht="15.75">
      <c r="A406" s="13">
        <v>53508</v>
      </c>
      <c r="B406" s="8">
        <f>CHOOSE( CONTROL!$C$32, 11.6205, 11.62) * CHOOSE(CONTROL!$C$15, $D$11, 100%, $F$11)</f>
        <v>11.6205</v>
      </c>
      <c r="C406" s="8">
        <f>CHOOSE( CONTROL!$C$32, 11.6285, 11.628) * CHOOSE(CONTROL!$C$15, $D$11, 100%, $F$11)</f>
        <v>11.628500000000001</v>
      </c>
      <c r="D406" s="8">
        <f>CHOOSE( CONTROL!$C$32, 11.6232, 11.6227) * CHOOSE( CONTROL!$C$15, $D$11, 100%, $F$11)</f>
        <v>11.623200000000001</v>
      </c>
      <c r="E406" s="12">
        <f>CHOOSE( CONTROL!$C$32, 11.6239, 11.6234) * CHOOSE( CONTROL!$C$15, $D$11, 100%, $F$11)</f>
        <v>11.623900000000001</v>
      </c>
      <c r="F406" s="4">
        <f>CHOOSE( CONTROL!$C$32, 12.3274, 12.327) * CHOOSE(CONTROL!$C$15, $D$11, 100%, $F$11)</f>
        <v>12.327400000000001</v>
      </c>
      <c r="G406" s="8">
        <f>CHOOSE( CONTROL!$C$32, 11.4904, 11.49) * CHOOSE( CONTROL!$C$15, $D$11, 100%, $F$11)</f>
        <v>11.490399999999999</v>
      </c>
      <c r="H406" s="4">
        <f>CHOOSE( CONTROL!$C$32, 12.4297, 12.4293) * CHOOSE(CONTROL!$C$15, $D$11, 100%, $F$11)</f>
        <v>12.4297</v>
      </c>
      <c r="I406" s="8">
        <f>CHOOSE( CONTROL!$C$32, 11.3539, 11.3534) * CHOOSE(CONTROL!$C$15, $D$11, 100%, $F$11)</f>
        <v>11.353899999999999</v>
      </c>
      <c r="J406" s="4">
        <f>CHOOSE( CONTROL!$C$32, 11.2669, 11.2664) * CHOOSE(CONTROL!$C$15, $D$11, 100%, $F$11)</f>
        <v>11.2669</v>
      </c>
      <c r="K406" s="4"/>
      <c r="L406" s="9">
        <v>29.7257</v>
      </c>
      <c r="M406" s="9">
        <v>11.6745</v>
      </c>
      <c r="N406" s="9">
        <v>4.7850000000000001</v>
      </c>
      <c r="O406" s="9">
        <v>0.36199999999999999</v>
      </c>
      <c r="P406" s="9">
        <v>1.2509999999999999</v>
      </c>
      <c r="Q406" s="9">
        <v>19.675799999999999</v>
      </c>
      <c r="R406" s="9"/>
      <c r="S406" s="11"/>
    </row>
    <row r="407" spans="1:19" ht="15.75">
      <c r="A407" s="13">
        <v>53539</v>
      </c>
      <c r="B407" s="8">
        <f>CHOOSE( CONTROL!$C$32, 12.12, 12.1196) * CHOOSE(CONTROL!$C$15, $D$11, 100%, $F$11)</f>
        <v>12.12</v>
      </c>
      <c r="C407" s="8">
        <f>CHOOSE( CONTROL!$C$32, 12.128, 12.1276) * CHOOSE(CONTROL!$C$15, $D$11, 100%, $F$11)</f>
        <v>12.128</v>
      </c>
      <c r="D407" s="8">
        <f>CHOOSE( CONTROL!$C$32, 12.1232, 12.1227) * CHOOSE( CONTROL!$C$15, $D$11, 100%, $F$11)</f>
        <v>12.123200000000001</v>
      </c>
      <c r="E407" s="12">
        <f>CHOOSE( CONTROL!$C$32, 12.1237, 12.1233) * CHOOSE( CONTROL!$C$15, $D$11, 100%, $F$11)</f>
        <v>12.123699999999999</v>
      </c>
      <c r="F407" s="4">
        <f>CHOOSE( CONTROL!$C$32, 12.827, 12.8265) * CHOOSE(CONTROL!$C$15, $D$11, 100%, $F$11)</f>
        <v>12.827</v>
      </c>
      <c r="G407" s="8">
        <f>CHOOSE( CONTROL!$C$32, 11.9845, 11.984) * CHOOSE( CONTROL!$C$15, $D$11, 100%, $F$11)</f>
        <v>11.984500000000001</v>
      </c>
      <c r="H407" s="4">
        <f>CHOOSE( CONTROL!$C$32, 12.9234, 12.923) * CHOOSE(CONTROL!$C$15, $D$11, 100%, $F$11)</f>
        <v>12.923400000000001</v>
      </c>
      <c r="I407" s="8">
        <f>CHOOSE( CONTROL!$C$32, 11.8405, 11.84) * CHOOSE(CONTROL!$C$15, $D$11, 100%, $F$11)</f>
        <v>11.8405</v>
      </c>
      <c r="J407" s="4">
        <f>CHOOSE( CONTROL!$C$32, 11.7517, 11.7512) * CHOOSE(CONTROL!$C$15, $D$11, 100%, $F$11)</f>
        <v>11.7517</v>
      </c>
      <c r="K407" s="4"/>
      <c r="L407" s="9">
        <v>30.7165</v>
      </c>
      <c r="M407" s="9">
        <v>12.063700000000001</v>
      </c>
      <c r="N407" s="9">
        <v>4.9444999999999997</v>
      </c>
      <c r="O407" s="9">
        <v>0.37409999999999999</v>
      </c>
      <c r="P407" s="9">
        <v>1.2927</v>
      </c>
      <c r="Q407" s="9">
        <v>20.331700000000001</v>
      </c>
      <c r="R407" s="9"/>
      <c r="S407" s="11"/>
    </row>
    <row r="408" spans="1:19" ht="15.75">
      <c r="A408" s="13">
        <v>53570</v>
      </c>
      <c r="B408" s="8">
        <f>CHOOSE( CONTROL!$C$32, 11.1853, 11.1849) * CHOOSE(CONTROL!$C$15, $D$11, 100%, $F$11)</f>
        <v>11.1853</v>
      </c>
      <c r="C408" s="8">
        <f>CHOOSE( CONTROL!$C$32, 11.1933, 11.1929) * CHOOSE(CONTROL!$C$15, $D$11, 100%, $F$11)</f>
        <v>11.193300000000001</v>
      </c>
      <c r="D408" s="8">
        <f>CHOOSE( CONTROL!$C$32, 11.1886, 11.1882) * CHOOSE( CONTROL!$C$15, $D$11, 100%, $F$11)</f>
        <v>11.188599999999999</v>
      </c>
      <c r="E408" s="12">
        <f>CHOOSE( CONTROL!$C$32, 11.1891, 11.1887) * CHOOSE( CONTROL!$C$15, $D$11, 100%, $F$11)</f>
        <v>11.1891</v>
      </c>
      <c r="F408" s="4">
        <f>CHOOSE( CONTROL!$C$32, 11.8923, 11.8918) * CHOOSE(CONTROL!$C$15, $D$11, 100%, $F$11)</f>
        <v>11.892300000000001</v>
      </c>
      <c r="G408" s="8">
        <f>CHOOSE( CONTROL!$C$32, 11.0608, 11.0604) * CHOOSE( CONTROL!$C$15, $D$11, 100%, $F$11)</f>
        <v>11.0608</v>
      </c>
      <c r="H408" s="4">
        <f>CHOOSE( CONTROL!$C$32, 11.9997, 11.9992) * CHOOSE(CONTROL!$C$15, $D$11, 100%, $F$11)</f>
        <v>11.999700000000001</v>
      </c>
      <c r="I408" s="8">
        <f>CHOOSE( CONTROL!$C$32, 10.9333, 10.9329) * CHOOSE(CONTROL!$C$15, $D$11, 100%, $F$11)</f>
        <v>10.933299999999999</v>
      </c>
      <c r="J408" s="4">
        <f>CHOOSE( CONTROL!$C$32, 10.8446, 10.8441) * CHOOSE(CONTROL!$C$15, $D$11, 100%, $F$11)</f>
        <v>10.8446</v>
      </c>
      <c r="K408" s="4"/>
      <c r="L408" s="9">
        <v>30.7165</v>
      </c>
      <c r="M408" s="9">
        <v>12.063700000000001</v>
      </c>
      <c r="N408" s="9">
        <v>4.9444999999999997</v>
      </c>
      <c r="O408" s="9">
        <v>0.37409999999999999</v>
      </c>
      <c r="P408" s="9">
        <v>1.2927</v>
      </c>
      <c r="Q408" s="9">
        <v>20.331700000000001</v>
      </c>
      <c r="R408" s="9"/>
      <c r="S408" s="11"/>
    </row>
    <row r="409" spans="1:19" ht="15.75">
      <c r="A409" s="13">
        <v>53600</v>
      </c>
      <c r="B409" s="8">
        <f>CHOOSE( CONTROL!$C$32, 10.9513, 10.9508) * CHOOSE(CONTROL!$C$15, $D$11, 100%, $F$11)</f>
        <v>10.9513</v>
      </c>
      <c r="C409" s="8">
        <f>CHOOSE( CONTROL!$C$32, 10.9593, 10.9588) * CHOOSE(CONTROL!$C$15, $D$11, 100%, $F$11)</f>
        <v>10.959300000000001</v>
      </c>
      <c r="D409" s="8">
        <f>CHOOSE( CONTROL!$C$32, 10.9544, 10.954) * CHOOSE( CONTROL!$C$15, $D$11, 100%, $F$11)</f>
        <v>10.9544</v>
      </c>
      <c r="E409" s="12">
        <f>CHOOSE( CONTROL!$C$32, 10.955, 10.9545) * CHOOSE( CONTROL!$C$15, $D$11, 100%, $F$11)</f>
        <v>10.955</v>
      </c>
      <c r="F409" s="4">
        <f>CHOOSE( CONTROL!$C$32, 11.6582, 11.6578) * CHOOSE(CONTROL!$C$15, $D$11, 100%, $F$11)</f>
        <v>11.658200000000001</v>
      </c>
      <c r="G409" s="8">
        <f>CHOOSE( CONTROL!$C$32, 10.8294, 10.829) * CHOOSE( CONTROL!$C$15, $D$11, 100%, $F$11)</f>
        <v>10.8294</v>
      </c>
      <c r="H409" s="4">
        <f>CHOOSE( CONTROL!$C$32, 11.7684, 11.7679) * CHOOSE(CONTROL!$C$15, $D$11, 100%, $F$11)</f>
        <v>11.7684</v>
      </c>
      <c r="I409" s="8">
        <f>CHOOSE( CONTROL!$C$32, 10.7056, 10.7051) * CHOOSE(CONTROL!$C$15, $D$11, 100%, $F$11)</f>
        <v>10.7056</v>
      </c>
      <c r="J409" s="4">
        <f>CHOOSE( CONTROL!$C$32, 10.6174, 10.617) * CHOOSE(CONTROL!$C$15, $D$11, 100%, $F$11)</f>
        <v>10.6174</v>
      </c>
      <c r="K409" s="4"/>
      <c r="L409" s="9">
        <v>29.7257</v>
      </c>
      <c r="M409" s="9">
        <v>11.6745</v>
      </c>
      <c r="N409" s="9">
        <v>4.7850000000000001</v>
      </c>
      <c r="O409" s="9">
        <v>0.36199999999999999</v>
      </c>
      <c r="P409" s="9">
        <v>1.2509999999999999</v>
      </c>
      <c r="Q409" s="9">
        <v>19.675799999999999</v>
      </c>
      <c r="R409" s="9"/>
      <c r="S409" s="11"/>
    </row>
    <row r="410" spans="1:19" ht="15.75">
      <c r="A410" s="13">
        <v>53631</v>
      </c>
      <c r="B410" s="8">
        <f>CHOOSE( CONTROL!$C$32, 11.4354, 11.4351) * CHOOSE(CONTROL!$C$15, $D$11, 100%, $F$11)</f>
        <v>11.4354</v>
      </c>
      <c r="C410" s="8">
        <f>CHOOSE( CONTROL!$C$32, 11.4407, 11.4404) * CHOOSE(CONTROL!$C$15, $D$11, 100%, $F$11)</f>
        <v>11.4407</v>
      </c>
      <c r="D410" s="8">
        <f>CHOOSE( CONTROL!$C$32, 11.4409, 11.4406) * CHOOSE( CONTROL!$C$15, $D$11, 100%, $F$11)</f>
        <v>11.440899999999999</v>
      </c>
      <c r="E410" s="12">
        <f>CHOOSE( CONTROL!$C$32, 11.4403, 11.44) * CHOOSE( CONTROL!$C$15, $D$11, 100%, $F$11)</f>
        <v>11.440300000000001</v>
      </c>
      <c r="F410" s="4">
        <f>CHOOSE( CONTROL!$C$32, 12.144, 12.1438) * CHOOSE(CONTROL!$C$15, $D$11, 100%, $F$11)</f>
        <v>12.144</v>
      </c>
      <c r="G410" s="8">
        <f>CHOOSE( CONTROL!$C$32, 11.3095, 11.3092) * CHOOSE( CONTROL!$C$15, $D$11, 100%, $F$11)</f>
        <v>11.3095</v>
      </c>
      <c r="H410" s="4">
        <f>CHOOSE( CONTROL!$C$32, 12.2485, 12.2482) * CHOOSE(CONTROL!$C$15, $D$11, 100%, $F$11)</f>
        <v>12.2485</v>
      </c>
      <c r="I410" s="8">
        <f>CHOOSE( CONTROL!$C$32, 11.178, 11.1777) * CHOOSE(CONTROL!$C$15, $D$11, 100%, $F$11)</f>
        <v>11.178000000000001</v>
      </c>
      <c r="J410" s="4">
        <f>CHOOSE( CONTROL!$C$32, 11.0889, 11.0886) * CHOOSE(CONTROL!$C$15, $D$11, 100%, $F$11)</f>
        <v>11.088900000000001</v>
      </c>
      <c r="K410" s="4"/>
      <c r="L410" s="9">
        <v>31.095300000000002</v>
      </c>
      <c r="M410" s="9">
        <v>12.063700000000001</v>
      </c>
      <c r="N410" s="9">
        <v>4.9444999999999997</v>
      </c>
      <c r="O410" s="9">
        <v>0.37409999999999999</v>
      </c>
      <c r="P410" s="9">
        <v>1.2927</v>
      </c>
      <c r="Q410" s="9">
        <v>20.331700000000001</v>
      </c>
      <c r="R410" s="9"/>
      <c r="S410" s="11"/>
    </row>
    <row r="411" spans="1:19" ht="15.75">
      <c r="A411" s="13">
        <v>53661</v>
      </c>
      <c r="B411" s="8">
        <f>CHOOSE( CONTROL!$C$32, 12.332, 12.3317) * CHOOSE(CONTROL!$C$15, $D$11, 100%, $F$11)</f>
        <v>12.332000000000001</v>
      </c>
      <c r="C411" s="8">
        <f>CHOOSE( CONTROL!$C$32, 12.3371, 12.3368) * CHOOSE(CONTROL!$C$15, $D$11, 100%, $F$11)</f>
        <v>12.3371</v>
      </c>
      <c r="D411" s="8">
        <f>CHOOSE( CONTROL!$C$32, 12.3049, 12.3047) * CHOOSE( CONTROL!$C$15, $D$11, 100%, $F$11)</f>
        <v>12.3049</v>
      </c>
      <c r="E411" s="12">
        <f>CHOOSE( CONTROL!$C$32, 12.3161, 12.3159) * CHOOSE( CONTROL!$C$15, $D$11, 100%, $F$11)</f>
        <v>12.3161</v>
      </c>
      <c r="F411" s="4">
        <f>CHOOSE( CONTROL!$C$32, 12.9973, 12.997) * CHOOSE(CONTROL!$C$15, $D$11, 100%, $F$11)</f>
        <v>12.997299999999999</v>
      </c>
      <c r="G411" s="8">
        <f>CHOOSE( CONTROL!$C$32, 12.1849, 12.1847) * CHOOSE( CONTROL!$C$15, $D$11, 100%, $F$11)</f>
        <v>12.184900000000001</v>
      </c>
      <c r="H411" s="4">
        <f>CHOOSE( CONTROL!$C$32, 13.0917, 13.0914) * CHOOSE(CONTROL!$C$15, $D$11, 100%, $F$11)</f>
        <v>13.091699999999999</v>
      </c>
      <c r="I411" s="8">
        <f>CHOOSE( CONTROL!$C$32, 12.0998, 12.0995) * CHOOSE(CONTROL!$C$15, $D$11, 100%, $F$11)</f>
        <v>12.0998</v>
      </c>
      <c r="J411" s="4">
        <f>CHOOSE( CONTROL!$C$32, 11.9594, 11.9592) * CHOOSE(CONTROL!$C$15, $D$11, 100%, $F$11)</f>
        <v>11.9594</v>
      </c>
      <c r="K411" s="4"/>
      <c r="L411" s="9">
        <v>28.360600000000002</v>
      </c>
      <c r="M411" s="9">
        <v>11.6745</v>
      </c>
      <c r="N411" s="9">
        <v>4.7850000000000001</v>
      </c>
      <c r="O411" s="9">
        <v>0.36199999999999999</v>
      </c>
      <c r="P411" s="9">
        <v>1.2509999999999999</v>
      </c>
      <c r="Q411" s="9">
        <v>19.675799999999999</v>
      </c>
      <c r="R411" s="9"/>
      <c r="S411" s="11"/>
    </row>
    <row r="412" spans="1:19" ht="15.75">
      <c r="A412" s="13">
        <v>53692</v>
      </c>
      <c r="B412" s="8">
        <f>CHOOSE( CONTROL!$C$32, 12.3096, 12.3093) * CHOOSE(CONTROL!$C$15, $D$11, 100%, $F$11)</f>
        <v>12.3096</v>
      </c>
      <c r="C412" s="8">
        <f>CHOOSE( CONTROL!$C$32, 12.3146, 12.3144) * CHOOSE(CONTROL!$C$15, $D$11, 100%, $F$11)</f>
        <v>12.3146</v>
      </c>
      <c r="D412" s="8">
        <f>CHOOSE( CONTROL!$C$32, 12.2843, 12.2841) * CHOOSE( CONTROL!$C$15, $D$11, 100%, $F$11)</f>
        <v>12.2843</v>
      </c>
      <c r="E412" s="12">
        <f>CHOOSE( CONTROL!$C$32, 12.2948, 12.2946) * CHOOSE( CONTROL!$C$15, $D$11, 100%, $F$11)</f>
        <v>12.2948</v>
      </c>
      <c r="F412" s="4">
        <f>CHOOSE( CONTROL!$C$32, 12.9748, 12.9746) * CHOOSE(CONTROL!$C$15, $D$11, 100%, $F$11)</f>
        <v>12.9748</v>
      </c>
      <c r="G412" s="8">
        <f>CHOOSE( CONTROL!$C$32, 12.1641, 12.1638) * CHOOSE( CONTROL!$C$15, $D$11, 100%, $F$11)</f>
        <v>12.164099999999999</v>
      </c>
      <c r="H412" s="4">
        <f>CHOOSE( CONTROL!$C$32, 13.0695, 13.0693) * CHOOSE(CONTROL!$C$15, $D$11, 100%, $F$11)</f>
        <v>13.0695</v>
      </c>
      <c r="I412" s="8">
        <f>CHOOSE( CONTROL!$C$32, 12.0837, 12.0835) * CHOOSE(CONTROL!$C$15, $D$11, 100%, $F$11)</f>
        <v>12.0837</v>
      </c>
      <c r="J412" s="4">
        <f>CHOOSE( CONTROL!$C$32, 11.9377, 11.9374) * CHOOSE(CONTROL!$C$15, $D$11, 100%, $F$11)</f>
        <v>11.9377</v>
      </c>
      <c r="K412" s="4"/>
      <c r="L412" s="9">
        <v>29.306000000000001</v>
      </c>
      <c r="M412" s="9">
        <v>12.063700000000001</v>
      </c>
      <c r="N412" s="9">
        <v>4.9444999999999997</v>
      </c>
      <c r="O412" s="9">
        <v>0.37409999999999999</v>
      </c>
      <c r="P412" s="9">
        <v>1.2927</v>
      </c>
      <c r="Q412" s="9">
        <v>20.331700000000001</v>
      </c>
      <c r="R412" s="9"/>
      <c r="S412" s="11"/>
    </row>
    <row r="413" spans="1:19" ht="15.75">
      <c r="A413" s="13">
        <v>53723</v>
      </c>
      <c r="B413" s="8">
        <f>CHOOSE( CONTROL!$C$32, 12.6724, 12.6721) * CHOOSE(CONTROL!$C$15, $D$11, 100%, $F$11)</f>
        <v>12.6724</v>
      </c>
      <c r="C413" s="8">
        <f>CHOOSE( CONTROL!$C$32, 12.6775, 12.6772) * CHOOSE(CONTROL!$C$15, $D$11, 100%, $F$11)</f>
        <v>12.6775</v>
      </c>
      <c r="D413" s="8">
        <f>CHOOSE( CONTROL!$C$32, 12.6751, 12.6748) * CHOOSE( CONTROL!$C$15, $D$11, 100%, $F$11)</f>
        <v>12.6751</v>
      </c>
      <c r="E413" s="12">
        <f>CHOOSE( CONTROL!$C$32, 12.6754, 12.6751) * CHOOSE( CONTROL!$C$15, $D$11, 100%, $F$11)</f>
        <v>12.6754</v>
      </c>
      <c r="F413" s="4">
        <f>CHOOSE( CONTROL!$C$32, 13.3377, 13.3374) * CHOOSE(CONTROL!$C$15, $D$11, 100%, $F$11)</f>
        <v>13.3377</v>
      </c>
      <c r="G413" s="8">
        <f>CHOOSE( CONTROL!$C$32, 12.5388, 12.5385) * CHOOSE( CONTROL!$C$15, $D$11, 100%, $F$11)</f>
        <v>12.5388</v>
      </c>
      <c r="H413" s="4">
        <f>CHOOSE( CONTROL!$C$32, 13.4281, 13.4278) * CHOOSE(CONTROL!$C$15, $D$11, 100%, $F$11)</f>
        <v>13.428100000000001</v>
      </c>
      <c r="I413" s="8">
        <f>CHOOSE( CONTROL!$C$32, 12.4096, 12.4093) * CHOOSE(CONTROL!$C$15, $D$11, 100%, $F$11)</f>
        <v>12.409599999999999</v>
      </c>
      <c r="J413" s="4">
        <f>CHOOSE( CONTROL!$C$32, 12.2898, 12.2895) * CHOOSE(CONTROL!$C$15, $D$11, 100%, $F$11)</f>
        <v>12.2898</v>
      </c>
      <c r="K413" s="4"/>
      <c r="L413" s="9">
        <v>29.306000000000001</v>
      </c>
      <c r="M413" s="9">
        <v>12.063700000000001</v>
      </c>
      <c r="N413" s="9">
        <v>4.9444999999999997</v>
      </c>
      <c r="O413" s="9">
        <v>0.37409999999999999</v>
      </c>
      <c r="P413" s="9">
        <v>1.2927</v>
      </c>
      <c r="Q413" s="9">
        <v>20.2666</v>
      </c>
      <c r="R413" s="9"/>
      <c r="S413" s="11"/>
    </row>
    <row r="414" spans="1:19" ht="15.75">
      <c r="A414" s="13">
        <v>53751</v>
      </c>
      <c r="B414" s="8">
        <f>CHOOSE( CONTROL!$C$32, 11.8537, 11.8535) * CHOOSE(CONTROL!$C$15, $D$11, 100%, $F$11)</f>
        <v>11.8537</v>
      </c>
      <c r="C414" s="8">
        <f>CHOOSE( CONTROL!$C$32, 11.8588, 11.8585) * CHOOSE(CONTROL!$C$15, $D$11, 100%, $F$11)</f>
        <v>11.8588</v>
      </c>
      <c r="D414" s="8">
        <f>CHOOSE( CONTROL!$C$32, 11.8388, 11.8385) * CHOOSE( CONTROL!$C$15, $D$11, 100%, $F$11)</f>
        <v>11.838800000000001</v>
      </c>
      <c r="E414" s="12">
        <f>CHOOSE( CONTROL!$C$32, 11.8456, 11.8453) * CHOOSE( CONTROL!$C$15, $D$11, 100%, $F$11)</f>
        <v>11.845599999999999</v>
      </c>
      <c r="F414" s="4">
        <f>CHOOSE( CONTROL!$C$32, 12.519, 12.5187) * CHOOSE(CONTROL!$C$15, $D$11, 100%, $F$11)</f>
        <v>12.519</v>
      </c>
      <c r="G414" s="8">
        <f>CHOOSE( CONTROL!$C$32, 11.7186, 11.7183) * CHOOSE( CONTROL!$C$15, $D$11, 100%, $F$11)</f>
        <v>11.7186</v>
      </c>
      <c r="H414" s="4">
        <f>CHOOSE( CONTROL!$C$32, 12.6191, 12.6188) * CHOOSE(CONTROL!$C$15, $D$11, 100%, $F$11)</f>
        <v>12.6191</v>
      </c>
      <c r="I414" s="8">
        <f>CHOOSE( CONTROL!$C$32, 11.6151, 11.6148) * CHOOSE(CONTROL!$C$15, $D$11, 100%, $F$11)</f>
        <v>11.6151</v>
      </c>
      <c r="J414" s="4">
        <f>CHOOSE( CONTROL!$C$32, 11.4953, 11.495) * CHOOSE(CONTROL!$C$15, $D$11, 100%, $F$11)</f>
        <v>11.4953</v>
      </c>
      <c r="K414" s="4"/>
      <c r="L414" s="9">
        <v>26.469899999999999</v>
      </c>
      <c r="M414" s="9">
        <v>10.8962</v>
      </c>
      <c r="N414" s="9">
        <v>4.4660000000000002</v>
      </c>
      <c r="O414" s="9">
        <v>0.33789999999999998</v>
      </c>
      <c r="P414" s="9">
        <v>1.1676</v>
      </c>
      <c r="Q414" s="9">
        <v>18.305299999999999</v>
      </c>
      <c r="R414" s="9"/>
      <c r="S414" s="11"/>
    </row>
    <row r="415" spans="1:19" ht="15.75">
      <c r="A415" s="13">
        <v>53782</v>
      </c>
      <c r="B415" s="8">
        <f>CHOOSE( CONTROL!$C$32, 11.6016, 11.6013) * CHOOSE(CONTROL!$C$15, $D$11, 100%, $F$11)</f>
        <v>11.601599999999999</v>
      </c>
      <c r="C415" s="8">
        <f>CHOOSE( CONTROL!$C$32, 11.6067, 11.6064) * CHOOSE(CONTROL!$C$15, $D$11, 100%, $F$11)</f>
        <v>11.6067</v>
      </c>
      <c r="D415" s="8">
        <f>CHOOSE( CONTROL!$C$32, 11.5767, 11.5764) * CHOOSE( CONTROL!$C$15, $D$11, 100%, $F$11)</f>
        <v>11.576700000000001</v>
      </c>
      <c r="E415" s="12">
        <f>CHOOSE( CONTROL!$C$32, 11.5871, 11.5868) * CHOOSE( CONTROL!$C$15, $D$11, 100%, $F$11)</f>
        <v>11.5871</v>
      </c>
      <c r="F415" s="4">
        <f>CHOOSE( CONTROL!$C$32, 12.2669, 12.2666) * CHOOSE(CONTROL!$C$15, $D$11, 100%, $F$11)</f>
        <v>12.2669</v>
      </c>
      <c r="G415" s="8">
        <f>CHOOSE( CONTROL!$C$32, 11.4562, 11.4559) * CHOOSE( CONTROL!$C$15, $D$11, 100%, $F$11)</f>
        <v>11.456200000000001</v>
      </c>
      <c r="H415" s="4">
        <f>CHOOSE( CONTROL!$C$32, 12.3699, 12.3696) * CHOOSE(CONTROL!$C$15, $D$11, 100%, $F$11)</f>
        <v>12.369899999999999</v>
      </c>
      <c r="I415" s="8">
        <f>CHOOSE( CONTROL!$C$32, 11.335, 11.3348) * CHOOSE(CONTROL!$C$15, $D$11, 100%, $F$11)</f>
        <v>11.335000000000001</v>
      </c>
      <c r="J415" s="4">
        <f>CHOOSE( CONTROL!$C$32, 11.2506, 11.2503) * CHOOSE(CONTROL!$C$15, $D$11, 100%, $F$11)</f>
        <v>11.2506</v>
      </c>
      <c r="K415" s="4"/>
      <c r="L415" s="9">
        <v>29.306000000000001</v>
      </c>
      <c r="M415" s="9">
        <v>12.063700000000001</v>
      </c>
      <c r="N415" s="9">
        <v>4.9444999999999997</v>
      </c>
      <c r="O415" s="9">
        <v>0.37409999999999999</v>
      </c>
      <c r="P415" s="9">
        <v>1.2927</v>
      </c>
      <c r="Q415" s="9">
        <v>20.2666</v>
      </c>
      <c r="R415" s="9"/>
      <c r="S415" s="11"/>
    </row>
    <row r="416" spans="1:19" ht="15.75">
      <c r="A416" s="13">
        <v>53812</v>
      </c>
      <c r="B416" s="8">
        <f>CHOOSE( CONTROL!$C$32, 11.7786, 11.7783) * CHOOSE(CONTROL!$C$15, $D$11, 100%, $F$11)</f>
        <v>11.778600000000001</v>
      </c>
      <c r="C416" s="8">
        <f>CHOOSE( CONTROL!$C$32, 11.7831, 11.7828) * CHOOSE(CONTROL!$C$15, $D$11, 100%, $F$11)</f>
        <v>11.783099999999999</v>
      </c>
      <c r="D416" s="8">
        <f>CHOOSE( CONTROL!$C$32, 11.7826, 11.7823) * CHOOSE( CONTROL!$C$15, $D$11, 100%, $F$11)</f>
        <v>11.7826</v>
      </c>
      <c r="E416" s="12">
        <f>CHOOSE( CONTROL!$C$32, 11.7823, 11.782) * CHOOSE( CONTROL!$C$15, $D$11, 100%, $F$11)</f>
        <v>11.782299999999999</v>
      </c>
      <c r="F416" s="4">
        <f>CHOOSE( CONTROL!$C$32, 12.4869, 12.4866) * CHOOSE(CONTROL!$C$15, $D$11, 100%, $F$11)</f>
        <v>12.4869</v>
      </c>
      <c r="G416" s="8">
        <f>CHOOSE( CONTROL!$C$32, 11.6473, 11.647) * CHOOSE( CONTROL!$C$15, $D$11, 100%, $F$11)</f>
        <v>11.6473</v>
      </c>
      <c r="H416" s="4">
        <f>CHOOSE( CONTROL!$C$32, 12.5873, 12.587) * CHOOSE(CONTROL!$C$15, $D$11, 100%, $F$11)</f>
        <v>12.587300000000001</v>
      </c>
      <c r="I416" s="8">
        <f>CHOOSE( CONTROL!$C$32, 11.5067, 11.5064) * CHOOSE(CONTROL!$C$15, $D$11, 100%, $F$11)</f>
        <v>11.5067</v>
      </c>
      <c r="J416" s="4">
        <f>CHOOSE( CONTROL!$C$32, 11.4216, 11.4213) * CHOOSE(CONTROL!$C$15, $D$11, 100%, $F$11)</f>
        <v>11.4216</v>
      </c>
      <c r="K416" s="4"/>
      <c r="L416" s="9">
        <v>30.092199999999998</v>
      </c>
      <c r="M416" s="9">
        <v>11.6745</v>
      </c>
      <c r="N416" s="9">
        <v>4.7850000000000001</v>
      </c>
      <c r="O416" s="9">
        <v>0.36199999999999999</v>
      </c>
      <c r="P416" s="9">
        <v>1.2509999999999999</v>
      </c>
      <c r="Q416" s="9">
        <v>19.6128</v>
      </c>
      <c r="R416" s="9"/>
      <c r="S416" s="11"/>
    </row>
    <row r="417" spans="1:19" ht="15.75">
      <c r="A417" s="13">
        <v>53843</v>
      </c>
      <c r="B417" s="8">
        <f>CHOOSE( CONTROL!$C$32, 12.0937, 12.0932) * CHOOSE(CONTROL!$C$15, $D$11, 100%, $F$11)</f>
        <v>12.0937</v>
      </c>
      <c r="C417" s="8">
        <f>CHOOSE( CONTROL!$C$32, 12.1017, 12.1012) * CHOOSE(CONTROL!$C$15, $D$11, 100%, $F$11)</f>
        <v>12.101699999999999</v>
      </c>
      <c r="D417" s="8">
        <f>CHOOSE( CONTROL!$C$32, 12.096, 12.0955) * CHOOSE( CONTROL!$C$15, $D$11, 100%, $F$11)</f>
        <v>12.096</v>
      </c>
      <c r="E417" s="12">
        <f>CHOOSE( CONTROL!$C$32, 12.0968, 12.0963) * CHOOSE( CONTROL!$C$15, $D$11, 100%, $F$11)</f>
        <v>12.0968</v>
      </c>
      <c r="F417" s="4">
        <f>CHOOSE( CONTROL!$C$32, 12.8006, 12.8002) * CHOOSE(CONTROL!$C$15, $D$11, 100%, $F$11)</f>
        <v>12.800599999999999</v>
      </c>
      <c r="G417" s="8">
        <f>CHOOSE( CONTROL!$C$32, 11.9577, 11.9573) * CHOOSE( CONTROL!$C$15, $D$11, 100%, $F$11)</f>
        <v>11.957700000000001</v>
      </c>
      <c r="H417" s="4">
        <f>CHOOSE( CONTROL!$C$32, 12.8974, 12.8969) * CHOOSE(CONTROL!$C$15, $D$11, 100%, $F$11)</f>
        <v>12.897399999999999</v>
      </c>
      <c r="I417" s="8">
        <f>CHOOSE( CONTROL!$C$32, 11.8119, 11.8115) * CHOOSE(CONTROL!$C$15, $D$11, 100%, $F$11)</f>
        <v>11.8119</v>
      </c>
      <c r="J417" s="4">
        <f>CHOOSE( CONTROL!$C$32, 11.7261, 11.7257) * CHOOSE(CONTROL!$C$15, $D$11, 100%, $F$11)</f>
        <v>11.726100000000001</v>
      </c>
      <c r="K417" s="4"/>
      <c r="L417" s="9">
        <v>30.7165</v>
      </c>
      <c r="M417" s="9">
        <v>12.063700000000001</v>
      </c>
      <c r="N417" s="9">
        <v>4.9444999999999997</v>
      </c>
      <c r="O417" s="9">
        <v>0.37409999999999999</v>
      </c>
      <c r="P417" s="9">
        <v>1.2927</v>
      </c>
      <c r="Q417" s="9">
        <v>20.2666</v>
      </c>
      <c r="R417" s="9"/>
      <c r="S417" s="11"/>
    </row>
    <row r="418" spans="1:19" ht="15.75">
      <c r="A418" s="13">
        <v>53873</v>
      </c>
      <c r="B418" s="8">
        <f>CHOOSE( CONTROL!$C$32, 11.8994, 11.899) * CHOOSE(CONTROL!$C$15, $D$11, 100%, $F$11)</f>
        <v>11.8994</v>
      </c>
      <c r="C418" s="8">
        <f>CHOOSE( CONTROL!$C$32, 11.9074, 11.9069) * CHOOSE(CONTROL!$C$15, $D$11, 100%, $F$11)</f>
        <v>11.907400000000001</v>
      </c>
      <c r="D418" s="8">
        <f>CHOOSE( CONTROL!$C$32, 11.9021, 11.9017) * CHOOSE( CONTROL!$C$15, $D$11, 100%, $F$11)</f>
        <v>11.902100000000001</v>
      </c>
      <c r="E418" s="12">
        <f>CHOOSE( CONTROL!$C$32, 11.9028, 11.9024) * CHOOSE( CONTROL!$C$15, $D$11, 100%, $F$11)</f>
        <v>11.902799999999999</v>
      </c>
      <c r="F418" s="4">
        <f>CHOOSE( CONTROL!$C$32, 12.6064, 12.6059) * CHOOSE(CONTROL!$C$15, $D$11, 100%, $F$11)</f>
        <v>12.606400000000001</v>
      </c>
      <c r="G418" s="8">
        <f>CHOOSE( CONTROL!$C$32, 11.7661, 11.7656) * CHOOSE( CONTROL!$C$15, $D$11, 100%, $F$11)</f>
        <v>11.7661</v>
      </c>
      <c r="H418" s="4">
        <f>CHOOSE( CONTROL!$C$32, 12.7054, 12.7049) * CHOOSE(CONTROL!$C$15, $D$11, 100%, $F$11)</f>
        <v>12.705399999999999</v>
      </c>
      <c r="I418" s="8">
        <f>CHOOSE( CONTROL!$C$32, 11.6247, 11.6243) * CHOOSE(CONTROL!$C$15, $D$11, 100%, $F$11)</f>
        <v>11.624700000000001</v>
      </c>
      <c r="J418" s="4">
        <f>CHOOSE( CONTROL!$C$32, 11.5376, 11.5371) * CHOOSE(CONTROL!$C$15, $D$11, 100%, $F$11)</f>
        <v>11.537599999999999</v>
      </c>
      <c r="K418" s="4"/>
      <c r="L418" s="9">
        <v>29.7257</v>
      </c>
      <c r="M418" s="9">
        <v>11.6745</v>
      </c>
      <c r="N418" s="9">
        <v>4.7850000000000001</v>
      </c>
      <c r="O418" s="9">
        <v>0.36199999999999999</v>
      </c>
      <c r="P418" s="9">
        <v>1.2509999999999999</v>
      </c>
      <c r="Q418" s="9">
        <v>19.6128</v>
      </c>
      <c r="R418" s="9"/>
      <c r="S418" s="11"/>
    </row>
    <row r="419" spans="1:19" ht="15.75">
      <c r="A419" s="13">
        <v>53904</v>
      </c>
      <c r="B419" s="8">
        <f>CHOOSE( CONTROL!$C$32, 12.411, 12.4105) * CHOOSE(CONTROL!$C$15, $D$11, 100%, $F$11)</f>
        <v>12.411</v>
      </c>
      <c r="C419" s="8">
        <f>CHOOSE( CONTROL!$C$32, 12.4189, 12.4185) * CHOOSE(CONTROL!$C$15, $D$11, 100%, $F$11)</f>
        <v>12.418900000000001</v>
      </c>
      <c r="D419" s="8">
        <f>CHOOSE( CONTROL!$C$32, 12.4141, 12.4136) * CHOOSE( CONTROL!$C$15, $D$11, 100%, $F$11)</f>
        <v>12.414099999999999</v>
      </c>
      <c r="E419" s="12">
        <f>CHOOSE( CONTROL!$C$32, 12.4146, 12.4142) * CHOOSE( CONTROL!$C$15, $D$11, 100%, $F$11)</f>
        <v>12.4146</v>
      </c>
      <c r="F419" s="4">
        <f>CHOOSE( CONTROL!$C$32, 13.1179, 13.1175) * CHOOSE(CONTROL!$C$15, $D$11, 100%, $F$11)</f>
        <v>13.117900000000001</v>
      </c>
      <c r="G419" s="8">
        <f>CHOOSE( CONTROL!$C$32, 12.272, 12.2716) * CHOOSE( CONTROL!$C$15, $D$11, 100%, $F$11)</f>
        <v>12.272</v>
      </c>
      <c r="H419" s="4">
        <f>CHOOSE( CONTROL!$C$32, 13.2109, 13.2105) * CHOOSE(CONTROL!$C$15, $D$11, 100%, $F$11)</f>
        <v>13.210900000000001</v>
      </c>
      <c r="I419" s="8">
        <f>CHOOSE( CONTROL!$C$32, 12.1229, 12.1225) * CHOOSE(CONTROL!$C$15, $D$11, 100%, $F$11)</f>
        <v>12.1229</v>
      </c>
      <c r="J419" s="4">
        <f>CHOOSE( CONTROL!$C$32, 12.034, 12.0336) * CHOOSE(CONTROL!$C$15, $D$11, 100%, $F$11)</f>
        <v>12.034000000000001</v>
      </c>
      <c r="K419" s="4"/>
      <c r="L419" s="9">
        <v>30.7165</v>
      </c>
      <c r="M419" s="9">
        <v>12.063700000000001</v>
      </c>
      <c r="N419" s="9">
        <v>4.9444999999999997</v>
      </c>
      <c r="O419" s="9">
        <v>0.37409999999999999</v>
      </c>
      <c r="P419" s="9">
        <v>1.2927</v>
      </c>
      <c r="Q419" s="9">
        <v>20.2666</v>
      </c>
      <c r="R419" s="9"/>
      <c r="S419" s="11"/>
    </row>
    <row r="420" spans="1:19" ht="15.75">
      <c r="A420" s="13">
        <v>53935</v>
      </c>
      <c r="B420" s="8">
        <f>CHOOSE( CONTROL!$C$32, 11.4538, 11.4534) * CHOOSE(CONTROL!$C$15, $D$11, 100%, $F$11)</f>
        <v>11.453799999999999</v>
      </c>
      <c r="C420" s="8">
        <f>CHOOSE( CONTROL!$C$32, 11.4618, 11.4613) * CHOOSE(CONTROL!$C$15, $D$11, 100%, $F$11)</f>
        <v>11.4618</v>
      </c>
      <c r="D420" s="8">
        <f>CHOOSE( CONTROL!$C$32, 11.4571, 11.4566) * CHOOSE( CONTROL!$C$15, $D$11, 100%, $F$11)</f>
        <v>11.457100000000001</v>
      </c>
      <c r="E420" s="12">
        <f>CHOOSE( CONTROL!$C$32, 11.4576, 11.4571) * CHOOSE( CONTROL!$C$15, $D$11, 100%, $F$11)</f>
        <v>11.457599999999999</v>
      </c>
      <c r="F420" s="4">
        <f>CHOOSE( CONTROL!$C$32, 12.1608, 12.1603) * CHOOSE(CONTROL!$C$15, $D$11, 100%, $F$11)</f>
        <v>12.1608</v>
      </c>
      <c r="G420" s="8">
        <f>CHOOSE( CONTROL!$C$32, 11.3262, 11.3257) * CHOOSE( CONTROL!$C$15, $D$11, 100%, $F$11)</f>
        <v>11.3262</v>
      </c>
      <c r="H420" s="4">
        <f>CHOOSE( CONTROL!$C$32, 12.265, 12.2645) * CHOOSE(CONTROL!$C$15, $D$11, 100%, $F$11)</f>
        <v>12.265000000000001</v>
      </c>
      <c r="I420" s="8">
        <f>CHOOSE( CONTROL!$C$32, 11.194, 11.1936) * CHOOSE(CONTROL!$C$15, $D$11, 100%, $F$11)</f>
        <v>11.194000000000001</v>
      </c>
      <c r="J420" s="4">
        <f>CHOOSE( CONTROL!$C$32, 11.1051, 11.1047) * CHOOSE(CONTROL!$C$15, $D$11, 100%, $F$11)</f>
        <v>11.1051</v>
      </c>
      <c r="K420" s="4"/>
      <c r="L420" s="9">
        <v>30.7165</v>
      </c>
      <c r="M420" s="9">
        <v>12.063700000000001</v>
      </c>
      <c r="N420" s="9">
        <v>4.9444999999999997</v>
      </c>
      <c r="O420" s="9">
        <v>0.37409999999999999</v>
      </c>
      <c r="P420" s="9">
        <v>1.2927</v>
      </c>
      <c r="Q420" s="9">
        <v>20.2666</v>
      </c>
      <c r="R420" s="9"/>
      <c r="S420" s="11"/>
    </row>
    <row r="421" spans="1:19" ht="15.75">
      <c r="A421" s="13">
        <v>53965</v>
      </c>
      <c r="B421" s="8">
        <f>CHOOSE( CONTROL!$C$32, 11.2141, 11.2137) * CHOOSE(CONTROL!$C$15, $D$11, 100%, $F$11)</f>
        <v>11.2141</v>
      </c>
      <c r="C421" s="8">
        <f>CHOOSE( CONTROL!$C$32, 11.2221, 11.2217) * CHOOSE(CONTROL!$C$15, $D$11, 100%, $F$11)</f>
        <v>11.222099999999999</v>
      </c>
      <c r="D421" s="8">
        <f>CHOOSE( CONTROL!$C$32, 11.2173, 11.2168) * CHOOSE( CONTROL!$C$15, $D$11, 100%, $F$11)</f>
        <v>11.2173</v>
      </c>
      <c r="E421" s="12">
        <f>CHOOSE( CONTROL!$C$32, 11.2178, 11.2174) * CHOOSE( CONTROL!$C$15, $D$11, 100%, $F$11)</f>
        <v>11.2178</v>
      </c>
      <c r="F421" s="4">
        <f>CHOOSE( CONTROL!$C$32, 11.9211, 11.9206) * CHOOSE(CONTROL!$C$15, $D$11, 100%, $F$11)</f>
        <v>11.921099999999999</v>
      </c>
      <c r="G421" s="8">
        <f>CHOOSE( CONTROL!$C$32, 11.0892, 11.0887) * CHOOSE( CONTROL!$C$15, $D$11, 100%, $F$11)</f>
        <v>11.0892</v>
      </c>
      <c r="H421" s="4">
        <f>CHOOSE( CONTROL!$C$32, 12.0281, 12.0277) * CHOOSE(CONTROL!$C$15, $D$11, 100%, $F$11)</f>
        <v>12.0281</v>
      </c>
      <c r="I421" s="8">
        <f>CHOOSE( CONTROL!$C$32, 10.9608, 10.9603) * CHOOSE(CONTROL!$C$15, $D$11, 100%, $F$11)</f>
        <v>10.960800000000001</v>
      </c>
      <c r="J421" s="4">
        <f>CHOOSE( CONTROL!$C$32, 10.8725, 10.8721) * CHOOSE(CONTROL!$C$15, $D$11, 100%, $F$11)</f>
        <v>10.8725</v>
      </c>
      <c r="K421" s="4"/>
      <c r="L421" s="9">
        <v>29.7257</v>
      </c>
      <c r="M421" s="9">
        <v>11.6745</v>
      </c>
      <c r="N421" s="9">
        <v>4.7850000000000001</v>
      </c>
      <c r="O421" s="9">
        <v>0.36199999999999999</v>
      </c>
      <c r="P421" s="9">
        <v>1.2509999999999999</v>
      </c>
      <c r="Q421" s="9">
        <v>19.6128</v>
      </c>
      <c r="R421" s="9"/>
      <c r="S421" s="11"/>
    </row>
    <row r="422" spans="1:19" ht="15.75">
      <c r="A422" s="13">
        <v>53996</v>
      </c>
      <c r="B422" s="8">
        <f>CHOOSE( CONTROL!$C$32, 11.7099, 11.7096) * CHOOSE(CONTROL!$C$15, $D$11, 100%, $F$11)</f>
        <v>11.709899999999999</v>
      </c>
      <c r="C422" s="8">
        <f>CHOOSE( CONTROL!$C$32, 11.7152, 11.715) * CHOOSE(CONTROL!$C$15, $D$11, 100%, $F$11)</f>
        <v>11.715199999999999</v>
      </c>
      <c r="D422" s="8">
        <f>CHOOSE( CONTROL!$C$32, 11.7154, 11.7152) * CHOOSE( CONTROL!$C$15, $D$11, 100%, $F$11)</f>
        <v>11.715400000000001</v>
      </c>
      <c r="E422" s="12">
        <f>CHOOSE( CONTROL!$C$32, 11.7148, 11.7146) * CHOOSE( CONTROL!$C$15, $D$11, 100%, $F$11)</f>
        <v>11.7148</v>
      </c>
      <c r="F422" s="4">
        <f>CHOOSE( CONTROL!$C$32, 12.4186, 12.4183) * CHOOSE(CONTROL!$C$15, $D$11, 100%, $F$11)</f>
        <v>12.4186</v>
      </c>
      <c r="G422" s="8">
        <f>CHOOSE( CONTROL!$C$32, 11.5808, 11.5805) * CHOOSE( CONTROL!$C$15, $D$11, 100%, $F$11)</f>
        <v>11.5808</v>
      </c>
      <c r="H422" s="4">
        <f>CHOOSE( CONTROL!$C$32, 12.5198, 12.5195) * CHOOSE(CONTROL!$C$15, $D$11, 100%, $F$11)</f>
        <v>12.5198</v>
      </c>
      <c r="I422" s="8">
        <f>CHOOSE( CONTROL!$C$32, 11.4445, 11.4443) * CHOOSE(CONTROL!$C$15, $D$11, 100%, $F$11)</f>
        <v>11.4445</v>
      </c>
      <c r="J422" s="4">
        <f>CHOOSE( CONTROL!$C$32, 11.3553, 11.355) * CHOOSE(CONTROL!$C$15, $D$11, 100%, $F$11)</f>
        <v>11.3553</v>
      </c>
      <c r="K422" s="4"/>
      <c r="L422" s="9">
        <v>31.095300000000002</v>
      </c>
      <c r="M422" s="9">
        <v>12.063700000000001</v>
      </c>
      <c r="N422" s="9">
        <v>4.9444999999999997</v>
      </c>
      <c r="O422" s="9">
        <v>0.37409999999999999</v>
      </c>
      <c r="P422" s="9">
        <v>1.2927</v>
      </c>
      <c r="Q422" s="9">
        <v>20.2666</v>
      </c>
      <c r="R422" s="9"/>
      <c r="S422" s="11"/>
    </row>
    <row r="423" spans="1:19" ht="15.75">
      <c r="A423" s="13">
        <v>54026</v>
      </c>
      <c r="B423" s="8">
        <f>CHOOSE( CONTROL!$C$32, 12.6281, 12.6278) * CHOOSE(CONTROL!$C$15, $D$11, 100%, $F$11)</f>
        <v>12.6281</v>
      </c>
      <c r="C423" s="8">
        <f>CHOOSE( CONTROL!$C$32, 12.6331, 12.6329) * CHOOSE(CONTROL!$C$15, $D$11, 100%, $F$11)</f>
        <v>12.633100000000001</v>
      </c>
      <c r="D423" s="8">
        <f>CHOOSE( CONTROL!$C$32, 12.601, 12.6007) * CHOOSE( CONTROL!$C$15, $D$11, 100%, $F$11)</f>
        <v>12.601000000000001</v>
      </c>
      <c r="E423" s="12">
        <f>CHOOSE( CONTROL!$C$32, 12.6122, 12.6119) * CHOOSE( CONTROL!$C$15, $D$11, 100%, $F$11)</f>
        <v>12.6122</v>
      </c>
      <c r="F423" s="4">
        <f>CHOOSE( CONTROL!$C$32, 13.2933, 13.2931) * CHOOSE(CONTROL!$C$15, $D$11, 100%, $F$11)</f>
        <v>13.2933</v>
      </c>
      <c r="G423" s="8">
        <f>CHOOSE( CONTROL!$C$32, 12.4775, 12.4773) * CHOOSE( CONTROL!$C$15, $D$11, 100%, $F$11)</f>
        <v>12.477499999999999</v>
      </c>
      <c r="H423" s="4">
        <f>CHOOSE( CONTROL!$C$32, 13.3843, 13.384) * CHOOSE(CONTROL!$C$15, $D$11, 100%, $F$11)</f>
        <v>13.3843</v>
      </c>
      <c r="I423" s="8">
        <f>CHOOSE( CONTROL!$C$32, 12.3873, 12.387) * CHOOSE(CONTROL!$C$15, $D$11, 100%, $F$11)</f>
        <v>12.3873</v>
      </c>
      <c r="J423" s="4">
        <f>CHOOSE( CONTROL!$C$32, 12.2468, 12.2465) * CHOOSE(CONTROL!$C$15, $D$11, 100%, $F$11)</f>
        <v>12.2468</v>
      </c>
      <c r="K423" s="4"/>
      <c r="L423" s="9">
        <v>28.360600000000002</v>
      </c>
      <c r="M423" s="9">
        <v>11.6745</v>
      </c>
      <c r="N423" s="9">
        <v>4.7850000000000001</v>
      </c>
      <c r="O423" s="9">
        <v>0.36199999999999999</v>
      </c>
      <c r="P423" s="9">
        <v>1.2509999999999999</v>
      </c>
      <c r="Q423" s="9">
        <v>19.6128</v>
      </c>
      <c r="R423" s="9"/>
      <c r="S423" s="11"/>
    </row>
    <row r="424" spans="1:19" ht="15.75">
      <c r="A424" s="13">
        <v>54057</v>
      </c>
      <c r="B424" s="8">
        <f>CHOOSE( CONTROL!$C$32, 12.6051, 12.6048) * CHOOSE(CONTROL!$C$15, $D$11, 100%, $F$11)</f>
        <v>12.6051</v>
      </c>
      <c r="C424" s="8">
        <f>CHOOSE( CONTROL!$C$32, 12.6102, 12.6099) * CHOOSE(CONTROL!$C$15, $D$11, 100%, $F$11)</f>
        <v>12.610200000000001</v>
      </c>
      <c r="D424" s="8">
        <f>CHOOSE( CONTROL!$C$32, 12.5799, 12.5796) * CHOOSE( CONTROL!$C$15, $D$11, 100%, $F$11)</f>
        <v>12.5799</v>
      </c>
      <c r="E424" s="12">
        <f>CHOOSE( CONTROL!$C$32, 12.5904, 12.5901) * CHOOSE( CONTROL!$C$15, $D$11, 100%, $F$11)</f>
        <v>12.590400000000001</v>
      </c>
      <c r="F424" s="4">
        <f>CHOOSE( CONTROL!$C$32, 13.2704, 13.2701) * CHOOSE(CONTROL!$C$15, $D$11, 100%, $F$11)</f>
        <v>13.2704</v>
      </c>
      <c r="G424" s="8">
        <f>CHOOSE( CONTROL!$C$32, 12.4562, 12.4559) * CHOOSE( CONTROL!$C$15, $D$11, 100%, $F$11)</f>
        <v>12.456200000000001</v>
      </c>
      <c r="H424" s="4">
        <f>CHOOSE( CONTROL!$C$32, 13.3616, 13.3614) * CHOOSE(CONTROL!$C$15, $D$11, 100%, $F$11)</f>
        <v>13.361599999999999</v>
      </c>
      <c r="I424" s="8">
        <f>CHOOSE( CONTROL!$C$32, 12.3707, 12.3704) * CHOOSE(CONTROL!$C$15, $D$11, 100%, $F$11)</f>
        <v>12.370699999999999</v>
      </c>
      <c r="J424" s="4">
        <f>CHOOSE( CONTROL!$C$32, 12.2245, 12.2242) * CHOOSE(CONTROL!$C$15, $D$11, 100%, $F$11)</f>
        <v>12.224500000000001</v>
      </c>
      <c r="K424" s="4"/>
      <c r="L424" s="9">
        <v>29.306000000000001</v>
      </c>
      <c r="M424" s="9">
        <v>12.063700000000001</v>
      </c>
      <c r="N424" s="9">
        <v>4.9444999999999997</v>
      </c>
      <c r="O424" s="9">
        <v>0.37409999999999999</v>
      </c>
      <c r="P424" s="9">
        <v>1.2927</v>
      </c>
      <c r="Q424" s="9">
        <v>20.2666</v>
      </c>
      <c r="R424" s="9"/>
      <c r="S424" s="11"/>
    </row>
    <row r="425" spans="1:19" ht="15.75">
      <c r="A425" s="13">
        <v>54088</v>
      </c>
      <c r="B425" s="8">
        <f>CHOOSE( CONTROL!$C$32, 12.9766, 12.9764) * CHOOSE(CONTROL!$C$15, $D$11, 100%, $F$11)</f>
        <v>12.976599999999999</v>
      </c>
      <c r="C425" s="8">
        <f>CHOOSE( CONTROL!$C$32, 12.9817, 12.9815) * CHOOSE(CONTROL!$C$15, $D$11, 100%, $F$11)</f>
        <v>12.9817</v>
      </c>
      <c r="D425" s="8">
        <f>CHOOSE( CONTROL!$C$32, 12.9794, 12.9791) * CHOOSE( CONTROL!$C$15, $D$11, 100%, $F$11)</f>
        <v>12.9794</v>
      </c>
      <c r="E425" s="12">
        <f>CHOOSE( CONTROL!$C$32, 12.9797, 12.9794) * CHOOSE( CONTROL!$C$15, $D$11, 100%, $F$11)</f>
        <v>12.979699999999999</v>
      </c>
      <c r="F425" s="4">
        <f>CHOOSE( CONTROL!$C$32, 13.6419, 13.6417) * CHOOSE(CONTROL!$C$15, $D$11, 100%, $F$11)</f>
        <v>13.6419</v>
      </c>
      <c r="G425" s="8">
        <f>CHOOSE( CONTROL!$C$32, 12.8395, 12.8392) * CHOOSE( CONTROL!$C$15, $D$11, 100%, $F$11)</f>
        <v>12.839499999999999</v>
      </c>
      <c r="H425" s="4">
        <f>CHOOSE( CONTROL!$C$32, 13.7288, 13.7285) * CHOOSE(CONTROL!$C$15, $D$11, 100%, $F$11)</f>
        <v>13.7288</v>
      </c>
      <c r="I425" s="8">
        <f>CHOOSE( CONTROL!$C$32, 12.705, 12.7047) * CHOOSE(CONTROL!$C$15, $D$11, 100%, $F$11)</f>
        <v>12.705</v>
      </c>
      <c r="J425" s="4">
        <f>CHOOSE( CONTROL!$C$32, 12.5851, 12.5848) * CHOOSE(CONTROL!$C$15, $D$11, 100%, $F$11)</f>
        <v>12.585100000000001</v>
      </c>
      <c r="K425" s="4"/>
      <c r="L425" s="9">
        <v>29.306000000000001</v>
      </c>
      <c r="M425" s="9">
        <v>12.063700000000001</v>
      </c>
      <c r="N425" s="9">
        <v>4.9444999999999997</v>
      </c>
      <c r="O425" s="9">
        <v>0.37409999999999999</v>
      </c>
      <c r="P425" s="9">
        <v>1.2927</v>
      </c>
      <c r="Q425" s="9">
        <v>20.201499999999999</v>
      </c>
      <c r="R425" s="9"/>
      <c r="S425" s="11"/>
    </row>
    <row r="426" spans="1:19" ht="15.75">
      <c r="A426" s="13">
        <v>54116</v>
      </c>
      <c r="B426" s="8">
        <f>CHOOSE( CONTROL!$C$32, 12.1383, 12.1381) * CHOOSE(CONTROL!$C$15, $D$11, 100%, $F$11)</f>
        <v>12.138299999999999</v>
      </c>
      <c r="C426" s="8">
        <f>CHOOSE( CONTROL!$C$32, 12.1434, 12.1431) * CHOOSE(CONTROL!$C$15, $D$11, 100%, $F$11)</f>
        <v>12.1434</v>
      </c>
      <c r="D426" s="8">
        <f>CHOOSE( CONTROL!$C$32, 12.1234, 12.1231) * CHOOSE( CONTROL!$C$15, $D$11, 100%, $F$11)</f>
        <v>12.1234</v>
      </c>
      <c r="E426" s="12">
        <f>CHOOSE( CONTROL!$C$32, 12.1302, 12.1299) * CHOOSE( CONTROL!$C$15, $D$11, 100%, $F$11)</f>
        <v>12.1302</v>
      </c>
      <c r="F426" s="4">
        <f>CHOOSE( CONTROL!$C$32, 12.8036, 12.8033) * CHOOSE(CONTROL!$C$15, $D$11, 100%, $F$11)</f>
        <v>12.803599999999999</v>
      </c>
      <c r="G426" s="8">
        <f>CHOOSE( CONTROL!$C$32, 11.9999, 11.9996) * CHOOSE( CONTROL!$C$15, $D$11, 100%, $F$11)</f>
        <v>11.9999</v>
      </c>
      <c r="H426" s="4">
        <f>CHOOSE( CONTROL!$C$32, 12.9003, 12.9) * CHOOSE(CONTROL!$C$15, $D$11, 100%, $F$11)</f>
        <v>12.9003</v>
      </c>
      <c r="I426" s="8">
        <f>CHOOSE( CONTROL!$C$32, 11.8914, 11.8911) * CHOOSE(CONTROL!$C$15, $D$11, 100%, $F$11)</f>
        <v>11.891400000000001</v>
      </c>
      <c r="J426" s="4">
        <f>CHOOSE( CONTROL!$C$32, 11.7715, 11.7712) * CHOOSE(CONTROL!$C$15, $D$11, 100%, $F$11)</f>
        <v>11.7715</v>
      </c>
      <c r="K426" s="4"/>
      <c r="L426" s="9">
        <v>27.415299999999998</v>
      </c>
      <c r="M426" s="9">
        <v>11.285299999999999</v>
      </c>
      <c r="N426" s="9">
        <v>4.6254999999999997</v>
      </c>
      <c r="O426" s="9">
        <v>0.34989999999999999</v>
      </c>
      <c r="P426" s="9">
        <v>1.2093</v>
      </c>
      <c r="Q426" s="9">
        <v>18.898099999999999</v>
      </c>
      <c r="R426" s="9"/>
      <c r="S426" s="11"/>
    </row>
    <row r="427" spans="1:19" ht="15.75">
      <c r="A427" s="13">
        <v>54148</v>
      </c>
      <c r="B427" s="8">
        <f>CHOOSE( CONTROL!$C$32, 11.8801, 11.8799) * CHOOSE(CONTROL!$C$15, $D$11, 100%, $F$11)</f>
        <v>11.880100000000001</v>
      </c>
      <c r="C427" s="8">
        <f>CHOOSE( CONTROL!$C$32, 11.8852, 11.8849) * CHOOSE(CONTROL!$C$15, $D$11, 100%, $F$11)</f>
        <v>11.885199999999999</v>
      </c>
      <c r="D427" s="8">
        <f>CHOOSE( CONTROL!$C$32, 11.8552, 11.855) * CHOOSE( CONTROL!$C$15, $D$11, 100%, $F$11)</f>
        <v>11.8552</v>
      </c>
      <c r="E427" s="12">
        <f>CHOOSE( CONTROL!$C$32, 11.8656, 11.8654) * CHOOSE( CONTROL!$C$15, $D$11, 100%, $F$11)</f>
        <v>11.865600000000001</v>
      </c>
      <c r="F427" s="4">
        <f>CHOOSE( CONTROL!$C$32, 12.5454, 12.5451) * CHOOSE(CONTROL!$C$15, $D$11, 100%, $F$11)</f>
        <v>12.545400000000001</v>
      </c>
      <c r="G427" s="8">
        <f>CHOOSE( CONTROL!$C$32, 11.7315, 11.7312) * CHOOSE( CONTROL!$C$15, $D$11, 100%, $F$11)</f>
        <v>11.7315</v>
      </c>
      <c r="H427" s="4">
        <f>CHOOSE( CONTROL!$C$32, 12.6451, 12.6449) * CHOOSE(CONTROL!$C$15, $D$11, 100%, $F$11)</f>
        <v>12.645099999999999</v>
      </c>
      <c r="I427" s="8">
        <f>CHOOSE( CONTROL!$C$32, 11.6055, 11.6052) * CHOOSE(CONTROL!$C$15, $D$11, 100%, $F$11)</f>
        <v>11.605499999999999</v>
      </c>
      <c r="J427" s="4">
        <f>CHOOSE( CONTROL!$C$32, 11.5209, 11.5207) * CHOOSE(CONTROL!$C$15, $D$11, 100%, $F$11)</f>
        <v>11.520899999999999</v>
      </c>
      <c r="K427" s="4"/>
      <c r="L427" s="9">
        <v>29.306000000000001</v>
      </c>
      <c r="M427" s="9">
        <v>12.063700000000001</v>
      </c>
      <c r="N427" s="9">
        <v>4.9444999999999997</v>
      </c>
      <c r="O427" s="9">
        <v>0.37409999999999999</v>
      </c>
      <c r="P427" s="9">
        <v>1.2927</v>
      </c>
      <c r="Q427" s="9">
        <v>20.201499999999999</v>
      </c>
      <c r="R427" s="9"/>
      <c r="S427" s="11"/>
    </row>
    <row r="428" spans="1:19" ht="15.75">
      <c r="A428" s="13">
        <v>54178</v>
      </c>
      <c r="B428" s="8">
        <f>CHOOSE( CONTROL!$C$32, 12.0613, 12.061) * CHOOSE(CONTROL!$C$15, $D$11, 100%, $F$11)</f>
        <v>12.061299999999999</v>
      </c>
      <c r="C428" s="8">
        <f>CHOOSE( CONTROL!$C$32, 12.0658, 12.0656) * CHOOSE(CONTROL!$C$15, $D$11, 100%, $F$11)</f>
        <v>12.065799999999999</v>
      </c>
      <c r="D428" s="8">
        <f>CHOOSE( CONTROL!$C$32, 12.0653, 12.0651) * CHOOSE( CONTROL!$C$15, $D$11, 100%, $F$11)</f>
        <v>12.065300000000001</v>
      </c>
      <c r="E428" s="12">
        <f>CHOOSE( CONTROL!$C$32, 12.065, 12.0647) * CHOOSE( CONTROL!$C$15, $D$11, 100%, $F$11)</f>
        <v>12.065</v>
      </c>
      <c r="F428" s="4">
        <f>CHOOSE( CONTROL!$C$32, 12.7696, 12.7694) * CHOOSE(CONTROL!$C$15, $D$11, 100%, $F$11)</f>
        <v>12.769600000000001</v>
      </c>
      <c r="G428" s="8">
        <f>CHOOSE( CONTROL!$C$32, 11.9268, 11.9265) * CHOOSE( CONTROL!$C$15, $D$11, 100%, $F$11)</f>
        <v>11.9268</v>
      </c>
      <c r="H428" s="4">
        <f>CHOOSE( CONTROL!$C$32, 12.8667, 12.8665) * CHOOSE(CONTROL!$C$15, $D$11, 100%, $F$11)</f>
        <v>12.8667</v>
      </c>
      <c r="I428" s="8">
        <f>CHOOSE( CONTROL!$C$32, 11.7812, 11.781) * CHOOSE(CONTROL!$C$15, $D$11, 100%, $F$11)</f>
        <v>11.7812</v>
      </c>
      <c r="J428" s="4">
        <f>CHOOSE( CONTROL!$C$32, 11.696, 11.6958) * CHOOSE(CONTROL!$C$15, $D$11, 100%, $F$11)</f>
        <v>11.696</v>
      </c>
      <c r="K428" s="4"/>
      <c r="L428" s="9">
        <v>30.092199999999998</v>
      </c>
      <c r="M428" s="9">
        <v>11.6745</v>
      </c>
      <c r="N428" s="9">
        <v>4.7850000000000001</v>
      </c>
      <c r="O428" s="9">
        <v>0.36199999999999999</v>
      </c>
      <c r="P428" s="9">
        <v>1.2509999999999999</v>
      </c>
      <c r="Q428" s="9">
        <v>19.549800000000001</v>
      </c>
      <c r="R428" s="9"/>
      <c r="S428" s="11"/>
    </row>
    <row r="429" spans="1:19" ht="15.75">
      <c r="A429" s="13">
        <v>54209</v>
      </c>
      <c r="B429" s="8">
        <f>CHOOSE( CONTROL!$C$32, 12.384, 12.3835) * CHOOSE(CONTROL!$C$15, $D$11, 100%, $F$11)</f>
        <v>12.384</v>
      </c>
      <c r="C429" s="8">
        <f>CHOOSE( CONTROL!$C$32, 12.392, 12.3915) * CHOOSE(CONTROL!$C$15, $D$11, 100%, $F$11)</f>
        <v>12.391999999999999</v>
      </c>
      <c r="D429" s="8">
        <f>CHOOSE( CONTROL!$C$32, 12.3863, 12.3858) * CHOOSE( CONTROL!$C$15, $D$11, 100%, $F$11)</f>
        <v>12.3863</v>
      </c>
      <c r="E429" s="12">
        <f>CHOOSE( CONTROL!$C$32, 12.3871, 12.3866) * CHOOSE( CONTROL!$C$15, $D$11, 100%, $F$11)</f>
        <v>12.3871</v>
      </c>
      <c r="F429" s="4">
        <f>CHOOSE( CONTROL!$C$32, 13.0909, 13.0905) * CHOOSE(CONTROL!$C$15, $D$11, 100%, $F$11)</f>
        <v>13.0909</v>
      </c>
      <c r="G429" s="8">
        <f>CHOOSE( CONTROL!$C$32, 12.2446, 12.2442) * CHOOSE( CONTROL!$C$15, $D$11, 100%, $F$11)</f>
        <v>12.2446</v>
      </c>
      <c r="H429" s="4">
        <f>CHOOSE( CONTROL!$C$32, 13.1843, 13.1838) * CHOOSE(CONTROL!$C$15, $D$11, 100%, $F$11)</f>
        <v>13.1843</v>
      </c>
      <c r="I429" s="8">
        <f>CHOOSE( CONTROL!$C$32, 12.0938, 12.0933) * CHOOSE(CONTROL!$C$15, $D$11, 100%, $F$11)</f>
        <v>12.0938</v>
      </c>
      <c r="J429" s="4">
        <f>CHOOSE( CONTROL!$C$32, 12.0078, 12.0074) * CHOOSE(CONTROL!$C$15, $D$11, 100%, $F$11)</f>
        <v>12.0078</v>
      </c>
      <c r="K429" s="4"/>
      <c r="L429" s="9">
        <v>30.7165</v>
      </c>
      <c r="M429" s="9">
        <v>12.063700000000001</v>
      </c>
      <c r="N429" s="9">
        <v>4.9444999999999997</v>
      </c>
      <c r="O429" s="9">
        <v>0.37409999999999999</v>
      </c>
      <c r="P429" s="9">
        <v>1.2927</v>
      </c>
      <c r="Q429" s="9">
        <v>20.201499999999999</v>
      </c>
      <c r="R429" s="9"/>
      <c r="S429" s="11"/>
    </row>
    <row r="430" spans="1:19" ht="15.75">
      <c r="A430" s="13">
        <v>54239</v>
      </c>
      <c r="B430" s="8">
        <f>CHOOSE( CONTROL!$C$32, 12.1851, 12.1846) * CHOOSE(CONTROL!$C$15, $D$11, 100%, $F$11)</f>
        <v>12.1851</v>
      </c>
      <c r="C430" s="8">
        <f>CHOOSE( CONTROL!$C$32, 12.193, 12.1926) * CHOOSE(CONTROL!$C$15, $D$11, 100%, $F$11)</f>
        <v>12.193</v>
      </c>
      <c r="D430" s="8">
        <f>CHOOSE( CONTROL!$C$32, 12.1877, 12.1873) * CHOOSE( CONTROL!$C$15, $D$11, 100%, $F$11)</f>
        <v>12.1877</v>
      </c>
      <c r="E430" s="12">
        <f>CHOOSE( CONTROL!$C$32, 12.1884, 12.188) * CHOOSE( CONTROL!$C$15, $D$11, 100%, $F$11)</f>
        <v>12.1884</v>
      </c>
      <c r="F430" s="4">
        <f>CHOOSE( CONTROL!$C$32, 12.892, 12.8916) * CHOOSE(CONTROL!$C$15, $D$11, 100%, $F$11)</f>
        <v>12.891999999999999</v>
      </c>
      <c r="G430" s="8">
        <f>CHOOSE( CONTROL!$C$32, 12.0484, 12.0479) * CHOOSE( CONTROL!$C$15, $D$11, 100%, $F$11)</f>
        <v>12.048400000000001</v>
      </c>
      <c r="H430" s="4">
        <f>CHOOSE( CONTROL!$C$32, 12.9877, 12.9872) * CHOOSE(CONTROL!$C$15, $D$11, 100%, $F$11)</f>
        <v>12.9877</v>
      </c>
      <c r="I430" s="8">
        <f>CHOOSE( CONTROL!$C$32, 11.902, 11.9016) * CHOOSE(CONTROL!$C$15, $D$11, 100%, $F$11)</f>
        <v>11.901999999999999</v>
      </c>
      <c r="J430" s="4">
        <f>CHOOSE( CONTROL!$C$32, 11.8148, 11.8143) * CHOOSE(CONTROL!$C$15, $D$11, 100%, $F$11)</f>
        <v>11.8148</v>
      </c>
      <c r="K430" s="4"/>
      <c r="L430" s="9">
        <v>29.7257</v>
      </c>
      <c r="M430" s="9">
        <v>11.6745</v>
      </c>
      <c r="N430" s="9">
        <v>4.7850000000000001</v>
      </c>
      <c r="O430" s="9">
        <v>0.36199999999999999</v>
      </c>
      <c r="P430" s="9">
        <v>1.2509999999999999</v>
      </c>
      <c r="Q430" s="9">
        <v>19.549800000000001</v>
      </c>
      <c r="R430" s="9"/>
      <c r="S430" s="11"/>
    </row>
    <row r="431" spans="1:19" ht="15.75">
      <c r="A431" s="13">
        <v>54270</v>
      </c>
      <c r="B431" s="8">
        <f>CHOOSE( CONTROL!$C$32, 12.7089, 12.7084) * CHOOSE(CONTROL!$C$15, $D$11, 100%, $F$11)</f>
        <v>12.7089</v>
      </c>
      <c r="C431" s="8">
        <f>CHOOSE( CONTROL!$C$32, 12.7169, 12.7164) * CHOOSE(CONTROL!$C$15, $D$11, 100%, $F$11)</f>
        <v>12.716900000000001</v>
      </c>
      <c r="D431" s="8">
        <f>CHOOSE( CONTROL!$C$32, 12.712, 12.7116) * CHOOSE( CONTROL!$C$15, $D$11, 100%, $F$11)</f>
        <v>12.712</v>
      </c>
      <c r="E431" s="12">
        <f>CHOOSE( CONTROL!$C$32, 12.7126, 12.7121) * CHOOSE( CONTROL!$C$15, $D$11, 100%, $F$11)</f>
        <v>12.7126</v>
      </c>
      <c r="F431" s="4">
        <f>CHOOSE( CONTROL!$C$32, 13.4158, 13.4154) * CHOOSE(CONTROL!$C$15, $D$11, 100%, $F$11)</f>
        <v>13.415800000000001</v>
      </c>
      <c r="G431" s="8">
        <f>CHOOSE( CONTROL!$C$32, 12.5664, 12.566) * CHOOSE( CONTROL!$C$15, $D$11, 100%, $F$11)</f>
        <v>12.5664</v>
      </c>
      <c r="H431" s="4">
        <f>CHOOSE( CONTROL!$C$32, 13.5054, 13.5049) * CHOOSE(CONTROL!$C$15, $D$11, 100%, $F$11)</f>
        <v>13.5054</v>
      </c>
      <c r="I431" s="8">
        <f>CHOOSE( CONTROL!$C$32, 12.4122, 12.4118) * CHOOSE(CONTROL!$C$15, $D$11, 100%, $F$11)</f>
        <v>12.4122</v>
      </c>
      <c r="J431" s="4">
        <f>CHOOSE( CONTROL!$C$32, 12.3232, 12.3227) * CHOOSE(CONTROL!$C$15, $D$11, 100%, $F$11)</f>
        <v>12.3232</v>
      </c>
      <c r="K431" s="4"/>
      <c r="L431" s="9">
        <v>30.7165</v>
      </c>
      <c r="M431" s="9">
        <v>12.063700000000001</v>
      </c>
      <c r="N431" s="9">
        <v>4.9444999999999997</v>
      </c>
      <c r="O431" s="9">
        <v>0.37409999999999999</v>
      </c>
      <c r="P431" s="9">
        <v>1.2927</v>
      </c>
      <c r="Q431" s="9">
        <v>20.201499999999999</v>
      </c>
      <c r="R431" s="9"/>
      <c r="S431" s="11"/>
    </row>
    <row r="432" spans="1:19" ht="15.75">
      <c r="A432" s="13">
        <v>54301</v>
      </c>
      <c r="B432" s="8">
        <f>CHOOSE( CONTROL!$C$32, 11.7288, 11.7283) * CHOOSE(CONTROL!$C$15, $D$11, 100%, $F$11)</f>
        <v>11.7288</v>
      </c>
      <c r="C432" s="8">
        <f>CHOOSE( CONTROL!$C$32, 11.7367, 11.7363) * CHOOSE(CONTROL!$C$15, $D$11, 100%, $F$11)</f>
        <v>11.736700000000001</v>
      </c>
      <c r="D432" s="8">
        <f>CHOOSE( CONTROL!$C$32, 11.732, 11.7316) * CHOOSE( CONTROL!$C$15, $D$11, 100%, $F$11)</f>
        <v>11.731999999999999</v>
      </c>
      <c r="E432" s="12">
        <f>CHOOSE( CONTROL!$C$32, 11.7325, 11.7321) * CHOOSE( CONTROL!$C$15, $D$11, 100%, $F$11)</f>
        <v>11.7325</v>
      </c>
      <c r="F432" s="4">
        <f>CHOOSE( CONTROL!$C$32, 12.4357, 12.4352) * CHOOSE(CONTROL!$C$15, $D$11, 100%, $F$11)</f>
        <v>12.435700000000001</v>
      </c>
      <c r="G432" s="8">
        <f>CHOOSE( CONTROL!$C$32, 11.5979, 11.5974) * CHOOSE( CONTROL!$C$15, $D$11, 100%, $F$11)</f>
        <v>11.597899999999999</v>
      </c>
      <c r="H432" s="4">
        <f>CHOOSE( CONTROL!$C$32, 12.5367, 12.5363) * CHOOSE(CONTROL!$C$15, $D$11, 100%, $F$11)</f>
        <v>12.5367</v>
      </c>
      <c r="I432" s="8">
        <f>CHOOSE( CONTROL!$C$32, 11.461, 11.4605) * CHOOSE(CONTROL!$C$15, $D$11, 100%, $F$11)</f>
        <v>11.461</v>
      </c>
      <c r="J432" s="4">
        <f>CHOOSE( CONTROL!$C$32, 11.3719, 11.3715) * CHOOSE(CONTROL!$C$15, $D$11, 100%, $F$11)</f>
        <v>11.3719</v>
      </c>
      <c r="K432" s="4"/>
      <c r="L432" s="9">
        <v>30.7165</v>
      </c>
      <c r="M432" s="9">
        <v>12.063700000000001</v>
      </c>
      <c r="N432" s="9">
        <v>4.9444999999999997</v>
      </c>
      <c r="O432" s="9">
        <v>0.37409999999999999</v>
      </c>
      <c r="P432" s="9">
        <v>1.2927</v>
      </c>
      <c r="Q432" s="9">
        <v>20.201499999999999</v>
      </c>
      <c r="R432" s="9"/>
      <c r="S432" s="11"/>
    </row>
    <row r="433" spans="1:19" ht="15.75">
      <c r="A433" s="13">
        <v>54331</v>
      </c>
      <c r="B433" s="8">
        <f>CHOOSE( CONTROL!$C$32, 11.4833, 11.4829) * CHOOSE(CONTROL!$C$15, $D$11, 100%, $F$11)</f>
        <v>11.4833</v>
      </c>
      <c r="C433" s="8">
        <f>CHOOSE( CONTROL!$C$32, 11.4913, 11.4908) * CHOOSE(CONTROL!$C$15, $D$11, 100%, $F$11)</f>
        <v>11.491300000000001</v>
      </c>
      <c r="D433" s="8">
        <f>CHOOSE( CONTROL!$C$32, 11.4864, 11.486) * CHOOSE( CONTROL!$C$15, $D$11, 100%, $F$11)</f>
        <v>11.4864</v>
      </c>
      <c r="E433" s="12">
        <f>CHOOSE( CONTROL!$C$32, 11.487, 11.4865) * CHOOSE( CONTROL!$C$15, $D$11, 100%, $F$11)</f>
        <v>11.487</v>
      </c>
      <c r="F433" s="4">
        <f>CHOOSE( CONTROL!$C$32, 12.1903, 12.1898) * CHOOSE(CONTROL!$C$15, $D$11, 100%, $F$11)</f>
        <v>12.190300000000001</v>
      </c>
      <c r="G433" s="8">
        <f>CHOOSE( CONTROL!$C$32, 11.3552, 11.3548) * CHOOSE( CONTROL!$C$15, $D$11, 100%, $F$11)</f>
        <v>11.3552</v>
      </c>
      <c r="H433" s="4">
        <f>CHOOSE( CONTROL!$C$32, 12.2941, 12.2937) * CHOOSE(CONTROL!$C$15, $D$11, 100%, $F$11)</f>
        <v>12.2941</v>
      </c>
      <c r="I433" s="8">
        <f>CHOOSE( CONTROL!$C$32, 11.2222, 11.2217) * CHOOSE(CONTROL!$C$15, $D$11, 100%, $F$11)</f>
        <v>11.222200000000001</v>
      </c>
      <c r="J433" s="4">
        <f>CHOOSE( CONTROL!$C$32, 11.1337, 11.1333) * CHOOSE(CONTROL!$C$15, $D$11, 100%, $F$11)</f>
        <v>11.133699999999999</v>
      </c>
      <c r="K433" s="4"/>
      <c r="L433" s="9">
        <v>29.7257</v>
      </c>
      <c r="M433" s="9">
        <v>11.6745</v>
      </c>
      <c r="N433" s="9">
        <v>4.7850000000000001</v>
      </c>
      <c r="O433" s="9">
        <v>0.36199999999999999</v>
      </c>
      <c r="P433" s="9">
        <v>1.2509999999999999</v>
      </c>
      <c r="Q433" s="9">
        <v>19.549800000000001</v>
      </c>
      <c r="R433" s="9"/>
      <c r="S433" s="11"/>
    </row>
    <row r="434" spans="1:19" ht="15.75">
      <c r="A434" s="13">
        <v>54362</v>
      </c>
      <c r="B434" s="8">
        <f>CHOOSE( CONTROL!$C$32, 11.991, 11.9908) * CHOOSE(CONTROL!$C$15, $D$11, 100%, $F$11)</f>
        <v>11.991</v>
      </c>
      <c r="C434" s="8">
        <f>CHOOSE( CONTROL!$C$32, 11.9964, 11.9961) * CHOOSE(CONTROL!$C$15, $D$11, 100%, $F$11)</f>
        <v>11.9964</v>
      </c>
      <c r="D434" s="8">
        <f>CHOOSE( CONTROL!$C$32, 11.9966, 11.9963) * CHOOSE( CONTROL!$C$15, $D$11, 100%, $F$11)</f>
        <v>11.996600000000001</v>
      </c>
      <c r="E434" s="12">
        <f>CHOOSE( CONTROL!$C$32, 11.996, 11.9957) * CHOOSE( CONTROL!$C$15, $D$11, 100%, $F$11)</f>
        <v>11.996</v>
      </c>
      <c r="F434" s="4">
        <f>CHOOSE( CONTROL!$C$32, 12.6997, 12.6994) * CHOOSE(CONTROL!$C$15, $D$11, 100%, $F$11)</f>
        <v>12.6997</v>
      </c>
      <c r="G434" s="8">
        <f>CHOOSE( CONTROL!$C$32, 11.8586, 11.8583) * CHOOSE( CONTROL!$C$15, $D$11, 100%, $F$11)</f>
        <v>11.858599999999999</v>
      </c>
      <c r="H434" s="4">
        <f>CHOOSE( CONTROL!$C$32, 12.7976, 12.7973) * CHOOSE(CONTROL!$C$15, $D$11, 100%, $F$11)</f>
        <v>12.797599999999999</v>
      </c>
      <c r="I434" s="8">
        <f>CHOOSE( CONTROL!$C$32, 11.7175, 11.7172) * CHOOSE(CONTROL!$C$15, $D$11, 100%, $F$11)</f>
        <v>11.717499999999999</v>
      </c>
      <c r="J434" s="4">
        <f>CHOOSE( CONTROL!$C$32, 11.6281, 11.6279) * CHOOSE(CONTROL!$C$15, $D$11, 100%, $F$11)</f>
        <v>11.6281</v>
      </c>
      <c r="K434" s="4"/>
      <c r="L434" s="9">
        <v>31.095300000000002</v>
      </c>
      <c r="M434" s="9">
        <v>12.063700000000001</v>
      </c>
      <c r="N434" s="9">
        <v>4.9444999999999997</v>
      </c>
      <c r="O434" s="9">
        <v>0.37409999999999999</v>
      </c>
      <c r="P434" s="9">
        <v>1.2927</v>
      </c>
      <c r="Q434" s="9">
        <v>20.201499999999999</v>
      </c>
      <c r="R434" s="9"/>
      <c r="S434" s="11"/>
    </row>
    <row r="435" spans="1:19" ht="15.75">
      <c r="A435" s="13">
        <v>54392</v>
      </c>
      <c r="B435" s="8">
        <f>CHOOSE( CONTROL!$C$32, 12.9313, 12.931) * CHOOSE(CONTROL!$C$15, $D$11, 100%, $F$11)</f>
        <v>12.9313</v>
      </c>
      <c r="C435" s="8">
        <f>CHOOSE( CONTROL!$C$32, 12.9363, 12.9361) * CHOOSE(CONTROL!$C$15, $D$11, 100%, $F$11)</f>
        <v>12.936299999999999</v>
      </c>
      <c r="D435" s="8">
        <f>CHOOSE( CONTROL!$C$32, 12.9042, 12.9039) * CHOOSE( CONTROL!$C$15, $D$11, 100%, $F$11)</f>
        <v>12.904199999999999</v>
      </c>
      <c r="E435" s="12">
        <f>CHOOSE( CONTROL!$C$32, 12.9154, 12.9151) * CHOOSE( CONTROL!$C$15, $D$11, 100%, $F$11)</f>
        <v>12.9154</v>
      </c>
      <c r="F435" s="4">
        <f>CHOOSE( CONTROL!$C$32, 13.5965, 13.5963) * CHOOSE(CONTROL!$C$15, $D$11, 100%, $F$11)</f>
        <v>13.596500000000001</v>
      </c>
      <c r="G435" s="8">
        <f>CHOOSE( CONTROL!$C$32, 12.7772, 12.7769) * CHOOSE( CONTROL!$C$15, $D$11, 100%, $F$11)</f>
        <v>12.777200000000001</v>
      </c>
      <c r="H435" s="4">
        <f>CHOOSE( CONTROL!$C$32, 13.684, 13.6837) * CHOOSE(CONTROL!$C$15, $D$11, 100%, $F$11)</f>
        <v>13.683999999999999</v>
      </c>
      <c r="I435" s="8">
        <f>CHOOSE( CONTROL!$C$32, 12.6817, 12.6814) * CHOOSE(CONTROL!$C$15, $D$11, 100%, $F$11)</f>
        <v>12.681699999999999</v>
      </c>
      <c r="J435" s="4">
        <f>CHOOSE( CONTROL!$C$32, 12.541, 12.5408) * CHOOSE(CONTROL!$C$15, $D$11, 100%, $F$11)</f>
        <v>12.541</v>
      </c>
      <c r="K435" s="4"/>
      <c r="L435" s="9">
        <v>28.360600000000002</v>
      </c>
      <c r="M435" s="9">
        <v>11.6745</v>
      </c>
      <c r="N435" s="9">
        <v>4.7850000000000001</v>
      </c>
      <c r="O435" s="9">
        <v>0.36199999999999999</v>
      </c>
      <c r="P435" s="9">
        <v>1.2509999999999999</v>
      </c>
      <c r="Q435" s="9">
        <v>19.549800000000001</v>
      </c>
      <c r="R435" s="9"/>
      <c r="S435" s="11"/>
    </row>
    <row r="436" spans="1:19" ht="15.75">
      <c r="A436" s="13">
        <v>54423</v>
      </c>
      <c r="B436" s="8">
        <f>CHOOSE( CONTROL!$C$32, 12.9078, 12.9075) * CHOOSE(CONTROL!$C$15, $D$11, 100%, $F$11)</f>
        <v>12.9078</v>
      </c>
      <c r="C436" s="8">
        <f>CHOOSE( CONTROL!$C$32, 12.9128, 12.9126) * CHOOSE(CONTROL!$C$15, $D$11, 100%, $F$11)</f>
        <v>12.912800000000001</v>
      </c>
      <c r="D436" s="8">
        <f>CHOOSE( CONTROL!$C$32, 12.8825, 12.8823) * CHOOSE( CONTROL!$C$15, $D$11, 100%, $F$11)</f>
        <v>12.8825</v>
      </c>
      <c r="E436" s="12">
        <f>CHOOSE( CONTROL!$C$32, 12.893, 12.8928) * CHOOSE( CONTROL!$C$15, $D$11, 100%, $F$11)</f>
        <v>12.893000000000001</v>
      </c>
      <c r="F436" s="4">
        <f>CHOOSE( CONTROL!$C$32, 13.573, 13.5728) * CHOOSE(CONTROL!$C$15, $D$11, 100%, $F$11)</f>
        <v>13.573</v>
      </c>
      <c r="G436" s="8">
        <f>CHOOSE( CONTROL!$C$32, 12.7553, 12.755) * CHOOSE( CONTROL!$C$15, $D$11, 100%, $F$11)</f>
        <v>12.7553</v>
      </c>
      <c r="H436" s="4">
        <f>CHOOSE( CONTROL!$C$32, 13.6607, 13.6605) * CHOOSE(CONTROL!$C$15, $D$11, 100%, $F$11)</f>
        <v>13.6607</v>
      </c>
      <c r="I436" s="8">
        <f>CHOOSE( CONTROL!$C$32, 12.6646, 12.6643) * CHOOSE(CONTROL!$C$15, $D$11, 100%, $F$11)</f>
        <v>12.6646</v>
      </c>
      <c r="J436" s="4">
        <f>CHOOSE( CONTROL!$C$32, 12.5182, 12.518) * CHOOSE(CONTROL!$C$15, $D$11, 100%, $F$11)</f>
        <v>12.5182</v>
      </c>
      <c r="K436" s="4"/>
      <c r="L436" s="9">
        <v>29.306000000000001</v>
      </c>
      <c r="M436" s="9">
        <v>12.063700000000001</v>
      </c>
      <c r="N436" s="9">
        <v>4.9444999999999997</v>
      </c>
      <c r="O436" s="9">
        <v>0.37409999999999999</v>
      </c>
      <c r="P436" s="9">
        <v>1.2927</v>
      </c>
      <c r="Q436" s="9">
        <v>20.201499999999999</v>
      </c>
      <c r="R436" s="9"/>
      <c r="S436" s="11"/>
    </row>
    <row r="437" spans="1:19" ht="15.75">
      <c r="A437" s="13">
        <v>54454</v>
      </c>
      <c r="B437" s="8">
        <f>CHOOSE( CONTROL!$C$32, 13.2882, 13.2879) * CHOOSE(CONTROL!$C$15, $D$11, 100%, $F$11)</f>
        <v>13.2882</v>
      </c>
      <c r="C437" s="8">
        <f>CHOOSE( CONTROL!$C$32, 13.2933, 13.293) * CHOOSE(CONTROL!$C$15, $D$11, 100%, $F$11)</f>
        <v>13.2933</v>
      </c>
      <c r="D437" s="8">
        <f>CHOOSE( CONTROL!$C$32, 13.2909, 13.2907) * CHOOSE( CONTROL!$C$15, $D$11, 100%, $F$11)</f>
        <v>13.290900000000001</v>
      </c>
      <c r="E437" s="12">
        <f>CHOOSE( CONTROL!$C$32, 13.2912, 13.291) * CHOOSE( CONTROL!$C$15, $D$11, 100%, $F$11)</f>
        <v>13.2912</v>
      </c>
      <c r="F437" s="4">
        <f>CHOOSE( CONTROL!$C$32, 13.9535, 13.9532) * CHOOSE(CONTROL!$C$15, $D$11, 100%, $F$11)</f>
        <v>13.9535</v>
      </c>
      <c r="G437" s="8">
        <f>CHOOSE( CONTROL!$C$32, 13.1474, 13.1472) * CHOOSE( CONTROL!$C$15, $D$11, 100%, $F$11)</f>
        <v>13.147399999999999</v>
      </c>
      <c r="H437" s="4">
        <f>CHOOSE( CONTROL!$C$32, 14.0367, 14.0365) * CHOOSE(CONTROL!$C$15, $D$11, 100%, $F$11)</f>
        <v>14.0367</v>
      </c>
      <c r="I437" s="8">
        <f>CHOOSE( CONTROL!$C$32, 13.0075, 13.0073) * CHOOSE(CONTROL!$C$15, $D$11, 100%, $F$11)</f>
        <v>13.0075</v>
      </c>
      <c r="J437" s="4">
        <f>CHOOSE( CONTROL!$C$32, 12.8875, 12.8872) * CHOOSE(CONTROL!$C$15, $D$11, 100%, $F$11)</f>
        <v>12.887499999999999</v>
      </c>
      <c r="K437" s="4"/>
      <c r="L437" s="9">
        <v>29.306000000000001</v>
      </c>
      <c r="M437" s="9">
        <v>12.063700000000001</v>
      </c>
      <c r="N437" s="9">
        <v>4.9444999999999997</v>
      </c>
      <c r="O437" s="9">
        <v>0.37409999999999999</v>
      </c>
      <c r="P437" s="9">
        <v>1.2927</v>
      </c>
      <c r="Q437" s="9">
        <v>20.136399999999998</v>
      </c>
      <c r="R437" s="9"/>
      <c r="S437" s="11"/>
    </row>
    <row r="438" spans="1:19" ht="15.75">
      <c r="A438" s="13">
        <v>54482</v>
      </c>
      <c r="B438" s="8">
        <f>CHOOSE( CONTROL!$C$32, 12.4298, 12.4295) * CHOOSE(CONTROL!$C$15, $D$11, 100%, $F$11)</f>
        <v>12.4298</v>
      </c>
      <c r="C438" s="8">
        <f>CHOOSE( CONTROL!$C$32, 12.4348, 12.4346) * CHOOSE(CONTROL!$C$15, $D$11, 100%, $F$11)</f>
        <v>12.434799999999999</v>
      </c>
      <c r="D438" s="8">
        <f>CHOOSE( CONTROL!$C$32, 12.4148, 12.4145) * CHOOSE( CONTROL!$C$15, $D$11, 100%, $F$11)</f>
        <v>12.4148</v>
      </c>
      <c r="E438" s="12">
        <f>CHOOSE( CONTROL!$C$32, 12.4216, 12.4213) * CHOOSE( CONTROL!$C$15, $D$11, 100%, $F$11)</f>
        <v>12.4216</v>
      </c>
      <c r="F438" s="4">
        <f>CHOOSE( CONTROL!$C$32, 13.095, 13.0948) * CHOOSE(CONTROL!$C$15, $D$11, 100%, $F$11)</f>
        <v>13.095000000000001</v>
      </c>
      <c r="G438" s="8">
        <f>CHOOSE( CONTROL!$C$32, 12.2879, 12.2876) * CHOOSE( CONTROL!$C$15, $D$11, 100%, $F$11)</f>
        <v>12.2879</v>
      </c>
      <c r="H438" s="4">
        <f>CHOOSE( CONTROL!$C$32, 13.1883, 13.1881) * CHOOSE(CONTROL!$C$15, $D$11, 100%, $F$11)</f>
        <v>13.1883</v>
      </c>
      <c r="I438" s="8">
        <f>CHOOSE( CONTROL!$C$32, 12.1744, 12.1741) * CHOOSE(CONTROL!$C$15, $D$11, 100%, $F$11)</f>
        <v>12.1744</v>
      </c>
      <c r="J438" s="4">
        <f>CHOOSE( CONTROL!$C$32, 12.0543, 12.0541) * CHOOSE(CONTROL!$C$15, $D$11, 100%, $F$11)</f>
        <v>12.0543</v>
      </c>
      <c r="K438" s="4"/>
      <c r="L438" s="9">
        <v>26.469899999999999</v>
      </c>
      <c r="M438" s="9">
        <v>10.8962</v>
      </c>
      <c r="N438" s="9">
        <v>4.4660000000000002</v>
      </c>
      <c r="O438" s="9">
        <v>0.33789999999999998</v>
      </c>
      <c r="P438" s="9">
        <v>1.1676</v>
      </c>
      <c r="Q438" s="9">
        <v>18.1877</v>
      </c>
      <c r="R438" s="9"/>
      <c r="S438" s="11"/>
    </row>
    <row r="439" spans="1:19" ht="15.75">
      <c r="A439" s="13">
        <v>54513</v>
      </c>
      <c r="B439" s="8">
        <f>CHOOSE( CONTROL!$C$32, 12.1654, 12.1651) * CHOOSE(CONTROL!$C$15, $D$11, 100%, $F$11)</f>
        <v>12.1654</v>
      </c>
      <c r="C439" s="8">
        <f>CHOOSE( CONTROL!$C$32, 12.1704, 12.1702) * CHOOSE(CONTROL!$C$15, $D$11, 100%, $F$11)</f>
        <v>12.170400000000001</v>
      </c>
      <c r="D439" s="8">
        <f>CHOOSE( CONTROL!$C$32, 12.1404, 12.1402) * CHOOSE( CONTROL!$C$15, $D$11, 100%, $F$11)</f>
        <v>12.1404</v>
      </c>
      <c r="E439" s="12">
        <f>CHOOSE( CONTROL!$C$32, 12.1508, 12.1506) * CHOOSE( CONTROL!$C$15, $D$11, 100%, $F$11)</f>
        <v>12.1508</v>
      </c>
      <c r="F439" s="4">
        <f>CHOOSE( CONTROL!$C$32, 12.8306, 12.8304) * CHOOSE(CONTROL!$C$15, $D$11, 100%, $F$11)</f>
        <v>12.8306</v>
      </c>
      <c r="G439" s="8">
        <f>CHOOSE( CONTROL!$C$32, 12.0133, 12.0131) * CHOOSE( CONTROL!$C$15, $D$11, 100%, $F$11)</f>
        <v>12.013299999999999</v>
      </c>
      <c r="H439" s="4">
        <f>CHOOSE( CONTROL!$C$32, 12.927, 12.9268) * CHOOSE(CONTROL!$C$15, $D$11, 100%, $F$11)</f>
        <v>12.927</v>
      </c>
      <c r="I439" s="8">
        <f>CHOOSE( CONTROL!$C$32, 11.8825, 11.8822) * CHOOSE(CONTROL!$C$15, $D$11, 100%, $F$11)</f>
        <v>11.8825</v>
      </c>
      <c r="J439" s="4">
        <f>CHOOSE( CONTROL!$C$32, 11.7977, 11.7975) * CHOOSE(CONTROL!$C$15, $D$11, 100%, $F$11)</f>
        <v>11.797700000000001</v>
      </c>
      <c r="K439" s="4"/>
      <c r="L439" s="9">
        <v>29.306000000000001</v>
      </c>
      <c r="M439" s="9">
        <v>12.063700000000001</v>
      </c>
      <c r="N439" s="9">
        <v>4.9444999999999997</v>
      </c>
      <c r="O439" s="9">
        <v>0.37409999999999999</v>
      </c>
      <c r="P439" s="9">
        <v>1.2927</v>
      </c>
      <c r="Q439" s="9">
        <v>20.136399999999998</v>
      </c>
      <c r="R439" s="9"/>
      <c r="S439" s="11"/>
    </row>
    <row r="440" spans="1:19" ht="15.75">
      <c r="A440" s="13">
        <v>54543</v>
      </c>
      <c r="B440" s="8">
        <f>CHOOSE( CONTROL!$C$32, 12.3509, 12.3506) * CHOOSE(CONTROL!$C$15, $D$11, 100%, $F$11)</f>
        <v>12.350899999999999</v>
      </c>
      <c r="C440" s="8">
        <f>CHOOSE( CONTROL!$C$32, 12.3554, 12.3551) * CHOOSE(CONTROL!$C$15, $D$11, 100%, $F$11)</f>
        <v>12.355399999999999</v>
      </c>
      <c r="D440" s="8">
        <f>CHOOSE( CONTROL!$C$32, 12.3549, 12.3546) * CHOOSE( CONTROL!$C$15, $D$11, 100%, $F$11)</f>
        <v>12.354900000000001</v>
      </c>
      <c r="E440" s="12">
        <f>CHOOSE( CONTROL!$C$32, 12.3546, 12.3543) * CHOOSE( CONTROL!$C$15, $D$11, 100%, $F$11)</f>
        <v>12.3546</v>
      </c>
      <c r="F440" s="4">
        <f>CHOOSE( CONTROL!$C$32, 13.0592, 13.0589) * CHOOSE(CONTROL!$C$15, $D$11, 100%, $F$11)</f>
        <v>13.059200000000001</v>
      </c>
      <c r="G440" s="8">
        <f>CHOOSE( CONTROL!$C$32, 12.2129, 12.2127) * CHOOSE( CONTROL!$C$15, $D$11, 100%, $F$11)</f>
        <v>12.212899999999999</v>
      </c>
      <c r="H440" s="4">
        <f>CHOOSE( CONTROL!$C$32, 13.1529, 13.1526) * CHOOSE(CONTROL!$C$15, $D$11, 100%, $F$11)</f>
        <v>13.152900000000001</v>
      </c>
      <c r="I440" s="8">
        <f>CHOOSE( CONTROL!$C$32, 12.0624, 12.0621) * CHOOSE(CONTROL!$C$15, $D$11, 100%, $F$11)</f>
        <v>12.0624</v>
      </c>
      <c r="J440" s="4">
        <f>CHOOSE( CONTROL!$C$32, 11.977, 11.9768) * CHOOSE(CONTROL!$C$15, $D$11, 100%, $F$11)</f>
        <v>11.977</v>
      </c>
      <c r="K440" s="4"/>
      <c r="L440" s="9">
        <v>30.092199999999998</v>
      </c>
      <c r="M440" s="9">
        <v>11.6745</v>
      </c>
      <c r="N440" s="9">
        <v>4.7850000000000001</v>
      </c>
      <c r="O440" s="9">
        <v>0.36199999999999999</v>
      </c>
      <c r="P440" s="9">
        <v>1.2509999999999999</v>
      </c>
      <c r="Q440" s="9">
        <v>19.486799999999999</v>
      </c>
      <c r="R440" s="9"/>
      <c r="S440" s="11"/>
    </row>
    <row r="441" spans="1:19" ht="15.75">
      <c r="A441" s="13">
        <v>54574</v>
      </c>
      <c r="B441" s="8">
        <f>CHOOSE( CONTROL!$C$32, 12.6813, 12.6808) * CHOOSE(CONTROL!$C$15, $D$11, 100%, $F$11)</f>
        <v>12.6813</v>
      </c>
      <c r="C441" s="8">
        <f>CHOOSE( CONTROL!$C$32, 12.6892, 12.6888) * CHOOSE(CONTROL!$C$15, $D$11, 100%, $F$11)</f>
        <v>12.6892</v>
      </c>
      <c r="D441" s="8">
        <f>CHOOSE( CONTROL!$C$32, 12.6835, 12.6831) * CHOOSE( CONTROL!$C$15, $D$11, 100%, $F$11)</f>
        <v>12.6835</v>
      </c>
      <c r="E441" s="12">
        <f>CHOOSE( CONTROL!$C$32, 12.6844, 12.6839) * CHOOSE( CONTROL!$C$15, $D$11, 100%, $F$11)</f>
        <v>12.6844</v>
      </c>
      <c r="F441" s="4">
        <f>CHOOSE( CONTROL!$C$32, 13.3882, 13.3877) * CHOOSE(CONTROL!$C$15, $D$11, 100%, $F$11)</f>
        <v>13.388199999999999</v>
      </c>
      <c r="G441" s="8">
        <f>CHOOSE( CONTROL!$C$32, 12.5384, 12.538) * CHOOSE( CONTROL!$C$15, $D$11, 100%, $F$11)</f>
        <v>12.538399999999999</v>
      </c>
      <c r="H441" s="4">
        <f>CHOOSE( CONTROL!$C$32, 13.4781, 13.4776) * CHOOSE(CONTROL!$C$15, $D$11, 100%, $F$11)</f>
        <v>13.4781</v>
      </c>
      <c r="I441" s="8">
        <f>CHOOSE( CONTROL!$C$32, 12.3824, 12.382) * CHOOSE(CONTROL!$C$15, $D$11, 100%, $F$11)</f>
        <v>12.382400000000001</v>
      </c>
      <c r="J441" s="4">
        <f>CHOOSE( CONTROL!$C$32, 12.2963, 12.2959) * CHOOSE(CONTROL!$C$15, $D$11, 100%, $F$11)</f>
        <v>12.2963</v>
      </c>
      <c r="K441" s="4"/>
      <c r="L441" s="9">
        <v>30.7165</v>
      </c>
      <c r="M441" s="9">
        <v>12.063700000000001</v>
      </c>
      <c r="N441" s="9">
        <v>4.9444999999999997</v>
      </c>
      <c r="O441" s="9">
        <v>0.37409999999999999</v>
      </c>
      <c r="P441" s="9">
        <v>1.2927</v>
      </c>
      <c r="Q441" s="9">
        <v>20.136399999999998</v>
      </c>
      <c r="R441" s="9"/>
      <c r="S441" s="11"/>
    </row>
    <row r="442" spans="1:19" ht="15.75">
      <c r="A442" s="13">
        <v>54604</v>
      </c>
      <c r="B442" s="8">
        <f>CHOOSE( CONTROL!$C$32, 12.4776, 12.4771) * CHOOSE(CONTROL!$C$15, $D$11, 100%, $F$11)</f>
        <v>12.477600000000001</v>
      </c>
      <c r="C442" s="8">
        <f>CHOOSE( CONTROL!$C$32, 12.4855, 12.4851) * CHOOSE(CONTROL!$C$15, $D$11, 100%, $F$11)</f>
        <v>12.4855</v>
      </c>
      <c r="D442" s="8">
        <f>CHOOSE( CONTROL!$C$32, 12.4802, 12.4798) * CHOOSE( CONTROL!$C$15, $D$11, 100%, $F$11)</f>
        <v>12.4802</v>
      </c>
      <c r="E442" s="12">
        <f>CHOOSE( CONTROL!$C$32, 12.4809, 12.4805) * CHOOSE( CONTROL!$C$15, $D$11, 100%, $F$11)</f>
        <v>12.4809</v>
      </c>
      <c r="F442" s="4">
        <f>CHOOSE( CONTROL!$C$32, 13.1845, 13.184) * CHOOSE(CONTROL!$C$15, $D$11, 100%, $F$11)</f>
        <v>13.1845</v>
      </c>
      <c r="G442" s="8">
        <f>CHOOSE( CONTROL!$C$32, 12.3375, 12.337) * CHOOSE( CONTROL!$C$15, $D$11, 100%, $F$11)</f>
        <v>12.3375</v>
      </c>
      <c r="H442" s="4">
        <f>CHOOSE( CONTROL!$C$32, 13.2767, 13.2763) * CHOOSE(CONTROL!$C$15, $D$11, 100%, $F$11)</f>
        <v>13.2767</v>
      </c>
      <c r="I442" s="8">
        <f>CHOOSE( CONTROL!$C$32, 12.186, 12.1856) * CHOOSE(CONTROL!$C$15, $D$11, 100%, $F$11)</f>
        <v>12.186</v>
      </c>
      <c r="J442" s="4">
        <f>CHOOSE( CONTROL!$C$32, 12.0987, 12.0982) * CHOOSE(CONTROL!$C$15, $D$11, 100%, $F$11)</f>
        <v>12.098699999999999</v>
      </c>
      <c r="K442" s="4"/>
      <c r="L442" s="9">
        <v>29.7257</v>
      </c>
      <c r="M442" s="9">
        <v>11.6745</v>
      </c>
      <c r="N442" s="9">
        <v>4.7850000000000001</v>
      </c>
      <c r="O442" s="9">
        <v>0.36199999999999999</v>
      </c>
      <c r="P442" s="9">
        <v>1.2509999999999999</v>
      </c>
      <c r="Q442" s="9">
        <v>19.486799999999999</v>
      </c>
      <c r="R442" s="9"/>
      <c r="S442" s="11"/>
    </row>
    <row r="443" spans="1:19" ht="15.75">
      <c r="A443" s="13">
        <v>54635</v>
      </c>
      <c r="B443" s="8">
        <f>CHOOSE( CONTROL!$C$32, 13.014, 13.0135) * CHOOSE(CONTROL!$C$15, $D$11, 100%, $F$11)</f>
        <v>13.013999999999999</v>
      </c>
      <c r="C443" s="8">
        <f>CHOOSE( CONTROL!$C$32, 13.0219, 13.0215) * CHOOSE(CONTROL!$C$15, $D$11, 100%, $F$11)</f>
        <v>13.0219</v>
      </c>
      <c r="D443" s="8">
        <f>CHOOSE( CONTROL!$C$32, 13.0171, 13.0166) * CHOOSE( CONTROL!$C$15, $D$11, 100%, $F$11)</f>
        <v>13.017099999999999</v>
      </c>
      <c r="E443" s="12">
        <f>CHOOSE( CONTROL!$C$32, 13.0176, 13.0172) * CHOOSE( CONTROL!$C$15, $D$11, 100%, $F$11)</f>
        <v>13.0176</v>
      </c>
      <c r="F443" s="4">
        <f>CHOOSE( CONTROL!$C$32, 13.7209, 13.7205) * CHOOSE(CONTROL!$C$15, $D$11, 100%, $F$11)</f>
        <v>13.7209</v>
      </c>
      <c r="G443" s="8">
        <f>CHOOSE( CONTROL!$C$32, 12.8679, 12.8675) * CHOOSE( CONTROL!$C$15, $D$11, 100%, $F$11)</f>
        <v>12.867900000000001</v>
      </c>
      <c r="H443" s="4">
        <f>CHOOSE( CONTROL!$C$32, 13.8069, 13.8064) * CHOOSE(CONTROL!$C$15, $D$11, 100%, $F$11)</f>
        <v>13.806900000000001</v>
      </c>
      <c r="I443" s="8">
        <f>CHOOSE( CONTROL!$C$32, 12.7085, 12.708) * CHOOSE(CONTROL!$C$15, $D$11, 100%, $F$11)</f>
        <v>12.708500000000001</v>
      </c>
      <c r="J443" s="4">
        <f>CHOOSE( CONTROL!$C$32, 12.6192, 12.6188) * CHOOSE(CONTROL!$C$15, $D$11, 100%, $F$11)</f>
        <v>12.619199999999999</v>
      </c>
      <c r="K443" s="4"/>
      <c r="L443" s="9">
        <v>30.7165</v>
      </c>
      <c r="M443" s="9">
        <v>12.063700000000001</v>
      </c>
      <c r="N443" s="9">
        <v>4.9444999999999997</v>
      </c>
      <c r="O443" s="9">
        <v>0.37409999999999999</v>
      </c>
      <c r="P443" s="9">
        <v>1.2927</v>
      </c>
      <c r="Q443" s="9">
        <v>20.136399999999998</v>
      </c>
      <c r="R443" s="9"/>
      <c r="S443" s="11"/>
    </row>
    <row r="444" spans="1:19" ht="15.75">
      <c r="A444" s="13">
        <v>54666</v>
      </c>
      <c r="B444" s="8">
        <f>CHOOSE( CONTROL!$C$32, 12.0103, 12.0098) * CHOOSE(CONTROL!$C$15, $D$11, 100%, $F$11)</f>
        <v>12.010300000000001</v>
      </c>
      <c r="C444" s="8">
        <f>CHOOSE( CONTROL!$C$32, 12.0183, 12.0178) * CHOOSE(CONTROL!$C$15, $D$11, 100%, $F$11)</f>
        <v>12.0183</v>
      </c>
      <c r="D444" s="8">
        <f>CHOOSE( CONTROL!$C$32, 12.0135, 12.0131) * CHOOSE( CONTROL!$C$15, $D$11, 100%, $F$11)</f>
        <v>12.013500000000001</v>
      </c>
      <c r="E444" s="12">
        <f>CHOOSE( CONTROL!$C$32, 12.014, 12.0136) * CHOOSE( CONTROL!$C$15, $D$11, 100%, $F$11)</f>
        <v>12.013999999999999</v>
      </c>
      <c r="F444" s="4">
        <f>CHOOSE( CONTROL!$C$32, 12.7172, 12.7168) * CHOOSE(CONTROL!$C$15, $D$11, 100%, $F$11)</f>
        <v>12.7172</v>
      </c>
      <c r="G444" s="8">
        <f>CHOOSE( CONTROL!$C$32, 11.8761, 11.8757) * CHOOSE( CONTROL!$C$15, $D$11, 100%, $F$11)</f>
        <v>11.876099999999999</v>
      </c>
      <c r="H444" s="4">
        <f>CHOOSE( CONTROL!$C$32, 12.8149, 12.8145) * CHOOSE(CONTROL!$C$15, $D$11, 100%, $F$11)</f>
        <v>12.8149</v>
      </c>
      <c r="I444" s="8">
        <f>CHOOSE( CONTROL!$C$32, 11.7344, 11.7339) * CHOOSE(CONTROL!$C$15, $D$11, 100%, $F$11)</f>
        <v>11.734400000000001</v>
      </c>
      <c r="J444" s="4">
        <f>CHOOSE( CONTROL!$C$32, 11.6452, 11.6447) * CHOOSE(CONTROL!$C$15, $D$11, 100%, $F$11)</f>
        <v>11.645200000000001</v>
      </c>
      <c r="K444" s="4"/>
      <c r="L444" s="9">
        <v>30.7165</v>
      </c>
      <c r="M444" s="9">
        <v>12.063700000000001</v>
      </c>
      <c r="N444" s="9">
        <v>4.9444999999999997</v>
      </c>
      <c r="O444" s="9">
        <v>0.37409999999999999</v>
      </c>
      <c r="P444" s="9">
        <v>1.2927</v>
      </c>
      <c r="Q444" s="9">
        <v>20.136399999999998</v>
      </c>
      <c r="R444" s="9"/>
      <c r="S444" s="11"/>
    </row>
    <row r="445" spans="1:19" ht="15.75">
      <c r="A445" s="13">
        <v>54696</v>
      </c>
      <c r="B445" s="8">
        <f>CHOOSE( CONTROL!$C$32, 11.759, 11.7585) * CHOOSE(CONTROL!$C$15, $D$11, 100%, $F$11)</f>
        <v>11.759</v>
      </c>
      <c r="C445" s="8">
        <f>CHOOSE( CONTROL!$C$32, 11.7669, 11.7665) * CHOOSE(CONTROL!$C$15, $D$11, 100%, $F$11)</f>
        <v>11.7669</v>
      </c>
      <c r="D445" s="8">
        <f>CHOOSE( CONTROL!$C$32, 11.7621, 11.7616) * CHOOSE( CONTROL!$C$15, $D$11, 100%, $F$11)</f>
        <v>11.7621</v>
      </c>
      <c r="E445" s="12">
        <f>CHOOSE( CONTROL!$C$32, 11.7626, 11.7622) * CHOOSE( CONTROL!$C$15, $D$11, 100%, $F$11)</f>
        <v>11.762600000000001</v>
      </c>
      <c r="F445" s="4">
        <f>CHOOSE( CONTROL!$C$32, 12.4659, 12.4654) * CHOOSE(CONTROL!$C$15, $D$11, 100%, $F$11)</f>
        <v>12.4659</v>
      </c>
      <c r="G445" s="8">
        <f>CHOOSE( CONTROL!$C$32, 11.6276, 11.6272) * CHOOSE( CONTROL!$C$15, $D$11, 100%, $F$11)</f>
        <v>11.627599999999999</v>
      </c>
      <c r="H445" s="4">
        <f>CHOOSE( CONTROL!$C$32, 12.5666, 12.5661) * CHOOSE(CONTROL!$C$15, $D$11, 100%, $F$11)</f>
        <v>12.566599999999999</v>
      </c>
      <c r="I445" s="8">
        <f>CHOOSE( CONTROL!$C$32, 11.4898, 11.4893) * CHOOSE(CONTROL!$C$15, $D$11, 100%, $F$11)</f>
        <v>11.489800000000001</v>
      </c>
      <c r="J445" s="4">
        <f>CHOOSE( CONTROL!$C$32, 11.4012, 11.4008) * CHOOSE(CONTROL!$C$15, $D$11, 100%, $F$11)</f>
        <v>11.401199999999999</v>
      </c>
      <c r="K445" s="4"/>
      <c r="L445" s="9">
        <v>29.7257</v>
      </c>
      <c r="M445" s="9">
        <v>11.6745</v>
      </c>
      <c r="N445" s="9">
        <v>4.7850000000000001</v>
      </c>
      <c r="O445" s="9">
        <v>0.36199999999999999</v>
      </c>
      <c r="P445" s="9">
        <v>1.2509999999999999</v>
      </c>
      <c r="Q445" s="9">
        <v>19.486799999999999</v>
      </c>
      <c r="R445" s="9"/>
      <c r="S445" s="11"/>
    </row>
    <row r="446" spans="1:19" ht="15.75">
      <c r="A446" s="13">
        <v>54727</v>
      </c>
      <c r="B446" s="8">
        <f>CHOOSE( CONTROL!$C$32, 12.2789, 12.2786) * CHOOSE(CONTROL!$C$15, $D$11, 100%, $F$11)</f>
        <v>12.2789</v>
      </c>
      <c r="C446" s="8">
        <f>CHOOSE( CONTROL!$C$32, 12.2842, 12.284) * CHOOSE(CONTROL!$C$15, $D$11, 100%, $F$11)</f>
        <v>12.2842</v>
      </c>
      <c r="D446" s="8">
        <f>CHOOSE( CONTROL!$C$32, 12.2844, 12.2842) * CHOOSE( CONTROL!$C$15, $D$11, 100%, $F$11)</f>
        <v>12.2844</v>
      </c>
      <c r="E446" s="12">
        <f>CHOOSE( CONTROL!$C$32, 12.2838, 12.2836) * CHOOSE( CONTROL!$C$15, $D$11, 100%, $F$11)</f>
        <v>12.283799999999999</v>
      </c>
      <c r="F446" s="4">
        <f>CHOOSE( CONTROL!$C$32, 12.9876, 12.9873) * CHOOSE(CONTROL!$C$15, $D$11, 100%, $F$11)</f>
        <v>12.9876</v>
      </c>
      <c r="G446" s="8">
        <f>CHOOSE( CONTROL!$C$32, 12.1431, 12.1429) * CHOOSE( CONTROL!$C$15, $D$11, 100%, $F$11)</f>
        <v>12.1431</v>
      </c>
      <c r="H446" s="4">
        <f>CHOOSE( CONTROL!$C$32, 13.0821, 13.0818) * CHOOSE(CONTROL!$C$15, $D$11, 100%, $F$11)</f>
        <v>13.082100000000001</v>
      </c>
      <c r="I446" s="8">
        <f>CHOOSE( CONTROL!$C$32, 11.997, 11.9968) * CHOOSE(CONTROL!$C$15, $D$11, 100%, $F$11)</f>
        <v>11.997</v>
      </c>
      <c r="J446" s="4">
        <f>CHOOSE( CONTROL!$C$32, 11.9075, 11.9073) * CHOOSE(CONTROL!$C$15, $D$11, 100%, $F$11)</f>
        <v>11.907500000000001</v>
      </c>
      <c r="K446" s="4"/>
      <c r="L446" s="9">
        <v>31.095300000000002</v>
      </c>
      <c r="M446" s="9">
        <v>12.063700000000001</v>
      </c>
      <c r="N446" s="9">
        <v>4.9444999999999997</v>
      </c>
      <c r="O446" s="9">
        <v>0.37409999999999999</v>
      </c>
      <c r="P446" s="9">
        <v>1.2927</v>
      </c>
      <c r="Q446" s="9">
        <v>20.136399999999998</v>
      </c>
      <c r="R446" s="9"/>
      <c r="S446" s="11"/>
    </row>
    <row r="447" spans="1:19" ht="15.75">
      <c r="A447" s="13">
        <v>54757</v>
      </c>
      <c r="B447" s="8">
        <f>CHOOSE( CONTROL!$C$32, 13.2417, 13.2415) * CHOOSE(CONTROL!$C$15, $D$11, 100%, $F$11)</f>
        <v>13.2417</v>
      </c>
      <c r="C447" s="8">
        <f>CHOOSE( CONTROL!$C$32, 13.2468, 13.2465) * CHOOSE(CONTROL!$C$15, $D$11, 100%, $F$11)</f>
        <v>13.2468</v>
      </c>
      <c r="D447" s="8">
        <f>CHOOSE( CONTROL!$C$32, 13.2147, 13.2144) * CHOOSE( CONTROL!$C$15, $D$11, 100%, $F$11)</f>
        <v>13.214700000000001</v>
      </c>
      <c r="E447" s="12">
        <f>CHOOSE( CONTROL!$C$32, 13.2259, 13.2256) * CHOOSE( CONTROL!$C$15, $D$11, 100%, $F$11)</f>
        <v>13.225899999999999</v>
      </c>
      <c r="F447" s="4">
        <f>CHOOSE( CONTROL!$C$32, 13.907, 13.9068) * CHOOSE(CONTROL!$C$15, $D$11, 100%, $F$11)</f>
        <v>13.907</v>
      </c>
      <c r="G447" s="8">
        <f>CHOOSE( CONTROL!$C$32, 13.084, 13.0838) * CHOOSE( CONTROL!$C$15, $D$11, 100%, $F$11)</f>
        <v>13.084</v>
      </c>
      <c r="H447" s="4">
        <f>CHOOSE( CONTROL!$C$32, 13.9908, 13.9905) * CHOOSE(CONTROL!$C$15, $D$11, 100%, $F$11)</f>
        <v>13.9908</v>
      </c>
      <c r="I447" s="8">
        <f>CHOOSE( CONTROL!$C$32, 12.9832, 12.9829) * CHOOSE(CONTROL!$C$15, $D$11, 100%, $F$11)</f>
        <v>12.9832</v>
      </c>
      <c r="J447" s="4">
        <f>CHOOSE( CONTROL!$C$32, 12.8424, 12.8421) * CHOOSE(CONTROL!$C$15, $D$11, 100%, $F$11)</f>
        <v>12.8424</v>
      </c>
      <c r="K447" s="4"/>
      <c r="L447" s="9">
        <v>28.360600000000002</v>
      </c>
      <c r="M447" s="9">
        <v>11.6745</v>
      </c>
      <c r="N447" s="9">
        <v>4.7850000000000001</v>
      </c>
      <c r="O447" s="9">
        <v>0.36199999999999999</v>
      </c>
      <c r="P447" s="9">
        <v>1.2509999999999999</v>
      </c>
      <c r="Q447" s="9">
        <v>19.486799999999999</v>
      </c>
      <c r="R447" s="9"/>
      <c r="S447" s="11"/>
    </row>
    <row r="448" spans="1:19" ht="15.75">
      <c r="A448" s="13">
        <v>54788</v>
      </c>
      <c r="B448" s="8">
        <f>CHOOSE( CONTROL!$C$32, 13.2177, 13.2174) * CHOOSE(CONTROL!$C$15, $D$11, 100%, $F$11)</f>
        <v>13.217700000000001</v>
      </c>
      <c r="C448" s="8">
        <f>CHOOSE( CONTROL!$C$32, 13.2228, 13.2225) * CHOOSE(CONTROL!$C$15, $D$11, 100%, $F$11)</f>
        <v>13.222799999999999</v>
      </c>
      <c r="D448" s="8">
        <f>CHOOSE( CONTROL!$C$32, 13.1925, 13.1922) * CHOOSE( CONTROL!$C$15, $D$11, 100%, $F$11)</f>
        <v>13.192500000000001</v>
      </c>
      <c r="E448" s="12">
        <f>CHOOSE( CONTROL!$C$32, 13.203, 13.2027) * CHOOSE( CONTROL!$C$15, $D$11, 100%, $F$11)</f>
        <v>13.202999999999999</v>
      </c>
      <c r="F448" s="4">
        <f>CHOOSE( CONTROL!$C$32, 13.883, 13.8827) * CHOOSE(CONTROL!$C$15, $D$11, 100%, $F$11)</f>
        <v>13.882999999999999</v>
      </c>
      <c r="G448" s="8">
        <f>CHOOSE( CONTROL!$C$32, 13.0616, 13.0613) * CHOOSE( CONTROL!$C$15, $D$11, 100%, $F$11)</f>
        <v>13.0616</v>
      </c>
      <c r="H448" s="4">
        <f>CHOOSE( CONTROL!$C$32, 13.967, 13.9667) * CHOOSE(CONTROL!$C$15, $D$11, 100%, $F$11)</f>
        <v>13.967000000000001</v>
      </c>
      <c r="I448" s="8">
        <f>CHOOSE( CONTROL!$C$32, 12.9655, 12.9652) * CHOOSE(CONTROL!$C$15, $D$11, 100%, $F$11)</f>
        <v>12.9655</v>
      </c>
      <c r="J448" s="4">
        <f>CHOOSE( CONTROL!$C$32, 12.819, 12.8187) * CHOOSE(CONTROL!$C$15, $D$11, 100%, $F$11)</f>
        <v>12.819000000000001</v>
      </c>
      <c r="K448" s="4"/>
      <c r="L448" s="9">
        <v>29.306000000000001</v>
      </c>
      <c r="M448" s="9">
        <v>12.063700000000001</v>
      </c>
      <c r="N448" s="9">
        <v>4.9444999999999997</v>
      </c>
      <c r="O448" s="9">
        <v>0.37409999999999999</v>
      </c>
      <c r="P448" s="9">
        <v>1.2927</v>
      </c>
      <c r="Q448" s="9">
        <v>20.136399999999998</v>
      </c>
      <c r="R448" s="9"/>
      <c r="S448" s="11"/>
    </row>
    <row r="449" spans="1:19" ht="15.75">
      <c r="A449" s="13">
        <v>54819</v>
      </c>
      <c r="B449" s="8">
        <f>CHOOSE( CONTROL!$C$32, 13.6073, 13.607) * CHOOSE(CONTROL!$C$15, $D$11, 100%, $F$11)</f>
        <v>13.6073</v>
      </c>
      <c r="C449" s="8">
        <f>CHOOSE( CONTROL!$C$32, 13.6124, 13.6121) * CHOOSE(CONTROL!$C$15, $D$11, 100%, $F$11)</f>
        <v>13.612399999999999</v>
      </c>
      <c r="D449" s="8">
        <f>CHOOSE( CONTROL!$C$32, 13.61, 13.6097) * CHOOSE( CONTROL!$C$15, $D$11, 100%, $F$11)</f>
        <v>13.61</v>
      </c>
      <c r="E449" s="12">
        <f>CHOOSE( CONTROL!$C$32, 13.6103, 13.61) * CHOOSE( CONTROL!$C$15, $D$11, 100%, $F$11)</f>
        <v>13.610300000000001</v>
      </c>
      <c r="F449" s="4">
        <f>CHOOSE( CONTROL!$C$32, 14.2726, 14.2723) * CHOOSE(CONTROL!$C$15, $D$11, 100%, $F$11)</f>
        <v>14.272600000000001</v>
      </c>
      <c r="G449" s="8">
        <f>CHOOSE( CONTROL!$C$32, 13.4627, 13.4625) * CHOOSE( CONTROL!$C$15, $D$11, 100%, $F$11)</f>
        <v>13.4627</v>
      </c>
      <c r="H449" s="4">
        <f>CHOOSE( CONTROL!$C$32, 14.3521, 14.3518) * CHOOSE(CONTROL!$C$15, $D$11, 100%, $F$11)</f>
        <v>14.3521</v>
      </c>
      <c r="I449" s="8">
        <f>CHOOSE( CONTROL!$C$32, 13.3173, 13.3171) * CHOOSE(CONTROL!$C$15, $D$11, 100%, $F$11)</f>
        <v>13.317299999999999</v>
      </c>
      <c r="J449" s="4">
        <f>CHOOSE( CONTROL!$C$32, 13.1971, 13.1968) * CHOOSE(CONTROL!$C$15, $D$11, 100%, $F$11)</f>
        <v>13.197100000000001</v>
      </c>
      <c r="K449" s="4"/>
      <c r="L449" s="9">
        <v>29.306000000000001</v>
      </c>
      <c r="M449" s="9">
        <v>12.063700000000001</v>
      </c>
      <c r="N449" s="9">
        <v>4.9444999999999997</v>
      </c>
      <c r="O449" s="9">
        <v>0.37409999999999999</v>
      </c>
      <c r="P449" s="9">
        <v>1.2927</v>
      </c>
      <c r="Q449" s="9">
        <v>20.071300000000001</v>
      </c>
      <c r="R449" s="9"/>
      <c r="S449" s="11"/>
    </row>
    <row r="450" spans="1:19" ht="15.75">
      <c r="A450" s="13">
        <v>54847</v>
      </c>
      <c r="B450" s="8">
        <f>CHOOSE( CONTROL!$C$32, 12.7282, 12.7279) * CHOOSE(CONTROL!$C$15, $D$11, 100%, $F$11)</f>
        <v>12.728199999999999</v>
      </c>
      <c r="C450" s="8">
        <f>CHOOSE( CONTROL!$C$32, 12.7333, 12.733) * CHOOSE(CONTROL!$C$15, $D$11, 100%, $F$11)</f>
        <v>12.7333</v>
      </c>
      <c r="D450" s="8">
        <f>CHOOSE( CONTROL!$C$32, 12.7132, 12.713) * CHOOSE( CONTROL!$C$15, $D$11, 100%, $F$11)</f>
        <v>12.713200000000001</v>
      </c>
      <c r="E450" s="12">
        <f>CHOOSE( CONTROL!$C$32, 12.72, 12.7198) * CHOOSE( CONTROL!$C$15, $D$11, 100%, $F$11)</f>
        <v>12.72</v>
      </c>
      <c r="F450" s="4">
        <f>CHOOSE( CONTROL!$C$32, 13.3935, 13.3932) * CHOOSE(CONTROL!$C$15, $D$11, 100%, $F$11)</f>
        <v>13.3935</v>
      </c>
      <c r="G450" s="8">
        <f>CHOOSE( CONTROL!$C$32, 12.5828, 12.5826) * CHOOSE( CONTROL!$C$15, $D$11, 100%, $F$11)</f>
        <v>12.582800000000001</v>
      </c>
      <c r="H450" s="4">
        <f>CHOOSE( CONTROL!$C$32, 13.4833, 13.483) * CHOOSE(CONTROL!$C$15, $D$11, 100%, $F$11)</f>
        <v>13.4833</v>
      </c>
      <c r="I450" s="8">
        <f>CHOOSE( CONTROL!$C$32, 12.4642, 12.4639) * CHOOSE(CONTROL!$C$15, $D$11, 100%, $F$11)</f>
        <v>12.4642</v>
      </c>
      <c r="J450" s="4">
        <f>CHOOSE( CONTROL!$C$32, 12.344, 12.3437) * CHOOSE(CONTROL!$C$15, $D$11, 100%, $F$11)</f>
        <v>12.343999999999999</v>
      </c>
      <c r="K450" s="4"/>
      <c r="L450" s="9">
        <v>26.469899999999999</v>
      </c>
      <c r="M450" s="9">
        <v>10.8962</v>
      </c>
      <c r="N450" s="9">
        <v>4.4660000000000002</v>
      </c>
      <c r="O450" s="9">
        <v>0.33789999999999998</v>
      </c>
      <c r="P450" s="9">
        <v>1.1676</v>
      </c>
      <c r="Q450" s="9">
        <v>18.128900000000002</v>
      </c>
      <c r="R450" s="9"/>
      <c r="S450" s="11"/>
    </row>
    <row r="451" spans="1:19" ht="15.75">
      <c r="A451" s="13">
        <v>54878</v>
      </c>
      <c r="B451" s="8">
        <f>CHOOSE( CONTROL!$C$32, 12.4574, 12.4572) * CHOOSE(CONTROL!$C$15, $D$11, 100%, $F$11)</f>
        <v>12.4574</v>
      </c>
      <c r="C451" s="8">
        <f>CHOOSE( CONTROL!$C$32, 12.4625, 12.4622) * CHOOSE(CONTROL!$C$15, $D$11, 100%, $F$11)</f>
        <v>12.4625</v>
      </c>
      <c r="D451" s="8">
        <f>CHOOSE( CONTROL!$C$32, 12.4325, 12.4323) * CHOOSE( CONTROL!$C$15, $D$11, 100%, $F$11)</f>
        <v>12.432499999999999</v>
      </c>
      <c r="E451" s="12">
        <f>CHOOSE( CONTROL!$C$32, 12.4429, 12.4427) * CHOOSE( CONTROL!$C$15, $D$11, 100%, $F$11)</f>
        <v>12.4429</v>
      </c>
      <c r="F451" s="4">
        <f>CHOOSE( CONTROL!$C$32, 13.1227, 13.1224) * CHOOSE(CONTROL!$C$15, $D$11, 100%, $F$11)</f>
        <v>13.1227</v>
      </c>
      <c r="G451" s="8">
        <f>CHOOSE( CONTROL!$C$32, 12.302, 12.3017) * CHOOSE( CONTROL!$C$15, $D$11, 100%, $F$11)</f>
        <v>12.302</v>
      </c>
      <c r="H451" s="4">
        <f>CHOOSE( CONTROL!$C$32, 13.2157, 13.2154) * CHOOSE(CONTROL!$C$15, $D$11, 100%, $F$11)</f>
        <v>13.2157</v>
      </c>
      <c r="I451" s="8">
        <f>CHOOSE( CONTROL!$C$32, 12.1661, 12.1658) * CHOOSE(CONTROL!$C$15, $D$11, 100%, $F$11)</f>
        <v>12.1661</v>
      </c>
      <c r="J451" s="4">
        <f>CHOOSE( CONTROL!$C$32, 12.0812, 12.0809) * CHOOSE(CONTROL!$C$15, $D$11, 100%, $F$11)</f>
        <v>12.081200000000001</v>
      </c>
      <c r="K451" s="4"/>
      <c r="L451" s="9">
        <v>29.306000000000001</v>
      </c>
      <c r="M451" s="9">
        <v>12.063700000000001</v>
      </c>
      <c r="N451" s="9">
        <v>4.9444999999999997</v>
      </c>
      <c r="O451" s="9">
        <v>0.37409999999999999</v>
      </c>
      <c r="P451" s="9">
        <v>1.2927</v>
      </c>
      <c r="Q451" s="9">
        <v>20.071300000000001</v>
      </c>
      <c r="R451" s="9"/>
      <c r="S451" s="11"/>
    </row>
    <row r="452" spans="1:19" ht="15.75">
      <c r="A452" s="13">
        <v>54908</v>
      </c>
      <c r="B452" s="8">
        <f>CHOOSE( CONTROL!$C$32, 12.6474, 12.6471) * CHOOSE(CONTROL!$C$15, $D$11, 100%, $F$11)</f>
        <v>12.647399999999999</v>
      </c>
      <c r="C452" s="8">
        <f>CHOOSE( CONTROL!$C$32, 12.6519, 12.6516) * CHOOSE(CONTROL!$C$15, $D$11, 100%, $F$11)</f>
        <v>12.651899999999999</v>
      </c>
      <c r="D452" s="8">
        <f>CHOOSE( CONTROL!$C$32, 12.6514, 12.6511) * CHOOSE( CONTROL!$C$15, $D$11, 100%, $F$11)</f>
        <v>12.651400000000001</v>
      </c>
      <c r="E452" s="12">
        <f>CHOOSE( CONTROL!$C$32, 12.6511, 12.6508) * CHOOSE( CONTROL!$C$15, $D$11, 100%, $F$11)</f>
        <v>12.6511</v>
      </c>
      <c r="F452" s="4">
        <f>CHOOSE( CONTROL!$C$32, 13.3557, 13.3554) * CHOOSE(CONTROL!$C$15, $D$11, 100%, $F$11)</f>
        <v>13.355700000000001</v>
      </c>
      <c r="G452" s="8">
        <f>CHOOSE( CONTROL!$C$32, 12.506, 12.5057) * CHOOSE( CONTROL!$C$15, $D$11, 100%, $F$11)</f>
        <v>12.506</v>
      </c>
      <c r="H452" s="4">
        <f>CHOOSE( CONTROL!$C$32, 13.4459, 13.4457) * CHOOSE(CONTROL!$C$15, $D$11, 100%, $F$11)</f>
        <v>13.4459</v>
      </c>
      <c r="I452" s="8">
        <f>CHOOSE( CONTROL!$C$32, 12.3503, 12.35) * CHOOSE(CONTROL!$C$15, $D$11, 100%, $F$11)</f>
        <v>12.350300000000001</v>
      </c>
      <c r="J452" s="4">
        <f>CHOOSE( CONTROL!$C$32, 12.2648, 12.2645) * CHOOSE(CONTROL!$C$15, $D$11, 100%, $F$11)</f>
        <v>12.264799999999999</v>
      </c>
      <c r="K452" s="4"/>
      <c r="L452" s="9">
        <v>30.092199999999998</v>
      </c>
      <c r="M452" s="9">
        <v>11.6745</v>
      </c>
      <c r="N452" s="9">
        <v>4.7850000000000001</v>
      </c>
      <c r="O452" s="9">
        <v>0.36199999999999999</v>
      </c>
      <c r="P452" s="9">
        <v>1.2509999999999999</v>
      </c>
      <c r="Q452" s="9">
        <v>19.4238</v>
      </c>
      <c r="R452" s="9"/>
      <c r="S452" s="11"/>
    </row>
    <row r="453" spans="1:19" ht="15.75">
      <c r="A453" s="13">
        <v>54939</v>
      </c>
      <c r="B453" s="8">
        <f>CHOOSE( CONTROL!$C$32, 12.9857, 12.9852) * CHOOSE(CONTROL!$C$15, $D$11, 100%, $F$11)</f>
        <v>12.9857</v>
      </c>
      <c r="C453" s="8">
        <f>CHOOSE( CONTROL!$C$32, 12.9937, 12.9932) * CHOOSE(CONTROL!$C$15, $D$11, 100%, $F$11)</f>
        <v>12.9937</v>
      </c>
      <c r="D453" s="8">
        <f>CHOOSE( CONTROL!$C$32, 12.988, 12.9875) * CHOOSE( CONTROL!$C$15, $D$11, 100%, $F$11)</f>
        <v>12.988</v>
      </c>
      <c r="E453" s="12">
        <f>CHOOSE( CONTROL!$C$32, 12.9888, 12.9883) * CHOOSE( CONTROL!$C$15, $D$11, 100%, $F$11)</f>
        <v>12.988799999999999</v>
      </c>
      <c r="F453" s="4">
        <f>CHOOSE( CONTROL!$C$32, 13.6926, 13.6922) * CHOOSE(CONTROL!$C$15, $D$11, 100%, $F$11)</f>
        <v>13.692600000000001</v>
      </c>
      <c r="G453" s="8">
        <f>CHOOSE( CONTROL!$C$32, 12.8393, 12.8388) * CHOOSE( CONTROL!$C$15, $D$11, 100%, $F$11)</f>
        <v>12.8393</v>
      </c>
      <c r="H453" s="4">
        <f>CHOOSE( CONTROL!$C$32, 13.7789, 13.7785) * CHOOSE(CONTROL!$C$15, $D$11, 100%, $F$11)</f>
        <v>13.7789</v>
      </c>
      <c r="I453" s="8">
        <f>CHOOSE( CONTROL!$C$32, 12.678, 12.6776) * CHOOSE(CONTROL!$C$15, $D$11, 100%, $F$11)</f>
        <v>12.678000000000001</v>
      </c>
      <c r="J453" s="4">
        <f>CHOOSE( CONTROL!$C$32, 12.5918, 12.5913) * CHOOSE(CONTROL!$C$15, $D$11, 100%, $F$11)</f>
        <v>12.591799999999999</v>
      </c>
      <c r="K453" s="4"/>
      <c r="L453" s="9">
        <v>30.7165</v>
      </c>
      <c r="M453" s="9">
        <v>12.063700000000001</v>
      </c>
      <c r="N453" s="9">
        <v>4.9444999999999997</v>
      </c>
      <c r="O453" s="9">
        <v>0.37409999999999999</v>
      </c>
      <c r="P453" s="9">
        <v>1.2927</v>
      </c>
      <c r="Q453" s="9">
        <v>20.071300000000001</v>
      </c>
      <c r="R453" s="9"/>
      <c r="S453" s="11"/>
    </row>
    <row r="454" spans="1:19" ht="15.75">
      <c r="A454" s="13">
        <v>54969</v>
      </c>
      <c r="B454" s="8">
        <f>CHOOSE( CONTROL!$C$32, 12.7771, 12.7766) * CHOOSE(CONTROL!$C$15, $D$11, 100%, $F$11)</f>
        <v>12.777100000000001</v>
      </c>
      <c r="C454" s="8">
        <f>CHOOSE( CONTROL!$C$32, 12.7851, 12.7846) * CHOOSE(CONTROL!$C$15, $D$11, 100%, $F$11)</f>
        <v>12.7851</v>
      </c>
      <c r="D454" s="8">
        <f>CHOOSE( CONTROL!$C$32, 12.7798, 12.7793) * CHOOSE( CONTROL!$C$15, $D$11, 100%, $F$11)</f>
        <v>12.7798</v>
      </c>
      <c r="E454" s="12">
        <f>CHOOSE( CONTROL!$C$32, 12.7805, 12.78) * CHOOSE( CONTROL!$C$15, $D$11, 100%, $F$11)</f>
        <v>12.7805</v>
      </c>
      <c r="F454" s="4">
        <f>CHOOSE( CONTROL!$C$32, 13.484, 13.4836) * CHOOSE(CONTROL!$C$15, $D$11, 100%, $F$11)</f>
        <v>13.484</v>
      </c>
      <c r="G454" s="8">
        <f>CHOOSE( CONTROL!$C$32, 12.6335, 12.633) * CHOOSE( CONTROL!$C$15, $D$11, 100%, $F$11)</f>
        <v>12.6335</v>
      </c>
      <c r="H454" s="4">
        <f>CHOOSE( CONTROL!$C$32, 13.5728, 13.5723) * CHOOSE(CONTROL!$C$15, $D$11, 100%, $F$11)</f>
        <v>13.572800000000001</v>
      </c>
      <c r="I454" s="8">
        <f>CHOOSE( CONTROL!$C$32, 12.4769, 12.4764) * CHOOSE(CONTROL!$C$15, $D$11, 100%, $F$11)</f>
        <v>12.476900000000001</v>
      </c>
      <c r="J454" s="4">
        <f>CHOOSE( CONTROL!$C$32, 12.3893, 12.3889) * CHOOSE(CONTROL!$C$15, $D$11, 100%, $F$11)</f>
        <v>12.3893</v>
      </c>
      <c r="K454" s="4"/>
      <c r="L454" s="9">
        <v>29.7257</v>
      </c>
      <c r="M454" s="9">
        <v>11.6745</v>
      </c>
      <c r="N454" s="9">
        <v>4.7850000000000001</v>
      </c>
      <c r="O454" s="9">
        <v>0.36199999999999999</v>
      </c>
      <c r="P454" s="9">
        <v>1.2509999999999999</v>
      </c>
      <c r="Q454" s="9">
        <v>19.4238</v>
      </c>
      <c r="R454" s="9"/>
      <c r="S454" s="11"/>
    </row>
    <row r="455" spans="1:19" ht="15.75">
      <c r="A455" s="13">
        <v>55000</v>
      </c>
      <c r="B455" s="8">
        <f>CHOOSE( CONTROL!$C$32, 13.3264, 13.3259) * CHOOSE(CONTROL!$C$15, $D$11, 100%, $F$11)</f>
        <v>13.3264</v>
      </c>
      <c r="C455" s="8">
        <f>CHOOSE( CONTROL!$C$32, 13.3344, 13.3339) * CHOOSE(CONTROL!$C$15, $D$11, 100%, $F$11)</f>
        <v>13.3344</v>
      </c>
      <c r="D455" s="8">
        <f>CHOOSE( CONTROL!$C$32, 13.3295, 13.3291) * CHOOSE( CONTROL!$C$15, $D$11, 100%, $F$11)</f>
        <v>13.329499999999999</v>
      </c>
      <c r="E455" s="12">
        <f>CHOOSE( CONTROL!$C$32, 13.3301, 13.3296) * CHOOSE( CONTROL!$C$15, $D$11, 100%, $F$11)</f>
        <v>13.3301</v>
      </c>
      <c r="F455" s="4">
        <f>CHOOSE( CONTROL!$C$32, 14.0333, 14.0329) * CHOOSE(CONTROL!$C$15, $D$11, 100%, $F$11)</f>
        <v>14.033300000000001</v>
      </c>
      <c r="G455" s="8">
        <f>CHOOSE( CONTROL!$C$32, 13.1767, 13.1763) * CHOOSE( CONTROL!$C$15, $D$11, 100%, $F$11)</f>
        <v>13.1767</v>
      </c>
      <c r="H455" s="4">
        <f>CHOOSE( CONTROL!$C$32, 14.1156, 14.1152) * CHOOSE(CONTROL!$C$15, $D$11, 100%, $F$11)</f>
        <v>14.115600000000001</v>
      </c>
      <c r="I455" s="8">
        <f>CHOOSE( CONTROL!$C$32, 13.0118, 13.0114) * CHOOSE(CONTROL!$C$15, $D$11, 100%, $F$11)</f>
        <v>13.011799999999999</v>
      </c>
      <c r="J455" s="4">
        <f>CHOOSE( CONTROL!$C$32, 12.9224, 12.922) * CHOOSE(CONTROL!$C$15, $D$11, 100%, $F$11)</f>
        <v>12.9224</v>
      </c>
      <c r="K455" s="4"/>
      <c r="L455" s="9">
        <v>30.7165</v>
      </c>
      <c r="M455" s="9">
        <v>12.063700000000001</v>
      </c>
      <c r="N455" s="9">
        <v>4.9444999999999997</v>
      </c>
      <c r="O455" s="9">
        <v>0.37409999999999999</v>
      </c>
      <c r="P455" s="9">
        <v>1.2927</v>
      </c>
      <c r="Q455" s="9">
        <v>20.071300000000001</v>
      </c>
      <c r="R455" s="9"/>
      <c r="S455" s="11"/>
    </row>
    <row r="456" spans="1:19" ht="15.75">
      <c r="A456" s="13">
        <v>55031</v>
      </c>
      <c r="B456" s="8">
        <f>CHOOSE( CONTROL!$C$32, 12.2986, 12.2981) * CHOOSE(CONTROL!$C$15, $D$11, 100%, $F$11)</f>
        <v>12.2986</v>
      </c>
      <c r="C456" s="8">
        <f>CHOOSE( CONTROL!$C$32, 12.3066, 12.3061) * CHOOSE(CONTROL!$C$15, $D$11, 100%, $F$11)</f>
        <v>12.3066</v>
      </c>
      <c r="D456" s="8">
        <f>CHOOSE( CONTROL!$C$32, 12.3018, 12.3014) * CHOOSE( CONTROL!$C$15, $D$11, 100%, $F$11)</f>
        <v>12.3018</v>
      </c>
      <c r="E456" s="12">
        <f>CHOOSE( CONTROL!$C$32, 12.3023, 12.3019) * CHOOSE( CONTROL!$C$15, $D$11, 100%, $F$11)</f>
        <v>12.302300000000001</v>
      </c>
      <c r="F456" s="4">
        <f>CHOOSE( CONTROL!$C$32, 13.0055, 13.0051) * CHOOSE(CONTROL!$C$15, $D$11, 100%, $F$11)</f>
        <v>13.0055</v>
      </c>
      <c r="G456" s="8">
        <f>CHOOSE( CONTROL!$C$32, 12.161, 12.1606) * CHOOSE( CONTROL!$C$15, $D$11, 100%, $F$11)</f>
        <v>12.161</v>
      </c>
      <c r="H456" s="4">
        <f>CHOOSE( CONTROL!$C$32, 13.0999, 13.0994) * CHOOSE(CONTROL!$C$15, $D$11, 100%, $F$11)</f>
        <v>13.0999</v>
      </c>
      <c r="I456" s="8">
        <f>CHOOSE( CONTROL!$C$32, 12.0143, 12.0138) * CHOOSE(CONTROL!$C$15, $D$11, 100%, $F$11)</f>
        <v>12.0143</v>
      </c>
      <c r="J456" s="4">
        <f>CHOOSE( CONTROL!$C$32, 11.925, 11.9245) * CHOOSE(CONTROL!$C$15, $D$11, 100%, $F$11)</f>
        <v>11.925000000000001</v>
      </c>
      <c r="K456" s="4"/>
      <c r="L456" s="9">
        <v>30.7165</v>
      </c>
      <c r="M456" s="9">
        <v>12.063700000000001</v>
      </c>
      <c r="N456" s="9">
        <v>4.9444999999999997</v>
      </c>
      <c r="O456" s="9">
        <v>0.37409999999999999</v>
      </c>
      <c r="P456" s="9">
        <v>1.2927</v>
      </c>
      <c r="Q456" s="9">
        <v>20.071300000000001</v>
      </c>
      <c r="R456" s="9"/>
      <c r="S456" s="11"/>
    </row>
    <row r="457" spans="1:19" ht="15.75">
      <c r="A457" s="13">
        <v>55061</v>
      </c>
      <c r="B457" s="8">
        <f>CHOOSE( CONTROL!$C$32, 12.0412, 12.0408) * CHOOSE(CONTROL!$C$15, $D$11, 100%, $F$11)</f>
        <v>12.0412</v>
      </c>
      <c r="C457" s="8">
        <f>CHOOSE( CONTROL!$C$32, 12.0492, 12.0487) * CHOOSE(CONTROL!$C$15, $D$11, 100%, $F$11)</f>
        <v>12.049200000000001</v>
      </c>
      <c r="D457" s="8">
        <f>CHOOSE( CONTROL!$C$32, 12.0443, 12.0439) * CHOOSE( CONTROL!$C$15, $D$11, 100%, $F$11)</f>
        <v>12.0443</v>
      </c>
      <c r="E457" s="12">
        <f>CHOOSE( CONTROL!$C$32, 12.0449, 12.0444) * CHOOSE( CONTROL!$C$15, $D$11, 100%, $F$11)</f>
        <v>12.0449</v>
      </c>
      <c r="F457" s="4">
        <f>CHOOSE( CONTROL!$C$32, 12.7482, 12.7477) * CHOOSE(CONTROL!$C$15, $D$11, 100%, $F$11)</f>
        <v>12.748200000000001</v>
      </c>
      <c r="G457" s="8">
        <f>CHOOSE( CONTROL!$C$32, 11.9066, 11.9061) * CHOOSE( CONTROL!$C$15, $D$11, 100%, $F$11)</f>
        <v>11.906599999999999</v>
      </c>
      <c r="H457" s="4">
        <f>CHOOSE( CONTROL!$C$32, 12.8455, 12.8451) * CHOOSE(CONTROL!$C$15, $D$11, 100%, $F$11)</f>
        <v>12.845499999999999</v>
      </c>
      <c r="I457" s="8">
        <f>CHOOSE( CONTROL!$C$32, 11.7639, 11.7634) * CHOOSE(CONTROL!$C$15, $D$11, 100%, $F$11)</f>
        <v>11.7639</v>
      </c>
      <c r="J457" s="4">
        <f>CHOOSE( CONTROL!$C$32, 11.6752, 11.6747) * CHOOSE(CONTROL!$C$15, $D$11, 100%, $F$11)</f>
        <v>11.6752</v>
      </c>
      <c r="K457" s="4"/>
      <c r="L457" s="9">
        <v>29.7257</v>
      </c>
      <c r="M457" s="9">
        <v>11.6745</v>
      </c>
      <c r="N457" s="9">
        <v>4.7850000000000001</v>
      </c>
      <c r="O457" s="9">
        <v>0.36199999999999999</v>
      </c>
      <c r="P457" s="9">
        <v>1.2509999999999999</v>
      </c>
      <c r="Q457" s="9">
        <v>19.4238</v>
      </c>
      <c r="R457" s="9"/>
      <c r="S457" s="11"/>
    </row>
    <row r="458" spans="1:19" ht="15.75">
      <c r="A458" s="13">
        <v>55092</v>
      </c>
      <c r="B458" s="8">
        <f>CHOOSE( CONTROL!$C$32, 12.5737, 12.5734) * CHOOSE(CONTROL!$C$15, $D$11, 100%, $F$11)</f>
        <v>12.573700000000001</v>
      </c>
      <c r="C458" s="8">
        <f>CHOOSE( CONTROL!$C$32, 12.579, 12.5788) * CHOOSE(CONTROL!$C$15, $D$11, 100%, $F$11)</f>
        <v>12.579000000000001</v>
      </c>
      <c r="D458" s="8">
        <f>CHOOSE( CONTROL!$C$32, 12.5792, 12.579) * CHOOSE( CONTROL!$C$15, $D$11, 100%, $F$11)</f>
        <v>12.5792</v>
      </c>
      <c r="E458" s="12">
        <f>CHOOSE( CONTROL!$C$32, 12.5786, 12.5784) * CHOOSE( CONTROL!$C$15, $D$11, 100%, $F$11)</f>
        <v>12.5786</v>
      </c>
      <c r="F458" s="4">
        <f>CHOOSE( CONTROL!$C$32, 13.2824, 13.2821) * CHOOSE(CONTROL!$C$15, $D$11, 100%, $F$11)</f>
        <v>13.282400000000001</v>
      </c>
      <c r="G458" s="8">
        <f>CHOOSE( CONTROL!$C$32, 12.4345, 12.4342) * CHOOSE( CONTROL!$C$15, $D$11, 100%, $F$11)</f>
        <v>12.4345</v>
      </c>
      <c r="H458" s="4">
        <f>CHOOSE( CONTROL!$C$32, 13.3735, 13.3732) * CHOOSE(CONTROL!$C$15, $D$11, 100%, $F$11)</f>
        <v>13.3735</v>
      </c>
      <c r="I458" s="8">
        <f>CHOOSE( CONTROL!$C$32, 12.2833, 12.283) * CHOOSE(CONTROL!$C$15, $D$11, 100%, $F$11)</f>
        <v>12.283300000000001</v>
      </c>
      <c r="J458" s="4">
        <f>CHOOSE( CONTROL!$C$32, 12.1936, 12.1934) * CHOOSE(CONTROL!$C$15, $D$11, 100%, $F$11)</f>
        <v>12.1936</v>
      </c>
      <c r="K458" s="4"/>
      <c r="L458" s="9">
        <v>31.095300000000002</v>
      </c>
      <c r="M458" s="9">
        <v>12.063700000000001</v>
      </c>
      <c r="N458" s="9">
        <v>4.9444999999999997</v>
      </c>
      <c r="O458" s="9">
        <v>0.37409999999999999</v>
      </c>
      <c r="P458" s="9">
        <v>1.2927</v>
      </c>
      <c r="Q458" s="9">
        <v>20.071300000000001</v>
      </c>
      <c r="R458" s="9"/>
      <c r="S458" s="11"/>
    </row>
    <row r="459" spans="1:19" ht="15.75">
      <c r="A459" s="13">
        <v>55122</v>
      </c>
      <c r="B459" s="8">
        <f>CHOOSE( CONTROL!$C$32, 13.5597, 13.5594) * CHOOSE(CONTROL!$C$15, $D$11, 100%, $F$11)</f>
        <v>13.559699999999999</v>
      </c>
      <c r="C459" s="8">
        <f>CHOOSE( CONTROL!$C$32, 13.5648, 13.5645) * CHOOSE(CONTROL!$C$15, $D$11, 100%, $F$11)</f>
        <v>13.5648</v>
      </c>
      <c r="D459" s="8">
        <f>CHOOSE( CONTROL!$C$32, 13.5326, 13.5324) * CHOOSE( CONTROL!$C$15, $D$11, 100%, $F$11)</f>
        <v>13.5326</v>
      </c>
      <c r="E459" s="12">
        <f>CHOOSE( CONTROL!$C$32, 13.5438, 13.5436) * CHOOSE( CONTROL!$C$15, $D$11, 100%, $F$11)</f>
        <v>13.543799999999999</v>
      </c>
      <c r="F459" s="4">
        <f>CHOOSE( CONTROL!$C$32, 14.225, 14.2247) * CHOOSE(CONTROL!$C$15, $D$11, 100%, $F$11)</f>
        <v>14.225</v>
      </c>
      <c r="G459" s="8">
        <f>CHOOSE( CONTROL!$C$32, 13.3983, 13.398) * CHOOSE( CONTROL!$C$15, $D$11, 100%, $F$11)</f>
        <v>13.398300000000001</v>
      </c>
      <c r="H459" s="4">
        <f>CHOOSE( CONTROL!$C$32, 14.305, 14.3048) * CHOOSE(CONTROL!$C$15, $D$11, 100%, $F$11)</f>
        <v>14.305</v>
      </c>
      <c r="I459" s="8">
        <f>CHOOSE( CONTROL!$C$32, 13.2919, 13.2916) * CHOOSE(CONTROL!$C$15, $D$11, 100%, $F$11)</f>
        <v>13.2919</v>
      </c>
      <c r="J459" s="4">
        <f>CHOOSE( CONTROL!$C$32, 13.1509, 13.1507) * CHOOSE(CONTROL!$C$15, $D$11, 100%, $F$11)</f>
        <v>13.1509</v>
      </c>
      <c r="K459" s="4"/>
      <c r="L459" s="9">
        <v>28.360600000000002</v>
      </c>
      <c r="M459" s="9">
        <v>11.6745</v>
      </c>
      <c r="N459" s="9">
        <v>4.7850000000000001</v>
      </c>
      <c r="O459" s="9">
        <v>0.36199999999999999</v>
      </c>
      <c r="P459" s="9">
        <v>1.2509999999999999</v>
      </c>
      <c r="Q459" s="9">
        <v>19.4238</v>
      </c>
      <c r="R459" s="9"/>
      <c r="S459" s="11"/>
    </row>
    <row r="460" spans="1:19" ht="15.75">
      <c r="A460" s="13">
        <v>55153</v>
      </c>
      <c r="B460" s="8">
        <f>CHOOSE( CONTROL!$C$32, 13.535, 13.5348) * CHOOSE(CONTROL!$C$15, $D$11, 100%, $F$11)</f>
        <v>13.535</v>
      </c>
      <c r="C460" s="8">
        <f>CHOOSE( CONTROL!$C$32, 13.5401, 13.5398) * CHOOSE(CONTROL!$C$15, $D$11, 100%, $F$11)</f>
        <v>13.540100000000001</v>
      </c>
      <c r="D460" s="8">
        <f>CHOOSE( CONTROL!$C$32, 13.5098, 13.5095) * CHOOSE( CONTROL!$C$15, $D$11, 100%, $F$11)</f>
        <v>13.5098</v>
      </c>
      <c r="E460" s="12">
        <f>CHOOSE( CONTROL!$C$32, 13.5203, 13.52) * CHOOSE( CONTROL!$C$15, $D$11, 100%, $F$11)</f>
        <v>13.520300000000001</v>
      </c>
      <c r="F460" s="4">
        <f>CHOOSE( CONTROL!$C$32, 14.2003, 14.2) * CHOOSE(CONTROL!$C$15, $D$11, 100%, $F$11)</f>
        <v>14.2003</v>
      </c>
      <c r="G460" s="8">
        <f>CHOOSE( CONTROL!$C$32, 13.3752, 13.375) * CHOOSE( CONTROL!$C$15, $D$11, 100%, $F$11)</f>
        <v>13.3752</v>
      </c>
      <c r="H460" s="4">
        <f>CHOOSE( CONTROL!$C$32, 14.2807, 14.2804) * CHOOSE(CONTROL!$C$15, $D$11, 100%, $F$11)</f>
        <v>14.2807</v>
      </c>
      <c r="I460" s="8">
        <f>CHOOSE( CONTROL!$C$32, 13.2736, 13.2734) * CHOOSE(CONTROL!$C$15, $D$11, 100%, $F$11)</f>
        <v>13.2736</v>
      </c>
      <c r="J460" s="4">
        <f>CHOOSE( CONTROL!$C$32, 13.127, 13.1267) * CHOOSE(CONTROL!$C$15, $D$11, 100%, $F$11)</f>
        <v>13.127000000000001</v>
      </c>
      <c r="K460" s="4"/>
      <c r="L460" s="9">
        <v>29.306000000000001</v>
      </c>
      <c r="M460" s="9">
        <v>12.063700000000001</v>
      </c>
      <c r="N460" s="9">
        <v>4.9444999999999997</v>
      </c>
      <c r="O460" s="9">
        <v>0.37409999999999999</v>
      </c>
      <c r="P460" s="9">
        <v>1.2927</v>
      </c>
      <c r="Q460" s="9">
        <v>20.071300000000001</v>
      </c>
      <c r="R460" s="9"/>
      <c r="S460" s="11"/>
    </row>
    <row r="461" spans="1:19" ht="15.75">
      <c r="A461" s="13">
        <v>55184</v>
      </c>
      <c r="B461" s="8">
        <f>CHOOSE( CONTROL!$C$32, 13.934, 13.9337) * CHOOSE(CONTROL!$C$15, $D$11, 100%, $F$11)</f>
        <v>13.933999999999999</v>
      </c>
      <c r="C461" s="8">
        <f>CHOOSE( CONTROL!$C$32, 13.9391, 13.9388) * CHOOSE(CONTROL!$C$15, $D$11, 100%, $F$11)</f>
        <v>13.9391</v>
      </c>
      <c r="D461" s="8">
        <f>CHOOSE( CONTROL!$C$32, 13.9367, 13.9364) * CHOOSE( CONTROL!$C$15, $D$11, 100%, $F$11)</f>
        <v>13.9367</v>
      </c>
      <c r="E461" s="12">
        <f>CHOOSE( CONTROL!$C$32, 13.937, 13.9367) * CHOOSE( CONTROL!$C$15, $D$11, 100%, $F$11)</f>
        <v>13.936999999999999</v>
      </c>
      <c r="F461" s="4">
        <f>CHOOSE( CONTROL!$C$32, 14.5993, 14.599) * CHOOSE(CONTROL!$C$15, $D$11, 100%, $F$11)</f>
        <v>14.599299999999999</v>
      </c>
      <c r="G461" s="8">
        <f>CHOOSE( CONTROL!$C$32, 13.7856, 13.7854) * CHOOSE( CONTROL!$C$15, $D$11, 100%, $F$11)</f>
        <v>13.785600000000001</v>
      </c>
      <c r="H461" s="4">
        <f>CHOOSE( CONTROL!$C$32, 14.675, 14.6747) * CHOOSE(CONTROL!$C$15, $D$11, 100%, $F$11)</f>
        <v>14.675000000000001</v>
      </c>
      <c r="I461" s="8">
        <f>CHOOSE( CONTROL!$C$32, 13.6346, 13.6343) * CHOOSE(CONTROL!$C$15, $D$11, 100%, $F$11)</f>
        <v>13.634600000000001</v>
      </c>
      <c r="J461" s="4">
        <f>CHOOSE( CONTROL!$C$32, 13.5142, 13.5139) * CHOOSE(CONTROL!$C$15, $D$11, 100%, $F$11)</f>
        <v>13.514200000000001</v>
      </c>
      <c r="K461" s="4"/>
      <c r="L461" s="9">
        <v>29.306000000000001</v>
      </c>
      <c r="M461" s="9">
        <v>12.063700000000001</v>
      </c>
      <c r="N461" s="9">
        <v>4.9444999999999997</v>
      </c>
      <c r="O461" s="9">
        <v>0.37409999999999999</v>
      </c>
      <c r="P461" s="9">
        <v>1.2927</v>
      </c>
      <c r="Q461" s="9">
        <v>20.007999999999999</v>
      </c>
      <c r="R461" s="9"/>
      <c r="S461" s="11"/>
    </row>
    <row r="462" spans="1:19" ht="15.75">
      <c r="A462" s="13">
        <v>55212</v>
      </c>
      <c r="B462" s="8">
        <f>CHOOSE( CONTROL!$C$32, 13.0338, 13.0335) * CHOOSE(CONTROL!$C$15, $D$11, 100%, $F$11)</f>
        <v>13.033799999999999</v>
      </c>
      <c r="C462" s="8">
        <f>CHOOSE( CONTROL!$C$32, 13.0389, 13.0386) * CHOOSE(CONTROL!$C$15, $D$11, 100%, $F$11)</f>
        <v>13.0389</v>
      </c>
      <c r="D462" s="8">
        <f>CHOOSE( CONTROL!$C$32, 13.0188, 13.0186) * CHOOSE( CONTROL!$C$15, $D$11, 100%, $F$11)</f>
        <v>13.018800000000001</v>
      </c>
      <c r="E462" s="12">
        <f>CHOOSE( CONTROL!$C$32, 13.0256, 13.0254) * CHOOSE( CONTROL!$C$15, $D$11, 100%, $F$11)</f>
        <v>13.025600000000001</v>
      </c>
      <c r="F462" s="4">
        <f>CHOOSE( CONTROL!$C$32, 13.6991, 13.6988) * CHOOSE(CONTROL!$C$15, $D$11, 100%, $F$11)</f>
        <v>13.6991</v>
      </c>
      <c r="G462" s="8">
        <f>CHOOSE( CONTROL!$C$32, 12.8848, 12.8846) * CHOOSE( CONTROL!$C$15, $D$11, 100%, $F$11)</f>
        <v>12.8848</v>
      </c>
      <c r="H462" s="4">
        <f>CHOOSE( CONTROL!$C$32, 13.7853, 13.785) * CHOOSE(CONTROL!$C$15, $D$11, 100%, $F$11)</f>
        <v>13.785299999999999</v>
      </c>
      <c r="I462" s="8">
        <f>CHOOSE( CONTROL!$C$32, 12.7609, 12.7606) * CHOOSE(CONTROL!$C$15, $D$11, 100%, $F$11)</f>
        <v>12.760899999999999</v>
      </c>
      <c r="J462" s="4">
        <f>CHOOSE( CONTROL!$C$32, 12.6405, 12.6403) * CHOOSE(CONTROL!$C$15, $D$11, 100%, $F$11)</f>
        <v>12.640499999999999</v>
      </c>
      <c r="K462" s="4"/>
      <c r="L462" s="9">
        <v>26.469899999999999</v>
      </c>
      <c r="M462" s="9">
        <v>10.8962</v>
      </c>
      <c r="N462" s="9">
        <v>4.4660000000000002</v>
      </c>
      <c r="O462" s="9">
        <v>0.33789999999999998</v>
      </c>
      <c r="P462" s="9">
        <v>1.1676</v>
      </c>
      <c r="Q462" s="9">
        <v>18.0718</v>
      </c>
      <c r="R462" s="9"/>
      <c r="S462" s="11"/>
    </row>
    <row r="463" spans="1:19" ht="15.75">
      <c r="A463" s="13">
        <v>55243</v>
      </c>
      <c r="B463" s="8">
        <f>CHOOSE( CONTROL!$C$32, 12.7565, 12.7563) * CHOOSE(CONTROL!$C$15, $D$11, 100%, $F$11)</f>
        <v>12.756500000000001</v>
      </c>
      <c r="C463" s="8">
        <f>CHOOSE( CONTROL!$C$32, 12.7616, 12.7613) * CHOOSE(CONTROL!$C$15, $D$11, 100%, $F$11)</f>
        <v>12.7616</v>
      </c>
      <c r="D463" s="8">
        <f>CHOOSE( CONTROL!$C$32, 12.7316, 12.7314) * CHOOSE( CONTROL!$C$15, $D$11, 100%, $F$11)</f>
        <v>12.7316</v>
      </c>
      <c r="E463" s="12">
        <f>CHOOSE( CONTROL!$C$32, 12.742, 12.7418) * CHOOSE( CONTROL!$C$15, $D$11, 100%, $F$11)</f>
        <v>12.742000000000001</v>
      </c>
      <c r="F463" s="4">
        <f>CHOOSE( CONTROL!$C$32, 13.4218, 13.4215) * CHOOSE(CONTROL!$C$15, $D$11, 100%, $F$11)</f>
        <v>13.421799999999999</v>
      </c>
      <c r="G463" s="8">
        <f>CHOOSE( CONTROL!$C$32, 12.5976, 12.5973) * CHOOSE( CONTROL!$C$15, $D$11, 100%, $F$11)</f>
        <v>12.5976</v>
      </c>
      <c r="H463" s="4">
        <f>CHOOSE( CONTROL!$C$32, 13.5113, 13.511) * CHOOSE(CONTROL!$C$15, $D$11, 100%, $F$11)</f>
        <v>13.5113</v>
      </c>
      <c r="I463" s="8">
        <f>CHOOSE( CONTROL!$C$32, 12.4565, 12.4562) * CHOOSE(CONTROL!$C$15, $D$11, 100%, $F$11)</f>
        <v>12.4565</v>
      </c>
      <c r="J463" s="4">
        <f>CHOOSE( CONTROL!$C$32, 12.3715, 12.3712) * CHOOSE(CONTROL!$C$15, $D$11, 100%, $F$11)</f>
        <v>12.371499999999999</v>
      </c>
      <c r="K463" s="4"/>
      <c r="L463" s="9">
        <v>29.306000000000001</v>
      </c>
      <c r="M463" s="9">
        <v>12.063700000000001</v>
      </c>
      <c r="N463" s="9">
        <v>4.9444999999999997</v>
      </c>
      <c r="O463" s="9">
        <v>0.37409999999999999</v>
      </c>
      <c r="P463" s="9">
        <v>1.2927</v>
      </c>
      <c r="Q463" s="9">
        <v>20.007999999999999</v>
      </c>
      <c r="R463" s="9"/>
      <c r="S463" s="11"/>
    </row>
    <row r="464" spans="1:19" ht="15.75">
      <c r="A464" s="13">
        <v>55273</v>
      </c>
      <c r="B464" s="8">
        <f>CHOOSE( CONTROL!$C$32, 12.951, 12.9508) * CHOOSE(CONTROL!$C$15, $D$11, 100%, $F$11)</f>
        <v>12.951000000000001</v>
      </c>
      <c r="C464" s="8">
        <f>CHOOSE( CONTROL!$C$32, 12.9556, 12.9553) * CHOOSE(CONTROL!$C$15, $D$11, 100%, $F$11)</f>
        <v>12.9556</v>
      </c>
      <c r="D464" s="8">
        <f>CHOOSE( CONTROL!$C$32, 12.955, 12.9548) * CHOOSE( CONTROL!$C$15, $D$11, 100%, $F$11)</f>
        <v>12.955</v>
      </c>
      <c r="E464" s="12">
        <f>CHOOSE( CONTROL!$C$32, 12.9547, 12.9545) * CHOOSE( CONTROL!$C$15, $D$11, 100%, $F$11)</f>
        <v>12.954700000000001</v>
      </c>
      <c r="F464" s="4">
        <f>CHOOSE( CONTROL!$C$32, 13.6594, 13.6591) * CHOOSE(CONTROL!$C$15, $D$11, 100%, $F$11)</f>
        <v>13.6594</v>
      </c>
      <c r="G464" s="8">
        <f>CHOOSE( CONTROL!$C$32, 12.8061, 12.8058) * CHOOSE( CONTROL!$C$15, $D$11, 100%, $F$11)</f>
        <v>12.806100000000001</v>
      </c>
      <c r="H464" s="4">
        <f>CHOOSE( CONTROL!$C$32, 13.746, 13.7458) * CHOOSE(CONTROL!$C$15, $D$11, 100%, $F$11)</f>
        <v>13.746</v>
      </c>
      <c r="I464" s="8">
        <f>CHOOSE( CONTROL!$C$32, 12.6451, 12.6449) * CHOOSE(CONTROL!$C$15, $D$11, 100%, $F$11)</f>
        <v>12.645099999999999</v>
      </c>
      <c r="J464" s="4">
        <f>CHOOSE( CONTROL!$C$32, 12.5595, 12.5592) * CHOOSE(CONTROL!$C$15, $D$11, 100%, $F$11)</f>
        <v>12.5595</v>
      </c>
      <c r="K464" s="4"/>
      <c r="L464" s="9">
        <v>30.092199999999998</v>
      </c>
      <c r="M464" s="9">
        <v>11.6745</v>
      </c>
      <c r="N464" s="9">
        <v>4.7850000000000001</v>
      </c>
      <c r="O464" s="9">
        <v>0.36199999999999999</v>
      </c>
      <c r="P464" s="9">
        <v>1.2509999999999999</v>
      </c>
      <c r="Q464" s="9">
        <v>19.3626</v>
      </c>
      <c r="R464" s="9"/>
      <c r="S464" s="11"/>
    </row>
    <row r="465" spans="1:19" ht="15.75">
      <c r="A465" s="13">
        <v>55304</v>
      </c>
      <c r="B465" s="8">
        <f>CHOOSE( CONTROL!$C$32, 13.2974, 13.297) * CHOOSE(CONTROL!$C$15, $D$11, 100%, $F$11)</f>
        <v>13.2974</v>
      </c>
      <c r="C465" s="8">
        <f>CHOOSE( CONTROL!$C$32, 13.3054, 13.3049) * CHOOSE(CONTROL!$C$15, $D$11, 100%, $F$11)</f>
        <v>13.305400000000001</v>
      </c>
      <c r="D465" s="8">
        <f>CHOOSE( CONTROL!$C$32, 13.2997, 13.2992) * CHOOSE( CONTROL!$C$15, $D$11, 100%, $F$11)</f>
        <v>13.2997</v>
      </c>
      <c r="E465" s="12">
        <f>CHOOSE( CONTROL!$C$32, 13.3005, 13.3001) * CHOOSE( CONTROL!$C$15, $D$11, 100%, $F$11)</f>
        <v>13.3005</v>
      </c>
      <c r="F465" s="4">
        <f>CHOOSE( CONTROL!$C$32, 14.0044, 14.0039) * CHOOSE(CONTROL!$C$15, $D$11, 100%, $F$11)</f>
        <v>14.0044</v>
      </c>
      <c r="G465" s="8">
        <f>CHOOSE( CONTROL!$C$32, 13.1474, 13.1469) * CHOOSE( CONTROL!$C$15, $D$11, 100%, $F$11)</f>
        <v>13.147399999999999</v>
      </c>
      <c r="H465" s="4">
        <f>CHOOSE( CONTROL!$C$32, 14.087, 14.0865) * CHOOSE(CONTROL!$C$15, $D$11, 100%, $F$11)</f>
        <v>14.087</v>
      </c>
      <c r="I465" s="8">
        <f>CHOOSE( CONTROL!$C$32, 12.9807, 12.9803) * CHOOSE(CONTROL!$C$15, $D$11, 100%, $F$11)</f>
        <v>12.980700000000001</v>
      </c>
      <c r="J465" s="4">
        <f>CHOOSE( CONTROL!$C$32, 12.8943, 12.8939) * CHOOSE(CONTROL!$C$15, $D$11, 100%, $F$11)</f>
        <v>12.894299999999999</v>
      </c>
      <c r="K465" s="4"/>
      <c r="L465" s="9">
        <v>30.7165</v>
      </c>
      <c r="M465" s="9">
        <v>12.063700000000001</v>
      </c>
      <c r="N465" s="9">
        <v>4.9444999999999997</v>
      </c>
      <c r="O465" s="9">
        <v>0.37409999999999999</v>
      </c>
      <c r="P465" s="9">
        <v>1.2927</v>
      </c>
      <c r="Q465" s="9">
        <v>20.007999999999999</v>
      </c>
      <c r="R465" s="9"/>
      <c r="S465" s="11"/>
    </row>
    <row r="466" spans="1:19" ht="15.75">
      <c r="A466" s="13">
        <v>55334</v>
      </c>
      <c r="B466" s="8">
        <f>CHOOSE( CONTROL!$C$32, 13.0838, 13.0834) * CHOOSE(CONTROL!$C$15, $D$11, 100%, $F$11)</f>
        <v>13.0838</v>
      </c>
      <c r="C466" s="8">
        <f>CHOOSE( CONTROL!$C$32, 13.0918, 13.0913) * CHOOSE(CONTROL!$C$15, $D$11, 100%, $F$11)</f>
        <v>13.091799999999999</v>
      </c>
      <c r="D466" s="8">
        <f>CHOOSE( CONTROL!$C$32, 13.0865, 13.086) * CHOOSE( CONTROL!$C$15, $D$11, 100%, $F$11)</f>
        <v>13.086499999999999</v>
      </c>
      <c r="E466" s="12">
        <f>CHOOSE( CONTROL!$C$32, 13.0872, 13.0867) * CHOOSE( CONTROL!$C$15, $D$11, 100%, $F$11)</f>
        <v>13.087199999999999</v>
      </c>
      <c r="F466" s="4">
        <f>CHOOSE( CONTROL!$C$32, 13.7908, 13.7903) * CHOOSE(CONTROL!$C$15, $D$11, 100%, $F$11)</f>
        <v>13.790800000000001</v>
      </c>
      <c r="G466" s="8">
        <f>CHOOSE( CONTROL!$C$32, 12.9366, 12.9362) * CHOOSE( CONTROL!$C$15, $D$11, 100%, $F$11)</f>
        <v>12.9366</v>
      </c>
      <c r="H466" s="4">
        <f>CHOOSE( CONTROL!$C$32, 13.8759, 13.8754) * CHOOSE(CONTROL!$C$15, $D$11, 100%, $F$11)</f>
        <v>13.8759</v>
      </c>
      <c r="I466" s="8">
        <f>CHOOSE( CONTROL!$C$32, 12.7747, 12.7743) * CHOOSE(CONTROL!$C$15, $D$11, 100%, $F$11)</f>
        <v>12.774699999999999</v>
      </c>
      <c r="J466" s="4">
        <f>CHOOSE( CONTROL!$C$32, 12.687, 12.6866) * CHOOSE(CONTROL!$C$15, $D$11, 100%, $F$11)</f>
        <v>12.686999999999999</v>
      </c>
      <c r="K466" s="4"/>
      <c r="L466" s="9">
        <v>29.7257</v>
      </c>
      <c r="M466" s="9">
        <v>11.6745</v>
      </c>
      <c r="N466" s="9">
        <v>4.7850000000000001</v>
      </c>
      <c r="O466" s="9">
        <v>0.36199999999999999</v>
      </c>
      <c r="P466" s="9">
        <v>1.2509999999999999</v>
      </c>
      <c r="Q466" s="9">
        <v>19.3626</v>
      </c>
      <c r="R466" s="9"/>
      <c r="S466" s="11"/>
    </row>
    <row r="467" spans="1:19" ht="15.75">
      <c r="A467" s="13">
        <v>55365</v>
      </c>
      <c r="B467" s="8">
        <f>CHOOSE( CONTROL!$C$32, 13.6463, 13.6459) * CHOOSE(CONTROL!$C$15, $D$11, 100%, $F$11)</f>
        <v>13.6463</v>
      </c>
      <c r="C467" s="8">
        <f>CHOOSE( CONTROL!$C$32, 13.6543, 13.6538) * CHOOSE(CONTROL!$C$15, $D$11, 100%, $F$11)</f>
        <v>13.654299999999999</v>
      </c>
      <c r="D467" s="8">
        <f>CHOOSE( CONTROL!$C$32, 13.6494, 13.649) * CHOOSE( CONTROL!$C$15, $D$11, 100%, $F$11)</f>
        <v>13.6494</v>
      </c>
      <c r="E467" s="12">
        <f>CHOOSE( CONTROL!$C$32, 13.65, 13.6495) * CHOOSE( CONTROL!$C$15, $D$11, 100%, $F$11)</f>
        <v>13.65</v>
      </c>
      <c r="F467" s="4">
        <f>CHOOSE( CONTROL!$C$32, 14.3533, 14.3528) * CHOOSE(CONTROL!$C$15, $D$11, 100%, $F$11)</f>
        <v>14.353300000000001</v>
      </c>
      <c r="G467" s="8">
        <f>CHOOSE( CONTROL!$C$32, 13.4929, 13.4924) * CHOOSE( CONTROL!$C$15, $D$11, 100%, $F$11)</f>
        <v>13.492900000000001</v>
      </c>
      <c r="H467" s="4">
        <f>CHOOSE( CONTROL!$C$32, 14.4318, 14.4314) * CHOOSE(CONTROL!$C$15, $D$11, 100%, $F$11)</f>
        <v>14.431800000000001</v>
      </c>
      <c r="I467" s="8">
        <f>CHOOSE( CONTROL!$C$32, 13.3224, 13.322) * CHOOSE(CONTROL!$C$15, $D$11, 100%, $F$11)</f>
        <v>13.3224</v>
      </c>
      <c r="J467" s="4">
        <f>CHOOSE( CONTROL!$C$32, 13.2329, 13.2325) * CHOOSE(CONTROL!$C$15, $D$11, 100%, $F$11)</f>
        <v>13.232900000000001</v>
      </c>
      <c r="K467" s="4"/>
      <c r="L467" s="9">
        <v>30.7165</v>
      </c>
      <c r="M467" s="9">
        <v>12.063700000000001</v>
      </c>
      <c r="N467" s="9">
        <v>4.9444999999999997</v>
      </c>
      <c r="O467" s="9">
        <v>0.37409999999999999</v>
      </c>
      <c r="P467" s="9">
        <v>1.2927</v>
      </c>
      <c r="Q467" s="9">
        <v>20.007999999999999</v>
      </c>
      <c r="R467" s="9"/>
      <c r="S467" s="11"/>
    </row>
    <row r="468" spans="1:19" ht="15.75">
      <c r="A468" s="13">
        <v>55396</v>
      </c>
      <c r="B468" s="8">
        <f>CHOOSE( CONTROL!$C$32, 12.5938, 12.5934) * CHOOSE(CONTROL!$C$15, $D$11, 100%, $F$11)</f>
        <v>12.5938</v>
      </c>
      <c r="C468" s="8">
        <f>CHOOSE( CONTROL!$C$32, 12.6018, 12.6013) * CHOOSE(CONTROL!$C$15, $D$11, 100%, $F$11)</f>
        <v>12.601800000000001</v>
      </c>
      <c r="D468" s="8">
        <f>CHOOSE( CONTROL!$C$32, 12.5971, 12.5966) * CHOOSE( CONTROL!$C$15, $D$11, 100%, $F$11)</f>
        <v>12.597099999999999</v>
      </c>
      <c r="E468" s="12">
        <f>CHOOSE( CONTROL!$C$32, 12.5976, 12.5971) * CHOOSE( CONTROL!$C$15, $D$11, 100%, $F$11)</f>
        <v>12.5976</v>
      </c>
      <c r="F468" s="4">
        <f>CHOOSE( CONTROL!$C$32, 13.3008, 13.3003) * CHOOSE(CONTROL!$C$15, $D$11, 100%, $F$11)</f>
        <v>13.300800000000001</v>
      </c>
      <c r="G468" s="8">
        <f>CHOOSE( CONTROL!$C$32, 12.4528, 12.4524) * CHOOSE( CONTROL!$C$15, $D$11, 100%, $F$11)</f>
        <v>12.4528</v>
      </c>
      <c r="H468" s="4">
        <f>CHOOSE( CONTROL!$C$32, 13.3916, 13.3912) * CHOOSE(CONTROL!$C$15, $D$11, 100%, $F$11)</f>
        <v>13.3916</v>
      </c>
      <c r="I468" s="8">
        <f>CHOOSE( CONTROL!$C$32, 12.3009, 12.3005) * CHOOSE(CONTROL!$C$15, $D$11, 100%, $F$11)</f>
        <v>12.3009</v>
      </c>
      <c r="J468" s="4">
        <f>CHOOSE( CONTROL!$C$32, 12.2115, 12.211) * CHOOSE(CONTROL!$C$15, $D$11, 100%, $F$11)</f>
        <v>12.211499999999999</v>
      </c>
      <c r="K468" s="4"/>
      <c r="L468" s="9">
        <v>30.7165</v>
      </c>
      <c r="M468" s="9">
        <v>12.063700000000001</v>
      </c>
      <c r="N468" s="9">
        <v>4.9444999999999997</v>
      </c>
      <c r="O468" s="9">
        <v>0.37409999999999999</v>
      </c>
      <c r="P468" s="9">
        <v>1.2927</v>
      </c>
      <c r="Q468" s="9">
        <v>20.007999999999999</v>
      </c>
      <c r="R468" s="9"/>
      <c r="S468" s="11"/>
    </row>
    <row r="469" spans="1:19" ht="15.75">
      <c r="A469" s="13">
        <v>55426</v>
      </c>
      <c r="B469" s="8">
        <f>CHOOSE( CONTROL!$C$32, 12.3303, 12.3298) * CHOOSE(CONTROL!$C$15, $D$11, 100%, $F$11)</f>
        <v>12.330299999999999</v>
      </c>
      <c r="C469" s="8">
        <f>CHOOSE( CONTROL!$C$32, 12.3382, 12.3378) * CHOOSE(CONTROL!$C$15, $D$11, 100%, $F$11)</f>
        <v>12.338200000000001</v>
      </c>
      <c r="D469" s="8">
        <f>CHOOSE( CONTROL!$C$32, 12.3334, 12.3329) * CHOOSE( CONTROL!$C$15, $D$11, 100%, $F$11)</f>
        <v>12.333399999999999</v>
      </c>
      <c r="E469" s="12">
        <f>CHOOSE( CONTROL!$C$32, 12.3339, 12.3335) * CHOOSE( CONTROL!$C$15, $D$11, 100%, $F$11)</f>
        <v>12.3339</v>
      </c>
      <c r="F469" s="4">
        <f>CHOOSE( CONTROL!$C$32, 13.0372, 13.0367) * CHOOSE(CONTROL!$C$15, $D$11, 100%, $F$11)</f>
        <v>13.0372</v>
      </c>
      <c r="G469" s="8">
        <f>CHOOSE( CONTROL!$C$32, 12.1922, 12.1918) * CHOOSE( CONTROL!$C$15, $D$11, 100%, $F$11)</f>
        <v>12.1922</v>
      </c>
      <c r="H469" s="4">
        <f>CHOOSE( CONTROL!$C$32, 13.1312, 13.1307) * CHOOSE(CONTROL!$C$15, $D$11, 100%, $F$11)</f>
        <v>13.1312</v>
      </c>
      <c r="I469" s="8">
        <f>CHOOSE( CONTROL!$C$32, 12.0445, 12.0441) * CHOOSE(CONTROL!$C$15, $D$11, 100%, $F$11)</f>
        <v>12.044499999999999</v>
      </c>
      <c r="J469" s="4">
        <f>CHOOSE( CONTROL!$C$32, 11.9557, 11.9552) * CHOOSE(CONTROL!$C$15, $D$11, 100%, $F$11)</f>
        <v>11.9557</v>
      </c>
      <c r="K469" s="4"/>
      <c r="L469" s="9">
        <v>29.7257</v>
      </c>
      <c r="M469" s="9">
        <v>11.6745</v>
      </c>
      <c r="N469" s="9">
        <v>4.7850000000000001</v>
      </c>
      <c r="O469" s="9">
        <v>0.36199999999999999</v>
      </c>
      <c r="P469" s="9">
        <v>1.2509999999999999</v>
      </c>
      <c r="Q469" s="9">
        <v>19.3626</v>
      </c>
      <c r="R469" s="9"/>
      <c r="S469" s="11"/>
    </row>
    <row r="470" spans="1:19" ht="15.75">
      <c r="A470" s="13">
        <v>55457</v>
      </c>
      <c r="B470" s="8">
        <f>CHOOSE( CONTROL!$C$32, 12.8756, 12.8753) * CHOOSE(CONTROL!$C$15, $D$11, 100%, $F$11)</f>
        <v>12.8756</v>
      </c>
      <c r="C470" s="8">
        <f>CHOOSE( CONTROL!$C$32, 12.8809, 12.8806) * CHOOSE(CONTROL!$C$15, $D$11, 100%, $F$11)</f>
        <v>12.8809</v>
      </c>
      <c r="D470" s="8">
        <f>CHOOSE( CONTROL!$C$32, 12.8811, 12.8808) * CHOOSE( CONTROL!$C$15, $D$11, 100%, $F$11)</f>
        <v>12.8811</v>
      </c>
      <c r="E470" s="12">
        <f>CHOOSE( CONTROL!$C$32, 12.8805, 12.8802) * CHOOSE( CONTROL!$C$15, $D$11, 100%, $F$11)</f>
        <v>12.8805</v>
      </c>
      <c r="F470" s="4">
        <f>CHOOSE( CONTROL!$C$32, 13.5842, 13.584) * CHOOSE(CONTROL!$C$15, $D$11, 100%, $F$11)</f>
        <v>13.584199999999999</v>
      </c>
      <c r="G470" s="8">
        <f>CHOOSE( CONTROL!$C$32, 12.7328, 12.7325) * CHOOSE( CONTROL!$C$15, $D$11, 100%, $F$11)</f>
        <v>12.732799999999999</v>
      </c>
      <c r="H470" s="4">
        <f>CHOOSE( CONTROL!$C$32, 13.6718, 13.6715) * CHOOSE(CONTROL!$C$15, $D$11, 100%, $F$11)</f>
        <v>13.671799999999999</v>
      </c>
      <c r="I470" s="8">
        <f>CHOOSE( CONTROL!$C$32, 12.5764, 12.5761) * CHOOSE(CONTROL!$C$15, $D$11, 100%, $F$11)</f>
        <v>12.5764</v>
      </c>
      <c r="J470" s="4">
        <f>CHOOSE( CONTROL!$C$32, 12.4866, 12.4863) * CHOOSE(CONTROL!$C$15, $D$11, 100%, $F$11)</f>
        <v>12.486599999999999</v>
      </c>
      <c r="K470" s="4"/>
      <c r="L470" s="9">
        <v>31.095300000000002</v>
      </c>
      <c r="M470" s="9">
        <v>12.063700000000001</v>
      </c>
      <c r="N470" s="9">
        <v>4.9444999999999997</v>
      </c>
      <c r="O470" s="9">
        <v>0.37409999999999999</v>
      </c>
      <c r="P470" s="9">
        <v>1.2927</v>
      </c>
      <c r="Q470" s="9">
        <v>20.007999999999999</v>
      </c>
      <c r="R470" s="9"/>
      <c r="S470" s="11"/>
    </row>
    <row r="471" spans="1:19" ht="15.75">
      <c r="A471" s="13">
        <v>55487</v>
      </c>
      <c r="B471" s="8">
        <f>CHOOSE( CONTROL!$C$32, 13.8853, 13.885) * CHOOSE(CONTROL!$C$15, $D$11, 100%, $F$11)</f>
        <v>13.885300000000001</v>
      </c>
      <c r="C471" s="8">
        <f>CHOOSE( CONTROL!$C$32, 13.8903, 13.8901) * CHOOSE(CONTROL!$C$15, $D$11, 100%, $F$11)</f>
        <v>13.8903</v>
      </c>
      <c r="D471" s="8">
        <f>CHOOSE( CONTROL!$C$32, 13.8582, 13.8579) * CHOOSE( CONTROL!$C$15, $D$11, 100%, $F$11)</f>
        <v>13.8582</v>
      </c>
      <c r="E471" s="12">
        <f>CHOOSE( CONTROL!$C$32, 13.8694, 13.8691) * CHOOSE( CONTROL!$C$15, $D$11, 100%, $F$11)</f>
        <v>13.869400000000001</v>
      </c>
      <c r="F471" s="4">
        <f>CHOOSE( CONTROL!$C$32, 14.5505, 14.5503) * CHOOSE(CONTROL!$C$15, $D$11, 100%, $F$11)</f>
        <v>14.5505</v>
      </c>
      <c r="G471" s="8">
        <f>CHOOSE( CONTROL!$C$32, 13.72, 13.7198) * CHOOSE( CONTROL!$C$15, $D$11, 100%, $F$11)</f>
        <v>13.72</v>
      </c>
      <c r="H471" s="4">
        <f>CHOOSE( CONTROL!$C$32, 14.6268, 14.6265) * CHOOSE(CONTROL!$C$15, $D$11, 100%, $F$11)</f>
        <v>14.626799999999999</v>
      </c>
      <c r="I471" s="8">
        <f>CHOOSE( CONTROL!$C$32, 13.608, 13.6077) * CHOOSE(CONTROL!$C$15, $D$11, 100%, $F$11)</f>
        <v>13.608000000000001</v>
      </c>
      <c r="J471" s="4">
        <f>CHOOSE( CONTROL!$C$32, 13.4669, 13.4666) * CHOOSE(CONTROL!$C$15, $D$11, 100%, $F$11)</f>
        <v>13.466900000000001</v>
      </c>
      <c r="K471" s="4"/>
      <c r="L471" s="9">
        <v>28.360600000000002</v>
      </c>
      <c r="M471" s="9">
        <v>11.6745</v>
      </c>
      <c r="N471" s="9">
        <v>4.7850000000000001</v>
      </c>
      <c r="O471" s="9">
        <v>0.36199999999999999</v>
      </c>
      <c r="P471" s="9">
        <v>1.2509999999999999</v>
      </c>
      <c r="Q471" s="9">
        <v>19.3626</v>
      </c>
      <c r="R471" s="9"/>
      <c r="S471" s="11"/>
    </row>
    <row r="472" spans="1:19" ht="15.75">
      <c r="A472" s="13">
        <v>55518</v>
      </c>
      <c r="B472" s="8">
        <f>CHOOSE( CONTROL!$C$32, 13.86, 13.8598) * CHOOSE(CONTROL!$C$15, $D$11, 100%, $F$11)</f>
        <v>13.86</v>
      </c>
      <c r="C472" s="8">
        <f>CHOOSE( CONTROL!$C$32, 13.8651, 13.8648) * CHOOSE(CONTROL!$C$15, $D$11, 100%, $F$11)</f>
        <v>13.8651</v>
      </c>
      <c r="D472" s="8">
        <f>CHOOSE( CONTROL!$C$32, 13.8348, 13.8345) * CHOOSE( CONTROL!$C$15, $D$11, 100%, $F$11)</f>
        <v>13.8348</v>
      </c>
      <c r="E472" s="12">
        <f>CHOOSE( CONTROL!$C$32, 13.8453, 13.845) * CHOOSE( CONTROL!$C$15, $D$11, 100%, $F$11)</f>
        <v>13.8453</v>
      </c>
      <c r="F472" s="4">
        <f>CHOOSE( CONTROL!$C$32, 14.5253, 14.525) * CHOOSE(CONTROL!$C$15, $D$11, 100%, $F$11)</f>
        <v>14.5253</v>
      </c>
      <c r="G472" s="8">
        <f>CHOOSE( CONTROL!$C$32, 13.6964, 13.6961) * CHOOSE( CONTROL!$C$15, $D$11, 100%, $F$11)</f>
        <v>13.696400000000001</v>
      </c>
      <c r="H472" s="4">
        <f>CHOOSE( CONTROL!$C$32, 14.6018, 14.6016) * CHOOSE(CONTROL!$C$15, $D$11, 100%, $F$11)</f>
        <v>14.601800000000001</v>
      </c>
      <c r="I472" s="8">
        <f>CHOOSE( CONTROL!$C$32, 13.5892, 13.5889) * CHOOSE(CONTROL!$C$15, $D$11, 100%, $F$11)</f>
        <v>13.5892</v>
      </c>
      <c r="J472" s="4">
        <f>CHOOSE( CONTROL!$C$32, 13.4424, 13.4421) * CHOOSE(CONTROL!$C$15, $D$11, 100%, $F$11)</f>
        <v>13.442399999999999</v>
      </c>
      <c r="K472" s="4"/>
      <c r="L472" s="9">
        <v>29.306000000000001</v>
      </c>
      <c r="M472" s="9">
        <v>12.063700000000001</v>
      </c>
      <c r="N472" s="9">
        <v>4.9444999999999997</v>
      </c>
      <c r="O472" s="9">
        <v>0.37409999999999999</v>
      </c>
      <c r="P472" s="9">
        <v>1.2927</v>
      </c>
      <c r="Q472" s="9">
        <v>20.007999999999999</v>
      </c>
      <c r="R472" s="9"/>
      <c r="S472" s="11"/>
    </row>
    <row r="473" spans="1:19" ht="15.75">
      <c r="A473" s="13">
        <v>55549</v>
      </c>
      <c r="B473" s="8">
        <f>CHOOSE( CONTROL!$C$32, 14.2686, 14.2683) * CHOOSE(CONTROL!$C$15, $D$11, 100%, $F$11)</f>
        <v>14.268599999999999</v>
      </c>
      <c r="C473" s="8">
        <f>CHOOSE( CONTROL!$C$32, 14.2737, 14.2734) * CHOOSE(CONTROL!$C$15, $D$11, 100%, $F$11)</f>
        <v>14.2737</v>
      </c>
      <c r="D473" s="8">
        <f>CHOOSE( CONTROL!$C$32, 14.2713, 14.271) * CHOOSE( CONTROL!$C$15, $D$11, 100%, $F$11)</f>
        <v>14.2713</v>
      </c>
      <c r="E473" s="12">
        <f>CHOOSE( CONTROL!$C$32, 14.2716, 14.2713) * CHOOSE( CONTROL!$C$15, $D$11, 100%, $F$11)</f>
        <v>14.271599999999999</v>
      </c>
      <c r="F473" s="4">
        <f>CHOOSE( CONTROL!$C$32, 14.9339, 14.9336) * CHOOSE(CONTROL!$C$15, $D$11, 100%, $F$11)</f>
        <v>14.9339</v>
      </c>
      <c r="G473" s="8">
        <f>CHOOSE( CONTROL!$C$32, 14.1163, 14.116) * CHOOSE( CONTROL!$C$15, $D$11, 100%, $F$11)</f>
        <v>14.116300000000001</v>
      </c>
      <c r="H473" s="4">
        <f>CHOOSE( CONTROL!$C$32, 15.0056, 15.0053) * CHOOSE(CONTROL!$C$15, $D$11, 100%, $F$11)</f>
        <v>15.005599999999999</v>
      </c>
      <c r="I473" s="8">
        <f>CHOOSE( CONTROL!$C$32, 13.9594, 13.9592) * CHOOSE(CONTROL!$C$15, $D$11, 100%, $F$11)</f>
        <v>13.9594</v>
      </c>
      <c r="J473" s="4">
        <f>CHOOSE( CONTROL!$C$32, 13.8389, 13.8386) * CHOOSE(CONTROL!$C$15, $D$11, 100%, $F$11)</f>
        <v>13.838900000000001</v>
      </c>
      <c r="K473" s="4"/>
      <c r="L473" s="9">
        <v>29.306000000000001</v>
      </c>
      <c r="M473" s="9">
        <v>12.063700000000001</v>
      </c>
      <c r="N473" s="9">
        <v>4.9444999999999997</v>
      </c>
      <c r="O473" s="9">
        <v>0.37409999999999999</v>
      </c>
      <c r="P473" s="9">
        <v>1.2927</v>
      </c>
      <c r="Q473" s="9">
        <v>19.942900000000002</v>
      </c>
      <c r="R473" s="9"/>
      <c r="S473" s="11"/>
    </row>
    <row r="474" spans="1:19" ht="15.75">
      <c r="A474" s="13">
        <v>55577</v>
      </c>
      <c r="B474" s="8">
        <f>CHOOSE( CONTROL!$C$32, 13.3467, 13.3465) * CHOOSE(CONTROL!$C$15, $D$11, 100%, $F$11)</f>
        <v>13.3467</v>
      </c>
      <c r="C474" s="8">
        <f>CHOOSE( CONTROL!$C$32, 13.3518, 13.3515) * CHOOSE(CONTROL!$C$15, $D$11, 100%, $F$11)</f>
        <v>13.351800000000001</v>
      </c>
      <c r="D474" s="8">
        <f>CHOOSE( CONTROL!$C$32, 13.3318, 13.3315) * CHOOSE( CONTROL!$C$15, $D$11, 100%, $F$11)</f>
        <v>13.331799999999999</v>
      </c>
      <c r="E474" s="12">
        <f>CHOOSE( CONTROL!$C$32, 13.3386, 13.3383) * CHOOSE( CONTROL!$C$15, $D$11, 100%, $F$11)</f>
        <v>13.3386</v>
      </c>
      <c r="F474" s="4">
        <f>CHOOSE( CONTROL!$C$32, 14.012, 14.0117) * CHOOSE(CONTROL!$C$15, $D$11, 100%, $F$11)</f>
        <v>14.012</v>
      </c>
      <c r="G474" s="8">
        <f>CHOOSE( CONTROL!$C$32, 13.1941, 13.1939) * CHOOSE( CONTROL!$C$15, $D$11, 100%, $F$11)</f>
        <v>13.194100000000001</v>
      </c>
      <c r="H474" s="4">
        <f>CHOOSE( CONTROL!$C$32, 14.0946, 14.0943) * CHOOSE(CONTROL!$C$15, $D$11, 100%, $F$11)</f>
        <v>14.0946</v>
      </c>
      <c r="I474" s="8">
        <f>CHOOSE( CONTROL!$C$32, 13.0648, 13.0645) * CHOOSE(CONTROL!$C$15, $D$11, 100%, $F$11)</f>
        <v>13.0648</v>
      </c>
      <c r="J474" s="4">
        <f>CHOOSE( CONTROL!$C$32, 12.9443, 12.944) * CHOOSE(CONTROL!$C$15, $D$11, 100%, $F$11)</f>
        <v>12.9443</v>
      </c>
      <c r="K474" s="4"/>
      <c r="L474" s="9">
        <v>27.415299999999998</v>
      </c>
      <c r="M474" s="9">
        <v>11.285299999999999</v>
      </c>
      <c r="N474" s="9">
        <v>4.6254999999999997</v>
      </c>
      <c r="O474" s="9">
        <v>0.34989999999999999</v>
      </c>
      <c r="P474" s="9">
        <v>1.2093</v>
      </c>
      <c r="Q474" s="9">
        <v>18.656300000000002</v>
      </c>
      <c r="R474" s="9"/>
      <c r="S474" s="11"/>
    </row>
    <row r="475" spans="1:19" ht="15.75">
      <c r="A475" s="13">
        <v>55609</v>
      </c>
      <c r="B475" s="8">
        <f>CHOOSE( CONTROL!$C$32, 13.0628, 13.0625) * CHOOSE(CONTROL!$C$15, $D$11, 100%, $F$11)</f>
        <v>13.062799999999999</v>
      </c>
      <c r="C475" s="8">
        <f>CHOOSE( CONTROL!$C$32, 13.0679, 13.0676) * CHOOSE(CONTROL!$C$15, $D$11, 100%, $F$11)</f>
        <v>13.0679</v>
      </c>
      <c r="D475" s="8">
        <f>CHOOSE( CONTROL!$C$32, 13.0379, 13.0376) * CHOOSE( CONTROL!$C$15, $D$11, 100%, $F$11)</f>
        <v>13.0379</v>
      </c>
      <c r="E475" s="12">
        <f>CHOOSE( CONTROL!$C$32, 13.0483, 13.048) * CHOOSE( CONTROL!$C$15, $D$11, 100%, $F$11)</f>
        <v>13.048299999999999</v>
      </c>
      <c r="F475" s="4">
        <f>CHOOSE( CONTROL!$C$32, 13.7281, 13.7278) * CHOOSE(CONTROL!$C$15, $D$11, 100%, $F$11)</f>
        <v>13.7281</v>
      </c>
      <c r="G475" s="8">
        <f>CHOOSE( CONTROL!$C$32, 12.9003, 12.9) * CHOOSE( CONTROL!$C$15, $D$11, 100%, $F$11)</f>
        <v>12.9003</v>
      </c>
      <c r="H475" s="4">
        <f>CHOOSE( CONTROL!$C$32, 13.814, 13.8137) * CHOOSE(CONTROL!$C$15, $D$11, 100%, $F$11)</f>
        <v>13.814</v>
      </c>
      <c r="I475" s="8">
        <f>CHOOSE( CONTROL!$C$32, 12.7539, 12.7536) * CHOOSE(CONTROL!$C$15, $D$11, 100%, $F$11)</f>
        <v>12.7539</v>
      </c>
      <c r="J475" s="4">
        <f>CHOOSE( CONTROL!$C$32, 12.6687, 12.6684) * CHOOSE(CONTROL!$C$15, $D$11, 100%, $F$11)</f>
        <v>12.668699999999999</v>
      </c>
      <c r="K475" s="4"/>
      <c r="L475" s="9">
        <v>29.306000000000001</v>
      </c>
      <c r="M475" s="9">
        <v>12.063700000000001</v>
      </c>
      <c r="N475" s="9">
        <v>4.9444999999999997</v>
      </c>
      <c r="O475" s="9">
        <v>0.37409999999999999</v>
      </c>
      <c r="P475" s="9">
        <v>1.2927</v>
      </c>
      <c r="Q475" s="9">
        <v>19.942900000000002</v>
      </c>
      <c r="R475" s="9"/>
      <c r="S475" s="11"/>
    </row>
    <row r="476" spans="1:19" ht="15.75">
      <c r="A476" s="13">
        <v>55639</v>
      </c>
      <c r="B476" s="8">
        <f>CHOOSE( CONTROL!$C$32, 13.262, 13.2617) * CHOOSE(CONTROL!$C$15, $D$11, 100%, $F$11)</f>
        <v>13.262</v>
      </c>
      <c r="C476" s="8">
        <f>CHOOSE( CONTROL!$C$32, 13.2665, 13.2662) * CHOOSE(CONTROL!$C$15, $D$11, 100%, $F$11)</f>
        <v>13.266500000000001</v>
      </c>
      <c r="D476" s="8">
        <f>CHOOSE( CONTROL!$C$32, 13.266, 13.2657) * CHOOSE( CONTROL!$C$15, $D$11, 100%, $F$11)</f>
        <v>13.266</v>
      </c>
      <c r="E476" s="12">
        <f>CHOOSE( CONTROL!$C$32, 13.2657, 13.2654) * CHOOSE( CONTROL!$C$15, $D$11, 100%, $F$11)</f>
        <v>13.265700000000001</v>
      </c>
      <c r="F476" s="4">
        <f>CHOOSE( CONTROL!$C$32, 13.9703, 13.97) * CHOOSE(CONTROL!$C$15, $D$11, 100%, $F$11)</f>
        <v>13.9703</v>
      </c>
      <c r="G476" s="8">
        <f>CHOOSE( CONTROL!$C$32, 13.1134, 13.1131) * CHOOSE( CONTROL!$C$15, $D$11, 100%, $F$11)</f>
        <v>13.1134</v>
      </c>
      <c r="H476" s="4">
        <f>CHOOSE( CONTROL!$C$32, 14.0533, 14.0531) * CHOOSE(CONTROL!$C$15, $D$11, 100%, $F$11)</f>
        <v>14.0533</v>
      </c>
      <c r="I476" s="8">
        <f>CHOOSE( CONTROL!$C$32, 12.9471, 12.9468) * CHOOSE(CONTROL!$C$15, $D$11, 100%, $F$11)</f>
        <v>12.947100000000001</v>
      </c>
      <c r="J476" s="4">
        <f>CHOOSE( CONTROL!$C$32, 12.8613, 12.861) * CHOOSE(CONTROL!$C$15, $D$11, 100%, $F$11)</f>
        <v>12.8613</v>
      </c>
      <c r="K476" s="4"/>
      <c r="L476" s="9">
        <v>30.092199999999998</v>
      </c>
      <c r="M476" s="9">
        <v>11.6745</v>
      </c>
      <c r="N476" s="9">
        <v>4.7850000000000001</v>
      </c>
      <c r="O476" s="9">
        <v>0.36199999999999999</v>
      </c>
      <c r="P476" s="9">
        <v>1.2509999999999999</v>
      </c>
      <c r="Q476" s="9">
        <v>19.299600000000002</v>
      </c>
      <c r="R476" s="9"/>
      <c r="S476" s="11"/>
    </row>
    <row r="477" spans="1:19" ht="15.75">
      <c r="A477" s="13">
        <v>55670</v>
      </c>
      <c r="B477" s="8">
        <f>CHOOSE( CONTROL!$C$32, 13.6166, 13.6162) * CHOOSE(CONTROL!$C$15, $D$11, 100%, $F$11)</f>
        <v>13.6166</v>
      </c>
      <c r="C477" s="8">
        <f>CHOOSE( CONTROL!$C$32, 13.6246, 13.6242) * CHOOSE(CONTROL!$C$15, $D$11, 100%, $F$11)</f>
        <v>13.624599999999999</v>
      </c>
      <c r="D477" s="8">
        <f>CHOOSE( CONTROL!$C$32, 13.6189, 13.6185) * CHOOSE( CONTROL!$C$15, $D$11, 100%, $F$11)</f>
        <v>13.6189</v>
      </c>
      <c r="E477" s="12">
        <f>CHOOSE( CONTROL!$C$32, 13.6197, 13.6193) * CHOOSE( CONTROL!$C$15, $D$11, 100%, $F$11)</f>
        <v>13.6197</v>
      </c>
      <c r="F477" s="4">
        <f>CHOOSE( CONTROL!$C$32, 14.3236, 14.3231) * CHOOSE(CONTROL!$C$15, $D$11, 100%, $F$11)</f>
        <v>14.323600000000001</v>
      </c>
      <c r="G477" s="8">
        <f>CHOOSE( CONTROL!$C$32, 13.4629, 13.4624) * CHOOSE( CONTROL!$C$15, $D$11, 100%, $F$11)</f>
        <v>13.462899999999999</v>
      </c>
      <c r="H477" s="4">
        <f>CHOOSE( CONTROL!$C$32, 14.4025, 14.402) * CHOOSE(CONTROL!$C$15, $D$11, 100%, $F$11)</f>
        <v>14.4025</v>
      </c>
      <c r="I477" s="8">
        <f>CHOOSE( CONTROL!$C$32, 13.2907, 13.2902) * CHOOSE(CONTROL!$C$15, $D$11, 100%, $F$11)</f>
        <v>13.290699999999999</v>
      </c>
      <c r="J477" s="4">
        <f>CHOOSE( CONTROL!$C$32, 13.2041, 13.2037) * CHOOSE(CONTROL!$C$15, $D$11, 100%, $F$11)</f>
        <v>13.2041</v>
      </c>
      <c r="K477" s="4"/>
      <c r="L477" s="9">
        <v>30.7165</v>
      </c>
      <c r="M477" s="9">
        <v>12.063700000000001</v>
      </c>
      <c r="N477" s="9">
        <v>4.9444999999999997</v>
      </c>
      <c r="O477" s="9">
        <v>0.37409999999999999</v>
      </c>
      <c r="P477" s="9">
        <v>1.2927</v>
      </c>
      <c r="Q477" s="9">
        <v>19.942900000000002</v>
      </c>
      <c r="R477" s="9"/>
      <c r="S477" s="11"/>
    </row>
    <row r="478" spans="1:19" ht="15.75">
      <c r="A478" s="13">
        <v>55700</v>
      </c>
      <c r="B478" s="8">
        <f>CHOOSE( CONTROL!$C$32, 13.3979, 13.3974) * CHOOSE(CONTROL!$C$15, $D$11, 100%, $F$11)</f>
        <v>13.3979</v>
      </c>
      <c r="C478" s="8">
        <f>CHOOSE( CONTROL!$C$32, 13.4059, 13.4054) * CHOOSE(CONTROL!$C$15, $D$11, 100%, $F$11)</f>
        <v>13.405900000000001</v>
      </c>
      <c r="D478" s="8">
        <f>CHOOSE( CONTROL!$C$32, 13.4006, 13.4001) * CHOOSE( CONTROL!$C$15, $D$11, 100%, $F$11)</f>
        <v>13.400600000000001</v>
      </c>
      <c r="E478" s="12">
        <f>CHOOSE( CONTROL!$C$32, 13.4013, 13.4008) * CHOOSE( CONTROL!$C$15, $D$11, 100%, $F$11)</f>
        <v>13.401300000000001</v>
      </c>
      <c r="F478" s="4">
        <f>CHOOSE( CONTROL!$C$32, 14.1048, 14.1044) * CHOOSE(CONTROL!$C$15, $D$11, 100%, $F$11)</f>
        <v>14.104799999999999</v>
      </c>
      <c r="G478" s="8">
        <f>CHOOSE( CONTROL!$C$32, 13.247, 13.2466) * CHOOSE( CONTROL!$C$15, $D$11, 100%, $F$11)</f>
        <v>13.247</v>
      </c>
      <c r="H478" s="4">
        <f>CHOOSE( CONTROL!$C$32, 14.1863, 14.1859) * CHOOSE(CONTROL!$C$15, $D$11, 100%, $F$11)</f>
        <v>14.186299999999999</v>
      </c>
      <c r="I478" s="8">
        <f>CHOOSE( CONTROL!$C$32, 13.0797, 13.0792) * CHOOSE(CONTROL!$C$15, $D$11, 100%, $F$11)</f>
        <v>13.079700000000001</v>
      </c>
      <c r="J478" s="4">
        <f>CHOOSE( CONTROL!$C$32, 12.9918, 12.9914) * CHOOSE(CONTROL!$C$15, $D$11, 100%, $F$11)</f>
        <v>12.9918</v>
      </c>
      <c r="K478" s="4"/>
      <c r="L478" s="9">
        <v>29.7257</v>
      </c>
      <c r="M478" s="9">
        <v>11.6745</v>
      </c>
      <c r="N478" s="9">
        <v>4.7850000000000001</v>
      </c>
      <c r="O478" s="9">
        <v>0.36199999999999999</v>
      </c>
      <c r="P478" s="9">
        <v>1.2509999999999999</v>
      </c>
      <c r="Q478" s="9">
        <v>19.299600000000002</v>
      </c>
      <c r="R478" s="9"/>
      <c r="S478" s="11"/>
    </row>
    <row r="479" spans="1:19" ht="15.75">
      <c r="A479" s="13">
        <v>55731</v>
      </c>
      <c r="B479" s="8">
        <f>CHOOSE( CONTROL!$C$32, 13.9739, 13.9735) * CHOOSE(CONTROL!$C$15, $D$11, 100%, $F$11)</f>
        <v>13.9739</v>
      </c>
      <c r="C479" s="8">
        <f>CHOOSE( CONTROL!$C$32, 13.9819, 13.9814) * CHOOSE(CONTROL!$C$15, $D$11, 100%, $F$11)</f>
        <v>13.9819</v>
      </c>
      <c r="D479" s="8">
        <f>CHOOSE( CONTROL!$C$32, 13.977, 13.9766) * CHOOSE( CONTROL!$C$15, $D$11, 100%, $F$11)</f>
        <v>13.977</v>
      </c>
      <c r="E479" s="12">
        <f>CHOOSE( CONTROL!$C$32, 13.9776, 13.9771) * CHOOSE( CONTROL!$C$15, $D$11, 100%, $F$11)</f>
        <v>13.977600000000001</v>
      </c>
      <c r="F479" s="4">
        <f>CHOOSE( CONTROL!$C$32, 14.6809, 14.6804) * CHOOSE(CONTROL!$C$15, $D$11, 100%, $F$11)</f>
        <v>14.680899999999999</v>
      </c>
      <c r="G479" s="8">
        <f>CHOOSE( CONTROL!$C$32, 13.8166, 13.8162) * CHOOSE( CONTROL!$C$15, $D$11, 100%, $F$11)</f>
        <v>13.816599999999999</v>
      </c>
      <c r="H479" s="4">
        <f>CHOOSE( CONTROL!$C$32, 14.7556, 14.7551) * CHOOSE(CONTROL!$C$15, $D$11, 100%, $F$11)</f>
        <v>14.755599999999999</v>
      </c>
      <c r="I479" s="8">
        <f>CHOOSE( CONTROL!$C$32, 13.6405, 13.6401) * CHOOSE(CONTROL!$C$15, $D$11, 100%, $F$11)</f>
        <v>13.640499999999999</v>
      </c>
      <c r="J479" s="4">
        <f>CHOOSE( CONTROL!$C$32, 13.5509, 13.5504) * CHOOSE(CONTROL!$C$15, $D$11, 100%, $F$11)</f>
        <v>13.5509</v>
      </c>
      <c r="K479" s="4"/>
      <c r="L479" s="9">
        <v>30.7165</v>
      </c>
      <c r="M479" s="9">
        <v>12.063700000000001</v>
      </c>
      <c r="N479" s="9">
        <v>4.9444999999999997</v>
      </c>
      <c r="O479" s="9">
        <v>0.37409999999999999</v>
      </c>
      <c r="P479" s="9">
        <v>1.2927</v>
      </c>
      <c r="Q479" s="9">
        <v>19.942900000000002</v>
      </c>
      <c r="R479" s="9"/>
      <c r="S479" s="11"/>
    </row>
    <row r="480" spans="1:19" ht="15.75">
      <c r="A480" s="13">
        <v>55762</v>
      </c>
      <c r="B480" s="8">
        <f>CHOOSE( CONTROL!$C$32, 12.8961, 12.8957) * CHOOSE(CONTROL!$C$15, $D$11, 100%, $F$11)</f>
        <v>12.896100000000001</v>
      </c>
      <c r="C480" s="8">
        <f>CHOOSE( CONTROL!$C$32, 12.9041, 12.9036) * CHOOSE(CONTROL!$C$15, $D$11, 100%, $F$11)</f>
        <v>12.9041</v>
      </c>
      <c r="D480" s="8">
        <f>CHOOSE( CONTROL!$C$32, 12.8994, 12.8989) * CHOOSE( CONTROL!$C$15, $D$11, 100%, $F$11)</f>
        <v>12.8994</v>
      </c>
      <c r="E480" s="12">
        <f>CHOOSE( CONTROL!$C$32, 12.8999, 12.8994) * CHOOSE( CONTROL!$C$15, $D$11, 100%, $F$11)</f>
        <v>12.899900000000001</v>
      </c>
      <c r="F480" s="4">
        <f>CHOOSE( CONTROL!$C$32, 13.6031, 13.6026) * CHOOSE(CONTROL!$C$15, $D$11, 100%, $F$11)</f>
        <v>13.6031</v>
      </c>
      <c r="G480" s="8">
        <f>CHOOSE( CONTROL!$C$32, 12.7516, 12.7511) * CHOOSE( CONTROL!$C$15, $D$11, 100%, $F$11)</f>
        <v>12.7516</v>
      </c>
      <c r="H480" s="4">
        <f>CHOOSE( CONTROL!$C$32, 13.6904, 13.69) * CHOOSE(CONTROL!$C$15, $D$11, 100%, $F$11)</f>
        <v>13.6904</v>
      </c>
      <c r="I480" s="8">
        <f>CHOOSE( CONTROL!$C$32, 12.5945, 12.594) * CHOOSE(CONTROL!$C$15, $D$11, 100%, $F$11)</f>
        <v>12.5945</v>
      </c>
      <c r="J480" s="4">
        <f>CHOOSE( CONTROL!$C$32, 12.5049, 12.5044) * CHOOSE(CONTROL!$C$15, $D$11, 100%, $F$11)</f>
        <v>12.504899999999999</v>
      </c>
      <c r="K480" s="4"/>
      <c r="L480" s="9">
        <v>30.7165</v>
      </c>
      <c r="M480" s="9">
        <v>12.063700000000001</v>
      </c>
      <c r="N480" s="9">
        <v>4.9444999999999997</v>
      </c>
      <c r="O480" s="9">
        <v>0.37409999999999999</v>
      </c>
      <c r="P480" s="9">
        <v>1.2927</v>
      </c>
      <c r="Q480" s="9">
        <v>19.942900000000002</v>
      </c>
      <c r="R480" s="9"/>
      <c r="S480" s="11"/>
    </row>
    <row r="481" spans="1:19" ht="15.75">
      <c r="A481" s="13">
        <v>55792</v>
      </c>
      <c r="B481" s="8">
        <f>CHOOSE( CONTROL!$C$32, 12.6262, 12.6258) * CHOOSE(CONTROL!$C$15, $D$11, 100%, $F$11)</f>
        <v>12.626200000000001</v>
      </c>
      <c r="C481" s="8">
        <f>CHOOSE( CONTROL!$C$32, 12.6342, 12.6338) * CHOOSE(CONTROL!$C$15, $D$11, 100%, $F$11)</f>
        <v>12.6342</v>
      </c>
      <c r="D481" s="8">
        <f>CHOOSE( CONTROL!$C$32, 12.6293, 12.6289) * CHOOSE( CONTROL!$C$15, $D$11, 100%, $F$11)</f>
        <v>12.629300000000001</v>
      </c>
      <c r="E481" s="12">
        <f>CHOOSE( CONTROL!$C$32, 12.6299, 12.6295) * CHOOSE( CONTROL!$C$15, $D$11, 100%, $F$11)</f>
        <v>12.629899999999999</v>
      </c>
      <c r="F481" s="4">
        <f>CHOOSE( CONTROL!$C$32, 13.3332, 13.3327) * CHOOSE(CONTROL!$C$15, $D$11, 100%, $F$11)</f>
        <v>13.3332</v>
      </c>
      <c r="G481" s="8">
        <f>CHOOSE( CONTROL!$C$32, 12.4847, 12.4843) * CHOOSE( CONTROL!$C$15, $D$11, 100%, $F$11)</f>
        <v>12.4847</v>
      </c>
      <c r="H481" s="4">
        <f>CHOOSE( CONTROL!$C$32, 13.4237, 13.4232) * CHOOSE(CONTROL!$C$15, $D$11, 100%, $F$11)</f>
        <v>13.4237</v>
      </c>
      <c r="I481" s="8">
        <f>CHOOSE( CONTROL!$C$32, 12.3319, 12.3315) * CHOOSE(CONTROL!$C$15, $D$11, 100%, $F$11)</f>
        <v>12.331899999999999</v>
      </c>
      <c r="J481" s="4">
        <f>CHOOSE( CONTROL!$C$32, 12.2429, 12.2425) * CHOOSE(CONTROL!$C$15, $D$11, 100%, $F$11)</f>
        <v>12.242900000000001</v>
      </c>
      <c r="K481" s="4"/>
      <c r="L481" s="9">
        <v>29.7257</v>
      </c>
      <c r="M481" s="9">
        <v>11.6745</v>
      </c>
      <c r="N481" s="9">
        <v>4.7850000000000001</v>
      </c>
      <c r="O481" s="9">
        <v>0.36199999999999999</v>
      </c>
      <c r="P481" s="9">
        <v>1.2509999999999999</v>
      </c>
      <c r="Q481" s="9">
        <v>19.299600000000002</v>
      </c>
      <c r="R481" s="9"/>
      <c r="S481" s="11"/>
    </row>
    <row r="482" spans="1:19" ht="15.75">
      <c r="A482" s="13">
        <v>55823</v>
      </c>
      <c r="B482" s="8">
        <f>CHOOSE( CONTROL!$C$32, 13.1847, 13.1844) * CHOOSE(CONTROL!$C$15, $D$11, 100%, $F$11)</f>
        <v>13.184699999999999</v>
      </c>
      <c r="C482" s="8">
        <f>CHOOSE( CONTROL!$C$32, 13.19, 13.1898) * CHOOSE(CONTROL!$C$15, $D$11, 100%, $F$11)</f>
        <v>13.19</v>
      </c>
      <c r="D482" s="8">
        <f>CHOOSE( CONTROL!$C$32, 13.1903, 13.19) * CHOOSE( CONTROL!$C$15, $D$11, 100%, $F$11)</f>
        <v>13.190300000000001</v>
      </c>
      <c r="E482" s="12">
        <f>CHOOSE( CONTROL!$C$32, 13.1896, 13.1894) * CHOOSE( CONTROL!$C$15, $D$11, 100%, $F$11)</f>
        <v>13.1896</v>
      </c>
      <c r="F482" s="4">
        <f>CHOOSE( CONTROL!$C$32, 13.8934, 13.8931) * CHOOSE(CONTROL!$C$15, $D$11, 100%, $F$11)</f>
        <v>13.8934</v>
      </c>
      <c r="G482" s="8">
        <f>CHOOSE( CONTROL!$C$32, 13.0383, 13.0381) * CHOOSE( CONTROL!$C$15, $D$11, 100%, $F$11)</f>
        <v>13.0383</v>
      </c>
      <c r="H482" s="4">
        <f>CHOOSE( CONTROL!$C$32, 13.9773, 13.9771) * CHOOSE(CONTROL!$C$15, $D$11, 100%, $F$11)</f>
        <v>13.9773</v>
      </c>
      <c r="I482" s="8">
        <f>CHOOSE( CONTROL!$C$32, 12.8766, 12.8763) * CHOOSE(CONTROL!$C$15, $D$11, 100%, $F$11)</f>
        <v>12.8766</v>
      </c>
      <c r="J482" s="4">
        <f>CHOOSE( CONTROL!$C$32, 12.7866, 12.7864) * CHOOSE(CONTROL!$C$15, $D$11, 100%, $F$11)</f>
        <v>12.7866</v>
      </c>
      <c r="K482" s="4"/>
      <c r="L482" s="9">
        <v>31.095300000000002</v>
      </c>
      <c r="M482" s="9">
        <v>12.063700000000001</v>
      </c>
      <c r="N482" s="9">
        <v>4.9444999999999997</v>
      </c>
      <c r="O482" s="9">
        <v>0.37409999999999999</v>
      </c>
      <c r="P482" s="9">
        <v>1.2927</v>
      </c>
      <c r="Q482" s="9">
        <v>19.942900000000002</v>
      </c>
      <c r="R482" s="9"/>
      <c r="S482" s="11"/>
    </row>
    <row r="483" spans="1:19" ht="15.75">
      <c r="A483" s="13">
        <v>55853</v>
      </c>
      <c r="B483" s="8">
        <f>CHOOSE( CONTROL!$C$32, 14.2187, 14.2184) * CHOOSE(CONTROL!$C$15, $D$11, 100%, $F$11)</f>
        <v>14.2187</v>
      </c>
      <c r="C483" s="8">
        <f>CHOOSE( CONTROL!$C$32, 14.2237, 14.2235) * CHOOSE(CONTROL!$C$15, $D$11, 100%, $F$11)</f>
        <v>14.223699999999999</v>
      </c>
      <c r="D483" s="8">
        <f>CHOOSE( CONTROL!$C$32, 14.1916, 14.1913) * CHOOSE( CONTROL!$C$15, $D$11, 100%, $F$11)</f>
        <v>14.191599999999999</v>
      </c>
      <c r="E483" s="12">
        <f>CHOOSE( CONTROL!$C$32, 14.2028, 14.2025) * CHOOSE( CONTROL!$C$15, $D$11, 100%, $F$11)</f>
        <v>14.2028</v>
      </c>
      <c r="F483" s="4">
        <f>CHOOSE( CONTROL!$C$32, 14.884, 14.8837) * CHOOSE(CONTROL!$C$15, $D$11, 100%, $F$11)</f>
        <v>14.884</v>
      </c>
      <c r="G483" s="8">
        <f>CHOOSE( CONTROL!$C$32, 14.0495, 14.0493) * CHOOSE( CONTROL!$C$15, $D$11, 100%, $F$11)</f>
        <v>14.0495</v>
      </c>
      <c r="H483" s="4">
        <f>CHOOSE( CONTROL!$C$32, 14.9563, 14.956) * CHOOSE(CONTROL!$C$15, $D$11, 100%, $F$11)</f>
        <v>14.956300000000001</v>
      </c>
      <c r="I483" s="8">
        <f>CHOOSE( CONTROL!$C$32, 13.9317, 13.9315) * CHOOSE(CONTROL!$C$15, $D$11, 100%, $F$11)</f>
        <v>13.931699999999999</v>
      </c>
      <c r="J483" s="4">
        <f>CHOOSE( CONTROL!$C$32, 13.7905, 13.7902) * CHOOSE(CONTROL!$C$15, $D$11, 100%, $F$11)</f>
        <v>13.7905</v>
      </c>
      <c r="K483" s="4"/>
      <c r="L483" s="9">
        <v>28.360600000000002</v>
      </c>
      <c r="M483" s="9">
        <v>11.6745</v>
      </c>
      <c r="N483" s="9">
        <v>4.7850000000000001</v>
      </c>
      <c r="O483" s="9">
        <v>0.36199999999999999</v>
      </c>
      <c r="P483" s="9">
        <v>1.2509999999999999</v>
      </c>
      <c r="Q483" s="9">
        <v>19.299600000000002</v>
      </c>
      <c r="R483" s="9"/>
      <c r="S483" s="11"/>
    </row>
    <row r="484" spans="1:19" ht="15.75">
      <c r="A484" s="13">
        <v>55884</v>
      </c>
      <c r="B484" s="8">
        <f>CHOOSE( CONTROL!$C$32, 14.1928, 14.1926) * CHOOSE(CONTROL!$C$15, $D$11, 100%, $F$11)</f>
        <v>14.1928</v>
      </c>
      <c r="C484" s="8">
        <f>CHOOSE( CONTROL!$C$32, 14.1979, 14.1976) * CHOOSE(CONTROL!$C$15, $D$11, 100%, $F$11)</f>
        <v>14.197900000000001</v>
      </c>
      <c r="D484" s="8">
        <f>CHOOSE( CONTROL!$C$32, 14.1676, 14.1673) * CHOOSE( CONTROL!$C$15, $D$11, 100%, $F$11)</f>
        <v>14.1676</v>
      </c>
      <c r="E484" s="12">
        <f>CHOOSE( CONTROL!$C$32, 14.1781, 14.1778) * CHOOSE( CONTROL!$C$15, $D$11, 100%, $F$11)</f>
        <v>14.178100000000001</v>
      </c>
      <c r="F484" s="4">
        <f>CHOOSE( CONTROL!$C$32, 14.8581, 14.8578) * CHOOSE(CONTROL!$C$15, $D$11, 100%, $F$11)</f>
        <v>14.8581</v>
      </c>
      <c r="G484" s="8">
        <f>CHOOSE( CONTROL!$C$32, 14.0253, 14.025) * CHOOSE( CONTROL!$C$15, $D$11, 100%, $F$11)</f>
        <v>14.0253</v>
      </c>
      <c r="H484" s="4">
        <f>CHOOSE( CONTROL!$C$32, 14.9308, 14.9305) * CHOOSE(CONTROL!$C$15, $D$11, 100%, $F$11)</f>
        <v>14.9308</v>
      </c>
      <c r="I484" s="8">
        <f>CHOOSE( CONTROL!$C$32, 13.9124, 13.9121) * CHOOSE(CONTROL!$C$15, $D$11, 100%, $F$11)</f>
        <v>13.9124</v>
      </c>
      <c r="J484" s="4">
        <f>CHOOSE( CONTROL!$C$32, 13.7654, 13.7651) * CHOOSE(CONTROL!$C$15, $D$11, 100%, $F$11)</f>
        <v>13.7654</v>
      </c>
      <c r="K484" s="4"/>
      <c r="L484" s="9">
        <v>29.306000000000001</v>
      </c>
      <c r="M484" s="9">
        <v>12.063700000000001</v>
      </c>
      <c r="N484" s="9">
        <v>4.9444999999999997</v>
      </c>
      <c r="O484" s="9">
        <v>0.37409999999999999</v>
      </c>
      <c r="P484" s="9">
        <v>1.2927</v>
      </c>
      <c r="Q484" s="9">
        <v>19.942900000000002</v>
      </c>
      <c r="R484" s="9"/>
      <c r="S484" s="11"/>
    </row>
    <row r="485" spans="1:19" ht="15.75">
      <c r="A485" s="13">
        <v>55915</v>
      </c>
      <c r="B485" s="8">
        <f>CHOOSE( CONTROL!$C$32, 14.6112, 14.6109) * CHOOSE(CONTROL!$C$15, $D$11, 100%, $F$11)</f>
        <v>14.6112</v>
      </c>
      <c r="C485" s="8">
        <f>CHOOSE( CONTROL!$C$32, 14.6163, 14.616) * CHOOSE(CONTROL!$C$15, $D$11, 100%, $F$11)</f>
        <v>14.616300000000001</v>
      </c>
      <c r="D485" s="8">
        <f>CHOOSE( CONTROL!$C$32, 14.6139, 14.6136) * CHOOSE( CONTROL!$C$15, $D$11, 100%, $F$11)</f>
        <v>14.613899999999999</v>
      </c>
      <c r="E485" s="12">
        <f>CHOOSE( CONTROL!$C$32, 14.6142, 14.6139) * CHOOSE( CONTROL!$C$15, $D$11, 100%, $F$11)</f>
        <v>14.6142</v>
      </c>
      <c r="F485" s="4">
        <f>CHOOSE( CONTROL!$C$32, 15.2765, 15.2762) * CHOOSE(CONTROL!$C$15, $D$11, 100%, $F$11)</f>
        <v>15.2765</v>
      </c>
      <c r="G485" s="8">
        <f>CHOOSE( CONTROL!$C$32, 14.4549, 14.4546) * CHOOSE( CONTROL!$C$15, $D$11, 100%, $F$11)</f>
        <v>14.4549</v>
      </c>
      <c r="H485" s="4">
        <f>CHOOSE( CONTROL!$C$32, 15.3442, 15.3439) * CHOOSE(CONTROL!$C$15, $D$11, 100%, $F$11)</f>
        <v>15.344200000000001</v>
      </c>
      <c r="I485" s="8">
        <f>CHOOSE( CONTROL!$C$32, 14.2921, 14.2918) * CHOOSE(CONTROL!$C$15, $D$11, 100%, $F$11)</f>
        <v>14.2921</v>
      </c>
      <c r="J485" s="4">
        <f>CHOOSE( CONTROL!$C$32, 14.1714, 14.1711) * CHOOSE(CONTROL!$C$15, $D$11, 100%, $F$11)</f>
        <v>14.1714</v>
      </c>
      <c r="K485" s="4"/>
      <c r="L485" s="9">
        <v>29.306000000000001</v>
      </c>
      <c r="M485" s="9">
        <v>12.063700000000001</v>
      </c>
      <c r="N485" s="9">
        <v>4.9444999999999997</v>
      </c>
      <c r="O485" s="9">
        <v>0.37409999999999999</v>
      </c>
      <c r="P485" s="9">
        <v>1.2927</v>
      </c>
      <c r="Q485" s="9">
        <v>19.877800000000001</v>
      </c>
      <c r="R485" s="9"/>
      <c r="S485" s="11"/>
    </row>
    <row r="486" spans="1:19" ht="15.75">
      <c r="A486" s="13">
        <v>55943</v>
      </c>
      <c r="B486" s="8">
        <f>CHOOSE( CONTROL!$C$32, 13.6672, 13.6669) * CHOOSE(CONTROL!$C$15, $D$11, 100%, $F$11)</f>
        <v>13.667199999999999</v>
      </c>
      <c r="C486" s="8">
        <f>CHOOSE( CONTROL!$C$32, 13.6723, 13.672) * CHOOSE(CONTROL!$C$15, $D$11, 100%, $F$11)</f>
        <v>13.6723</v>
      </c>
      <c r="D486" s="8">
        <f>CHOOSE( CONTROL!$C$32, 13.6522, 13.652) * CHOOSE( CONTROL!$C$15, $D$11, 100%, $F$11)</f>
        <v>13.652200000000001</v>
      </c>
      <c r="E486" s="12">
        <f>CHOOSE( CONTROL!$C$32, 13.659, 13.6588) * CHOOSE( CONTROL!$C$15, $D$11, 100%, $F$11)</f>
        <v>13.659000000000001</v>
      </c>
      <c r="F486" s="4">
        <f>CHOOSE( CONTROL!$C$32, 14.3325, 14.3322) * CHOOSE(CONTROL!$C$15, $D$11, 100%, $F$11)</f>
        <v>14.3325</v>
      </c>
      <c r="G486" s="8">
        <f>CHOOSE( CONTROL!$C$32, 13.5108, 13.5106) * CHOOSE( CONTROL!$C$15, $D$11, 100%, $F$11)</f>
        <v>13.5108</v>
      </c>
      <c r="H486" s="4">
        <f>CHOOSE( CONTROL!$C$32, 14.4113, 14.411) * CHOOSE(CONTROL!$C$15, $D$11, 100%, $F$11)</f>
        <v>14.411300000000001</v>
      </c>
      <c r="I486" s="8">
        <f>CHOOSE( CONTROL!$C$32, 13.3759, 13.3757) * CHOOSE(CONTROL!$C$15, $D$11, 100%, $F$11)</f>
        <v>13.3759</v>
      </c>
      <c r="J486" s="4">
        <f>CHOOSE( CONTROL!$C$32, 13.2553, 13.255) * CHOOSE(CONTROL!$C$15, $D$11, 100%, $F$11)</f>
        <v>13.2553</v>
      </c>
      <c r="K486" s="4"/>
      <c r="L486" s="9">
        <v>26.469899999999999</v>
      </c>
      <c r="M486" s="9">
        <v>10.8962</v>
      </c>
      <c r="N486" s="9">
        <v>4.4660000000000002</v>
      </c>
      <c r="O486" s="9">
        <v>0.33789999999999998</v>
      </c>
      <c r="P486" s="9">
        <v>1.1676</v>
      </c>
      <c r="Q486" s="9">
        <v>17.9542</v>
      </c>
      <c r="R486" s="9"/>
      <c r="S486" s="11"/>
    </row>
    <row r="487" spans="1:19" ht="15.75">
      <c r="A487" s="13">
        <v>55974</v>
      </c>
      <c r="B487" s="8">
        <f>CHOOSE( CONTROL!$C$32, 13.3765, 13.3762) * CHOOSE(CONTROL!$C$15, $D$11, 100%, $F$11)</f>
        <v>13.3765</v>
      </c>
      <c r="C487" s="8">
        <f>CHOOSE( CONTROL!$C$32, 13.3815, 13.3813) * CHOOSE(CONTROL!$C$15, $D$11, 100%, $F$11)</f>
        <v>13.381500000000001</v>
      </c>
      <c r="D487" s="8">
        <f>CHOOSE( CONTROL!$C$32, 13.3516, 13.3513) * CHOOSE( CONTROL!$C$15, $D$11, 100%, $F$11)</f>
        <v>13.351599999999999</v>
      </c>
      <c r="E487" s="12">
        <f>CHOOSE( CONTROL!$C$32, 13.362, 13.3617) * CHOOSE( CONTROL!$C$15, $D$11, 100%, $F$11)</f>
        <v>13.362</v>
      </c>
      <c r="F487" s="4">
        <f>CHOOSE( CONTROL!$C$32, 14.0417, 14.0415) * CHOOSE(CONTROL!$C$15, $D$11, 100%, $F$11)</f>
        <v>14.041700000000001</v>
      </c>
      <c r="G487" s="8">
        <f>CHOOSE( CONTROL!$C$32, 13.2103, 13.21) * CHOOSE( CONTROL!$C$15, $D$11, 100%, $F$11)</f>
        <v>13.2103</v>
      </c>
      <c r="H487" s="4">
        <f>CHOOSE( CONTROL!$C$32, 14.1239, 14.1237) * CHOOSE(CONTROL!$C$15, $D$11, 100%, $F$11)</f>
        <v>14.123900000000001</v>
      </c>
      <c r="I487" s="8">
        <f>CHOOSE( CONTROL!$C$32, 13.0584, 13.0581) * CHOOSE(CONTROL!$C$15, $D$11, 100%, $F$11)</f>
        <v>13.058400000000001</v>
      </c>
      <c r="J487" s="4">
        <f>CHOOSE( CONTROL!$C$32, 12.9731, 12.9728) * CHOOSE(CONTROL!$C$15, $D$11, 100%, $F$11)</f>
        <v>12.973100000000001</v>
      </c>
      <c r="K487" s="4"/>
      <c r="L487" s="9">
        <v>29.306000000000001</v>
      </c>
      <c r="M487" s="9">
        <v>12.063700000000001</v>
      </c>
      <c r="N487" s="9">
        <v>4.9444999999999997</v>
      </c>
      <c r="O487" s="9">
        <v>0.37409999999999999</v>
      </c>
      <c r="P487" s="9">
        <v>1.2927</v>
      </c>
      <c r="Q487" s="9">
        <v>19.877800000000001</v>
      </c>
      <c r="R487" s="9"/>
      <c r="S487" s="11"/>
    </row>
    <row r="488" spans="1:19" ht="15.75">
      <c r="A488" s="13">
        <v>56004</v>
      </c>
      <c r="B488" s="8">
        <f>CHOOSE( CONTROL!$C$32, 13.5804, 13.5801) * CHOOSE(CONTROL!$C$15, $D$11, 100%, $F$11)</f>
        <v>13.580399999999999</v>
      </c>
      <c r="C488" s="8">
        <f>CHOOSE( CONTROL!$C$32, 13.5849, 13.5846) * CHOOSE(CONTROL!$C$15, $D$11, 100%, $F$11)</f>
        <v>13.584899999999999</v>
      </c>
      <c r="D488" s="8">
        <f>CHOOSE( CONTROL!$C$32, 13.5844, 13.5841) * CHOOSE( CONTROL!$C$15, $D$11, 100%, $F$11)</f>
        <v>13.5844</v>
      </c>
      <c r="E488" s="12">
        <f>CHOOSE( CONTROL!$C$32, 13.5841, 13.5838) * CHOOSE( CONTROL!$C$15, $D$11, 100%, $F$11)</f>
        <v>13.584099999999999</v>
      </c>
      <c r="F488" s="4">
        <f>CHOOSE( CONTROL!$C$32, 14.2887, 14.2884) * CHOOSE(CONTROL!$C$15, $D$11, 100%, $F$11)</f>
        <v>14.2887</v>
      </c>
      <c r="G488" s="8">
        <f>CHOOSE( CONTROL!$C$32, 13.4281, 13.4278) * CHOOSE( CONTROL!$C$15, $D$11, 100%, $F$11)</f>
        <v>13.428100000000001</v>
      </c>
      <c r="H488" s="4">
        <f>CHOOSE( CONTROL!$C$32, 14.368, 14.3677) * CHOOSE(CONTROL!$C$15, $D$11, 100%, $F$11)</f>
        <v>14.368</v>
      </c>
      <c r="I488" s="8">
        <f>CHOOSE( CONTROL!$C$32, 13.2562, 13.256) * CHOOSE(CONTROL!$C$15, $D$11, 100%, $F$11)</f>
        <v>13.2562</v>
      </c>
      <c r="J488" s="4">
        <f>CHOOSE( CONTROL!$C$32, 13.1703, 13.17) * CHOOSE(CONTROL!$C$15, $D$11, 100%, $F$11)</f>
        <v>13.170299999999999</v>
      </c>
      <c r="K488" s="4"/>
      <c r="L488" s="9">
        <v>30.092199999999998</v>
      </c>
      <c r="M488" s="9">
        <v>11.6745</v>
      </c>
      <c r="N488" s="9">
        <v>4.7850000000000001</v>
      </c>
      <c r="O488" s="9">
        <v>0.36199999999999999</v>
      </c>
      <c r="P488" s="9">
        <v>1.2509999999999999</v>
      </c>
      <c r="Q488" s="9">
        <v>19.236599999999999</v>
      </c>
      <c r="R488" s="9"/>
      <c r="S488" s="11"/>
    </row>
    <row r="489" spans="1:19" ht="15.75">
      <c r="A489" s="13">
        <v>56035</v>
      </c>
      <c r="B489" s="8">
        <f>CHOOSE( CONTROL!$C$32, 13.9435, 13.9431) * CHOOSE(CONTROL!$C$15, $D$11, 100%, $F$11)</f>
        <v>13.9435</v>
      </c>
      <c r="C489" s="8">
        <f>CHOOSE( CONTROL!$C$32, 13.9515, 13.9511) * CHOOSE(CONTROL!$C$15, $D$11, 100%, $F$11)</f>
        <v>13.951499999999999</v>
      </c>
      <c r="D489" s="8">
        <f>CHOOSE( CONTROL!$C$32, 13.9458, 13.9453) * CHOOSE( CONTROL!$C$15, $D$11, 100%, $F$11)</f>
        <v>13.9458</v>
      </c>
      <c r="E489" s="12">
        <f>CHOOSE( CONTROL!$C$32, 13.9466, 13.9462) * CHOOSE( CONTROL!$C$15, $D$11, 100%, $F$11)</f>
        <v>13.9466</v>
      </c>
      <c r="F489" s="4">
        <f>CHOOSE( CONTROL!$C$32, 14.6505, 14.65) * CHOOSE(CONTROL!$C$15, $D$11, 100%, $F$11)</f>
        <v>14.650499999999999</v>
      </c>
      <c r="G489" s="8">
        <f>CHOOSE( CONTROL!$C$32, 13.7859, 13.7855) * CHOOSE( CONTROL!$C$15, $D$11, 100%, $F$11)</f>
        <v>13.7859</v>
      </c>
      <c r="H489" s="4">
        <f>CHOOSE( CONTROL!$C$32, 14.7255, 14.7251) * CHOOSE(CONTROL!$C$15, $D$11, 100%, $F$11)</f>
        <v>14.7255</v>
      </c>
      <c r="I489" s="8">
        <f>CHOOSE( CONTROL!$C$32, 13.6081, 13.6076) * CHOOSE(CONTROL!$C$15, $D$11, 100%, $F$11)</f>
        <v>13.6081</v>
      </c>
      <c r="J489" s="4">
        <f>CHOOSE( CONTROL!$C$32, 13.5214, 13.5209) * CHOOSE(CONTROL!$C$15, $D$11, 100%, $F$11)</f>
        <v>13.5214</v>
      </c>
      <c r="K489" s="4"/>
      <c r="L489" s="9">
        <v>30.7165</v>
      </c>
      <c r="M489" s="9">
        <v>12.063700000000001</v>
      </c>
      <c r="N489" s="9">
        <v>4.9444999999999997</v>
      </c>
      <c r="O489" s="9">
        <v>0.37409999999999999</v>
      </c>
      <c r="P489" s="9">
        <v>1.2927</v>
      </c>
      <c r="Q489" s="9">
        <v>19.877800000000001</v>
      </c>
      <c r="R489" s="9"/>
      <c r="S489" s="11"/>
    </row>
    <row r="490" spans="1:19" ht="15.75">
      <c r="A490" s="13">
        <v>56065</v>
      </c>
      <c r="B490" s="8">
        <f>CHOOSE( CONTROL!$C$32, 13.7195, 13.7191) * CHOOSE(CONTROL!$C$15, $D$11, 100%, $F$11)</f>
        <v>13.7195</v>
      </c>
      <c r="C490" s="8">
        <f>CHOOSE( CONTROL!$C$32, 13.7275, 13.7271) * CHOOSE(CONTROL!$C$15, $D$11, 100%, $F$11)</f>
        <v>13.727499999999999</v>
      </c>
      <c r="D490" s="8">
        <f>CHOOSE( CONTROL!$C$32, 13.7222, 13.7218) * CHOOSE( CONTROL!$C$15, $D$11, 100%, $F$11)</f>
        <v>13.722200000000001</v>
      </c>
      <c r="E490" s="12">
        <f>CHOOSE( CONTROL!$C$32, 13.7229, 13.7225) * CHOOSE( CONTROL!$C$15, $D$11, 100%, $F$11)</f>
        <v>13.722899999999999</v>
      </c>
      <c r="F490" s="4">
        <f>CHOOSE( CONTROL!$C$32, 14.4265, 14.426) * CHOOSE(CONTROL!$C$15, $D$11, 100%, $F$11)</f>
        <v>14.426500000000001</v>
      </c>
      <c r="G490" s="8">
        <f>CHOOSE( CONTROL!$C$32, 13.5649, 13.5644) * CHOOSE( CONTROL!$C$15, $D$11, 100%, $F$11)</f>
        <v>13.5649</v>
      </c>
      <c r="H490" s="4">
        <f>CHOOSE( CONTROL!$C$32, 14.5042, 14.5037) * CHOOSE(CONTROL!$C$15, $D$11, 100%, $F$11)</f>
        <v>14.504200000000001</v>
      </c>
      <c r="I490" s="8">
        <f>CHOOSE( CONTROL!$C$32, 13.392, 13.3916) * CHOOSE(CONTROL!$C$15, $D$11, 100%, $F$11)</f>
        <v>13.391999999999999</v>
      </c>
      <c r="J490" s="4">
        <f>CHOOSE( CONTROL!$C$32, 13.304, 13.3035) * CHOOSE(CONTROL!$C$15, $D$11, 100%, $F$11)</f>
        <v>13.304</v>
      </c>
      <c r="K490" s="4"/>
      <c r="L490" s="9">
        <v>29.7257</v>
      </c>
      <c r="M490" s="9">
        <v>11.6745</v>
      </c>
      <c r="N490" s="9">
        <v>4.7850000000000001</v>
      </c>
      <c r="O490" s="9">
        <v>0.36199999999999999</v>
      </c>
      <c r="P490" s="9">
        <v>1.2509999999999999</v>
      </c>
      <c r="Q490" s="9">
        <v>19.236599999999999</v>
      </c>
      <c r="R490" s="9"/>
      <c r="S490" s="11"/>
    </row>
    <row r="491" spans="1:19" ht="15.75">
      <c r="A491" s="13">
        <v>56096</v>
      </c>
      <c r="B491" s="8">
        <f>CHOOSE( CONTROL!$C$32, 14.3094, 14.3089) * CHOOSE(CONTROL!$C$15, $D$11, 100%, $F$11)</f>
        <v>14.3094</v>
      </c>
      <c r="C491" s="8">
        <f>CHOOSE( CONTROL!$C$32, 14.3174, 14.3169) * CHOOSE(CONTROL!$C$15, $D$11, 100%, $F$11)</f>
        <v>14.317399999999999</v>
      </c>
      <c r="D491" s="8">
        <f>CHOOSE( CONTROL!$C$32, 14.3125, 14.3121) * CHOOSE( CONTROL!$C$15, $D$11, 100%, $F$11)</f>
        <v>14.3125</v>
      </c>
      <c r="E491" s="12">
        <f>CHOOSE( CONTROL!$C$32, 14.3131, 14.3126) * CHOOSE( CONTROL!$C$15, $D$11, 100%, $F$11)</f>
        <v>14.3131</v>
      </c>
      <c r="F491" s="4">
        <f>CHOOSE( CONTROL!$C$32, 15.0163, 15.0159) * CHOOSE(CONTROL!$C$15, $D$11, 100%, $F$11)</f>
        <v>15.016299999999999</v>
      </c>
      <c r="G491" s="8">
        <f>CHOOSE( CONTROL!$C$32, 14.1482, 14.1477) * CHOOSE( CONTROL!$C$15, $D$11, 100%, $F$11)</f>
        <v>14.148199999999999</v>
      </c>
      <c r="H491" s="4">
        <f>CHOOSE( CONTROL!$C$32, 15.0871, 15.0867) * CHOOSE(CONTROL!$C$15, $D$11, 100%, $F$11)</f>
        <v>15.0871</v>
      </c>
      <c r="I491" s="8">
        <f>CHOOSE( CONTROL!$C$32, 13.9663, 13.9658) * CHOOSE(CONTROL!$C$15, $D$11, 100%, $F$11)</f>
        <v>13.9663</v>
      </c>
      <c r="J491" s="4">
        <f>CHOOSE( CONTROL!$C$32, 13.8764, 13.876) * CHOOSE(CONTROL!$C$15, $D$11, 100%, $F$11)</f>
        <v>13.8764</v>
      </c>
      <c r="K491" s="4"/>
      <c r="L491" s="9">
        <v>30.7165</v>
      </c>
      <c r="M491" s="9">
        <v>12.063700000000001</v>
      </c>
      <c r="N491" s="9">
        <v>4.9444999999999997</v>
      </c>
      <c r="O491" s="9">
        <v>0.37409999999999999</v>
      </c>
      <c r="P491" s="9">
        <v>1.2927</v>
      </c>
      <c r="Q491" s="9">
        <v>19.877800000000001</v>
      </c>
      <c r="R491" s="9"/>
      <c r="S491" s="11"/>
    </row>
    <row r="492" spans="1:19" ht="15.75">
      <c r="A492" s="13">
        <v>56127</v>
      </c>
      <c r="B492" s="8">
        <f>CHOOSE( CONTROL!$C$32, 13.2057, 13.2053) * CHOOSE(CONTROL!$C$15, $D$11, 100%, $F$11)</f>
        <v>13.2057</v>
      </c>
      <c r="C492" s="8">
        <f>CHOOSE( CONTROL!$C$32, 13.2137, 13.2132) * CHOOSE(CONTROL!$C$15, $D$11, 100%, $F$11)</f>
        <v>13.213699999999999</v>
      </c>
      <c r="D492" s="8">
        <f>CHOOSE( CONTROL!$C$32, 13.209, 13.2085) * CHOOSE( CONTROL!$C$15, $D$11, 100%, $F$11)</f>
        <v>13.209</v>
      </c>
      <c r="E492" s="12">
        <f>CHOOSE( CONTROL!$C$32, 13.2095, 13.209) * CHOOSE( CONTROL!$C$15, $D$11, 100%, $F$11)</f>
        <v>13.2095</v>
      </c>
      <c r="F492" s="4">
        <f>CHOOSE( CONTROL!$C$32, 13.9127, 13.9122) * CHOOSE(CONTROL!$C$15, $D$11, 100%, $F$11)</f>
        <v>13.912699999999999</v>
      </c>
      <c r="G492" s="8">
        <f>CHOOSE( CONTROL!$C$32, 13.0575, 13.0571) * CHOOSE( CONTROL!$C$15, $D$11, 100%, $F$11)</f>
        <v>13.057499999999999</v>
      </c>
      <c r="H492" s="4">
        <f>CHOOSE( CONTROL!$C$32, 13.9964, 13.9959) * CHOOSE(CONTROL!$C$15, $D$11, 100%, $F$11)</f>
        <v>13.9964</v>
      </c>
      <c r="I492" s="8">
        <f>CHOOSE( CONTROL!$C$32, 12.8951, 12.8946) * CHOOSE(CONTROL!$C$15, $D$11, 100%, $F$11)</f>
        <v>12.895099999999999</v>
      </c>
      <c r="J492" s="4">
        <f>CHOOSE( CONTROL!$C$32, 12.8053, 12.8049) * CHOOSE(CONTROL!$C$15, $D$11, 100%, $F$11)</f>
        <v>12.805300000000001</v>
      </c>
      <c r="K492" s="4"/>
      <c r="L492" s="9">
        <v>30.7165</v>
      </c>
      <c r="M492" s="9">
        <v>12.063700000000001</v>
      </c>
      <c r="N492" s="9">
        <v>4.9444999999999997</v>
      </c>
      <c r="O492" s="9">
        <v>0.37409999999999999</v>
      </c>
      <c r="P492" s="9">
        <v>1.2927</v>
      </c>
      <c r="Q492" s="9">
        <v>19.877800000000001</v>
      </c>
      <c r="R492" s="9"/>
      <c r="S492" s="11"/>
    </row>
    <row r="493" spans="1:19" ht="15.75">
      <c r="A493" s="13">
        <v>56157</v>
      </c>
      <c r="B493" s="8">
        <f>CHOOSE( CONTROL!$C$32, 12.9293, 12.9289) * CHOOSE(CONTROL!$C$15, $D$11, 100%, $F$11)</f>
        <v>12.9293</v>
      </c>
      <c r="C493" s="8">
        <f>CHOOSE( CONTROL!$C$32, 12.9373, 12.9369) * CHOOSE(CONTROL!$C$15, $D$11, 100%, $F$11)</f>
        <v>12.9373</v>
      </c>
      <c r="D493" s="8">
        <f>CHOOSE( CONTROL!$C$32, 12.9324, 12.932) * CHOOSE( CONTROL!$C$15, $D$11, 100%, $F$11)</f>
        <v>12.932399999999999</v>
      </c>
      <c r="E493" s="12">
        <f>CHOOSE( CONTROL!$C$32, 12.933, 12.9326) * CHOOSE( CONTROL!$C$15, $D$11, 100%, $F$11)</f>
        <v>12.933</v>
      </c>
      <c r="F493" s="4">
        <f>CHOOSE( CONTROL!$C$32, 13.6363, 13.6358) * CHOOSE(CONTROL!$C$15, $D$11, 100%, $F$11)</f>
        <v>13.6363</v>
      </c>
      <c r="G493" s="8">
        <f>CHOOSE( CONTROL!$C$32, 12.7843, 12.7838) * CHOOSE( CONTROL!$C$15, $D$11, 100%, $F$11)</f>
        <v>12.7843</v>
      </c>
      <c r="H493" s="4">
        <f>CHOOSE( CONTROL!$C$32, 13.7232, 13.7228) * CHOOSE(CONTROL!$C$15, $D$11, 100%, $F$11)</f>
        <v>13.7232</v>
      </c>
      <c r="I493" s="8">
        <f>CHOOSE( CONTROL!$C$32, 12.6262, 12.6258) * CHOOSE(CONTROL!$C$15, $D$11, 100%, $F$11)</f>
        <v>12.626200000000001</v>
      </c>
      <c r="J493" s="4">
        <f>CHOOSE( CONTROL!$C$32, 12.5371, 12.5367) * CHOOSE(CONTROL!$C$15, $D$11, 100%, $F$11)</f>
        <v>12.537100000000001</v>
      </c>
      <c r="K493" s="4"/>
      <c r="L493" s="9">
        <v>29.7257</v>
      </c>
      <c r="M493" s="9">
        <v>11.6745</v>
      </c>
      <c r="N493" s="9">
        <v>4.7850000000000001</v>
      </c>
      <c r="O493" s="9">
        <v>0.36199999999999999</v>
      </c>
      <c r="P493" s="9">
        <v>1.2509999999999999</v>
      </c>
      <c r="Q493" s="9">
        <v>19.236599999999999</v>
      </c>
      <c r="R493" s="9"/>
      <c r="S493" s="11"/>
    </row>
    <row r="494" spans="1:19" ht="15.75">
      <c r="A494" s="13">
        <v>56188</v>
      </c>
      <c r="B494" s="8">
        <f>CHOOSE( CONTROL!$C$32, 13.5013, 13.501) * CHOOSE(CONTROL!$C$15, $D$11, 100%, $F$11)</f>
        <v>13.501300000000001</v>
      </c>
      <c r="C494" s="8">
        <f>CHOOSE( CONTROL!$C$32, 13.5066, 13.5063) * CHOOSE(CONTROL!$C$15, $D$11, 100%, $F$11)</f>
        <v>13.506600000000001</v>
      </c>
      <c r="D494" s="8">
        <f>CHOOSE( CONTROL!$C$32, 13.5068, 13.5065) * CHOOSE( CONTROL!$C$15, $D$11, 100%, $F$11)</f>
        <v>13.5068</v>
      </c>
      <c r="E494" s="12">
        <f>CHOOSE( CONTROL!$C$32, 13.5062, 13.5059) * CHOOSE( CONTROL!$C$15, $D$11, 100%, $F$11)</f>
        <v>13.5062</v>
      </c>
      <c r="F494" s="4">
        <f>CHOOSE( CONTROL!$C$32, 14.2099, 14.2097) * CHOOSE(CONTROL!$C$15, $D$11, 100%, $F$11)</f>
        <v>14.209899999999999</v>
      </c>
      <c r="G494" s="8">
        <f>CHOOSE( CONTROL!$C$32, 13.3512, 13.3509) * CHOOSE( CONTROL!$C$15, $D$11, 100%, $F$11)</f>
        <v>13.3512</v>
      </c>
      <c r="H494" s="4">
        <f>CHOOSE( CONTROL!$C$32, 14.2902, 14.2899) * CHOOSE(CONTROL!$C$15, $D$11, 100%, $F$11)</f>
        <v>14.2902</v>
      </c>
      <c r="I494" s="8">
        <f>CHOOSE( CONTROL!$C$32, 13.1839, 13.1837) * CHOOSE(CONTROL!$C$15, $D$11, 100%, $F$11)</f>
        <v>13.1839</v>
      </c>
      <c r="J494" s="4">
        <f>CHOOSE( CONTROL!$C$32, 13.0938, 13.0936) * CHOOSE(CONTROL!$C$15, $D$11, 100%, $F$11)</f>
        <v>13.0938</v>
      </c>
      <c r="K494" s="4"/>
      <c r="L494" s="9">
        <v>31.095300000000002</v>
      </c>
      <c r="M494" s="9">
        <v>12.063700000000001</v>
      </c>
      <c r="N494" s="9">
        <v>4.9444999999999997</v>
      </c>
      <c r="O494" s="9">
        <v>0.37409999999999999</v>
      </c>
      <c r="P494" s="9">
        <v>1.2927</v>
      </c>
      <c r="Q494" s="9">
        <v>19.877800000000001</v>
      </c>
      <c r="R494" s="9"/>
      <c r="S494" s="11"/>
    </row>
    <row r="495" spans="1:19" ht="15.75">
      <c r="A495" s="13">
        <v>56218</v>
      </c>
      <c r="B495" s="8">
        <f>CHOOSE( CONTROL!$C$32, 14.5601, 14.5598) * CHOOSE(CONTROL!$C$15, $D$11, 100%, $F$11)</f>
        <v>14.5601</v>
      </c>
      <c r="C495" s="8">
        <f>CHOOSE( CONTROL!$C$32, 14.5652, 14.5649) * CHOOSE(CONTROL!$C$15, $D$11, 100%, $F$11)</f>
        <v>14.565200000000001</v>
      </c>
      <c r="D495" s="8">
        <f>CHOOSE( CONTROL!$C$32, 14.533, 14.5328) * CHOOSE( CONTROL!$C$15, $D$11, 100%, $F$11)</f>
        <v>14.532999999999999</v>
      </c>
      <c r="E495" s="12">
        <f>CHOOSE( CONTROL!$C$32, 14.5442, 14.544) * CHOOSE( CONTROL!$C$15, $D$11, 100%, $F$11)</f>
        <v>14.5442</v>
      </c>
      <c r="F495" s="4">
        <f>CHOOSE( CONTROL!$C$32, 15.2254, 15.2251) * CHOOSE(CONTROL!$C$15, $D$11, 100%, $F$11)</f>
        <v>15.2254</v>
      </c>
      <c r="G495" s="8">
        <f>CHOOSE( CONTROL!$C$32, 14.3869, 14.3867) * CHOOSE( CONTROL!$C$15, $D$11, 100%, $F$11)</f>
        <v>14.386900000000001</v>
      </c>
      <c r="H495" s="4">
        <f>CHOOSE( CONTROL!$C$32, 15.2937, 15.2934) * CHOOSE(CONTROL!$C$15, $D$11, 100%, $F$11)</f>
        <v>15.293699999999999</v>
      </c>
      <c r="I495" s="8">
        <f>CHOOSE( CONTROL!$C$32, 14.2632, 14.263) * CHOOSE(CONTROL!$C$15, $D$11, 100%, $F$11)</f>
        <v>14.263199999999999</v>
      </c>
      <c r="J495" s="4">
        <f>CHOOSE( CONTROL!$C$32, 14.1218, 14.1215) * CHOOSE(CONTROL!$C$15, $D$11, 100%, $F$11)</f>
        <v>14.1218</v>
      </c>
      <c r="K495" s="4"/>
      <c r="L495" s="9">
        <v>28.360600000000002</v>
      </c>
      <c r="M495" s="9">
        <v>11.6745</v>
      </c>
      <c r="N495" s="9">
        <v>4.7850000000000001</v>
      </c>
      <c r="O495" s="9">
        <v>0.36199999999999999</v>
      </c>
      <c r="P495" s="9">
        <v>1.2509999999999999</v>
      </c>
      <c r="Q495" s="9">
        <v>19.236599999999999</v>
      </c>
      <c r="R495" s="9"/>
      <c r="S495" s="11"/>
    </row>
    <row r="496" spans="1:19" ht="15.75">
      <c r="A496" s="13">
        <v>56249</v>
      </c>
      <c r="B496" s="8">
        <f>CHOOSE( CONTROL!$C$32, 14.5336, 14.5333) * CHOOSE(CONTROL!$C$15, $D$11, 100%, $F$11)</f>
        <v>14.5336</v>
      </c>
      <c r="C496" s="8">
        <f>CHOOSE( CONTROL!$C$32, 14.5387, 14.5384) * CHOOSE(CONTROL!$C$15, $D$11, 100%, $F$11)</f>
        <v>14.5387</v>
      </c>
      <c r="D496" s="8">
        <f>CHOOSE( CONTROL!$C$32, 14.5084, 14.5081) * CHOOSE( CONTROL!$C$15, $D$11, 100%, $F$11)</f>
        <v>14.5084</v>
      </c>
      <c r="E496" s="12">
        <f>CHOOSE( CONTROL!$C$32, 14.5189, 14.5186) * CHOOSE( CONTROL!$C$15, $D$11, 100%, $F$11)</f>
        <v>14.5189</v>
      </c>
      <c r="F496" s="4">
        <f>CHOOSE( CONTROL!$C$32, 15.1989, 15.1986) * CHOOSE(CONTROL!$C$15, $D$11, 100%, $F$11)</f>
        <v>15.1989</v>
      </c>
      <c r="G496" s="8">
        <f>CHOOSE( CONTROL!$C$32, 14.3621, 14.3618) * CHOOSE( CONTROL!$C$15, $D$11, 100%, $F$11)</f>
        <v>14.3621</v>
      </c>
      <c r="H496" s="4">
        <f>CHOOSE( CONTROL!$C$32, 15.2676, 15.2673) * CHOOSE(CONTROL!$C$15, $D$11, 100%, $F$11)</f>
        <v>15.2676</v>
      </c>
      <c r="I496" s="8">
        <f>CHOOSE( CONTROL!$C$32, 14.2433, 14.243) * CHOOSE(CONTROL!$C$15, $D$11, 100%, $F$11)</f>
        <v>14.2433</v>
      </c>
      <c r="J496" s="4">
        <f>CHOOSE( CONTROL!$C$32, 14.0961, 14.0959) * CHOOSE(CONTROL!$C$15, $D$11, 100%, $F$11)</f>
        <v>14.0961</v>
      </c>
      <c r="K496" s="4"/>
      <c r="L496" s="9">
        <v>29.306000000000001</v>
      </c>
      <c r="M496" s="9">
        <v>12.063700000000001</v>
      </c>
      <c r="N496" s="9">
        <v>4.9444999999999997</v>
      </c>
      <c r="O496" s="9">
        <v>0.37409999999999999</v>
      </c>
      <c r="P496" s="9">
        <v>1.2927</v>
      </c>
      <c r="Q496" s="9">
        <v>19.877800000000001</v>
      </c>
      <c r="R496" s="9"/>
      <c r="S496" s="11"/>
    </row>
    <row r="497" spans="1:19" ht="15.75">
      <c r="A497" s="13">
        <v>56280</v>
      </c>
      <c r="B497" s="8">
        <f>CHOOSE( CONTROL!$C$32, 14.962, 14.9618) * CHOOSE(CONTROL!$C$15, $D$11, 100%, $F$11)</f>
        <v>14.962</v>
      </c>
      <c r="C497" s="8">
        <f>CHOOSE( CONTROL!$C$32, 14.9671, 14.9668) * CHOOSE(CONTROL!$C$15, $D$11, 100%, $F$11)</f>
        <v>14.9671</v>
      </c>
      <c r="D497" s="8">
        <f>CHOOSE( CONTROL!$C$32, 14.9648, 14.9645) * CHOOSE( CONTROL!$C$15, $D$11, 100%, $F$11)</f>
        <v>14.9648</v>
      </c>
      <c r="E497" s="12">
        <f>CHOOSE( CONTROL!$C$32, 14.9651, 14.9648) * CHOOSE( CONTROL!$C$15, $D$11, 100%, $F$11)</f>
        <v>14.9651</v>
      </c>
      <c r="F497" s="4">
        <f>CHOOSE( CONTROL!$C$32, 15.6273, 15.6271) * CHOOSE(CONTROL!$C$15, $D$11, 100%, $F$11)</f>
        <v>15.6273</v>
      </c>
      <c r="G497" s="8">
        <f>CHOOSE( CONTROL!$C$32, 14.8016, 14.8014) * CHOOSE( CONTROL!$C$15, $D$11, 100%, $F$11)</f>
        <v>14.801600000000001</v>
      </c>
      <c r="H497" s="4">
        <f>CHOOSE( CONTROL!$C$32, 15.691, 15.6907) * CHOOSE(CONTROL!$C$15, $D$11, 100%, $F$11)</f>
        <v>15.691000000000001</v>
      </c>
      <c r="I497" s="8">
        <f>CHOOSE( CONTROL!$C$32, 14.6328, 14.6325) * CHOOSE(CONTROL!$C$15, $D$11, 100%, $F$11)</f>
        <v>14.6328</v>
      </c>
      <c r="J497" s="4">
        <f>CHOOSE( CONTROL!$C$32, 14.5119, 14.5116) * CHOOSE(CONTROL!$C$15, $D$11, 100%, $F$11)</f>
        <v>14.511900000000001</v>
      </c>
      <c r="K497" s="4"/>
      <c r="L497" s="9">
        <v>29.306000000000001</v>
      </c>
      <c r="M497" s="9">
        <v>12.063700000000001</v>
      </c>
      <c r="N497" s="9">
        <v>4.9444999999999997</v>
      </c>
      <c r="O497" s="9">
        <v>0.37409999999999999</v>
      </c>
      <c r="P497" s="9">
        <v>1.2927</v>
      </c>
      <c r="Q497" s="9">
        <v>19.814599999999999</v>
      </c>
      <c r="R497" s="9"/>
      <c r="S497" s="11"/>
    </row>
    <row r="498" spans="1:19" ht="15.75">
      <c r="A498" s="13">
        <v>56308</v>
      </c>
      <c r="B498" s="8">
        <f>CHOOSE( CONTROL!$C$32, 13.9954, 13.9951) * CHOOSE(CONTROL!$C$15, $D$11, 100%, $F$11)</f>
        <v>13.9954</v>
      </c>
      <c r="C498" s="8">
        <f>CHOOSE( CONTROL!$C$32, 14.0004, 14.0002) * CHOOSE(CONTROL!$C$15, $D$11, 100%, $F$11)</f>
        <v>14.000400000000001</v>
      </c>
      <c r="D498" s="8">
        <f>CHOOSE( CONTROL!$C$32, 13.9804, 13.9801) * CHOOSE( CONTROL!$C$15, $D$11, 100%, $F$11)</f>
        <v>13.980399999999999</v>
      </c>
      <c r="E498" s="12">
        <f>CHOOSE( CONTROL!$C$32, 13.9872, 13.9869) * CHOOSE( CONTROL!$C$15, $D$11, 100%, $F$11)</f>
        <v>13.9872</v>
      </c>
      <c r="F498" s="4">
        <f>CHOOSE( CONTROL!$C$32, 14.6607, 14.6604) * CHOOSE(CONTROL!$C$15, $D$11, 100%, $F$11)</f>
        <v>14.6607</v>
      </c>
      <c r="G498" s="8">
        <f>CHOOSE( CONTROL!$C$32, 13.8352, 13.8349) * CHOOSE( CONTROL!$C$15, $D$11, 100%, $F$11)</f>
        <v>13.8352</v>
      </c>
      <c r="H498" s="4">
        <f>CHOOSE( CONTROL!$C$32, 14.7356, 14.7353) * CHOOSE(CONTROL!$C$15, $D$11, 100%, $F$11)</f>
        <v>14.7356</v>
      </c>
      <c r="I498" s="8">
        <f>CHOOSE( CONTROL!$C$32, 13.6946, 13.6943) * CHOOSE(CONTROL!$C$15, $D$11, 100%, $F$11)</f>
        <v>13.694599999999999</v>
      </c>
      <c r="J498" s="4">
        <f>CHOOSE( CONTROL!$C$32, 13.5738, 13.5735) * CHOOSE(CONTROL!$C$15, $D$11, 100%, $F$11)</f>
        <v>13.5738</v>
      </c>
      <c r="K498" s="4"/>
      <c r="L498" s="9">
        <v>26.469899999999999</v>
      </c>
      <c r="M498" s="9">
        <v>10.8962</v>
      </c>
      <c r="N498" s="9">
        <v>4.4660000000000002</v>
      </c>
      <c r="O498" s="9">
        <v>0.33789999999999998</v>
      </c>
      <c r="P498" s="9">
        <v>1.1676</v>
      </c>
      <c r="Q498" s="9">
        <v>17.896999999999998</v>
      </c>
      <c r="R498" s="9"/>
      <c r="S498" s="11"/>
    </row>
    <row r="499" spans="1:19" ht="15.75">
      <c r="A499" s="13">
        <v>56339</v>
      </c>
      <c r="B499" s="8">
        <f>CHOOSE( CONTROL!$C$32, 13.6976, 13.6974) * CHOOSE(CONTROL!$C$15, $D$11, 100%, $F$11)</f>
        <v>13.6976</v>
      </c>
      <c r="C499" s="8">
        <f>CHOOSE( CONTROL!$C$32, 13.7027, 13.7024) * CHOOSE(CONTROL!$C$15, $D$11, 100%, $F$11)</f>
        <v>13.7027</v>
      </c>
      <c r="D499" s="8">
        <f>CHOOSE( CONTROL!$C$32, 13.6727, 13.6725) * CHOOSE( CONTROL!$C$15, $D$11, 100%, $F$11)</f>
        <v>13.672700000000001</v>
      </c>
      <c r="E499" s="12">
        <f>CHOOSE( CONTROL!$C$32, 13.6831, 13.6829) * CHOOSE( CONTROL!$C$15, $D$11, 100%, $F$11)</f>
        <v>13.6831</v>
      </c>
      <c r="F499" s="4">
        <f>CHOOSE( CONTROL!$C$32, 14.3629, 14.3626) * CHOOSE(CONTROL!$C$15, $D$11, 100%, $F$11)</f>
        <v>14.3629</v>
      </c>
      <c r="G499" s="8">
        <f>CHOOSE( CONTROL!$C$32, 13.5277, 13.5274) * CHOOSE( CONTROL!$C$15, $D$11, 100%, $F$11)</f>
        <v>13.527699999999999</v>
      </c>
      <c r="H499" s="4">
        <f>CHOOSE( CONTROL!$C$32, 14.4414, 14.4411) * CHOOSE(CONTROL!$C$15, $D$11, 100%, $F$11)</f>
        <v>14.4414</v>
      </c>
      <c r="I499" s="8">
        <f>CHOOSE( CONTROL!$C$32, 13.3703, 13.37) * CHOOSE(CONTROL!$C$15, $D$11, 100%, $F$11)</f>
        <v>13.3703</v>
      </c>
      <c r="J499" s="4">
        <f>CHOOSE( CONTROL!$C$32, 13.2848, 13.2845) * CHOOSE(CONTROL!$C$15, $D$11, 100%, $F$11)</f>
        <v>13.284800000000001</v>
      </c>
      <c r="K499" s="4"/>
      <c r="L499" s="9">
        <v>29.306000000000001</v>
      </c>
      <c r="M499" s="9">
        <v>12.063700000000001</v>
      </c>
      <c r="N499" s="9">
        <v>4.9444999999999997</v>
      </c>
      <c r="O499" s="9">
        <v>0.37409999999999999</v>
      </c>
      <c r="P499" s="9">
        <v>1.2927</v>
      </c>
      <c r="Q499" s="9">
        <v>19.814599999999999</v>
      </c>
      <c r="R499" s="9"/>
      <c r="S499" s="11"/>
    </row>
    <row r="500" spans="1:19" ht="15.75">
      <c r="A500" s="13">
        <v>56369</v>
      </c>
      <c r="B500" s="8">
        <f>CHOOSE( CONTROL!$C$32, 13.9065, 13.9062) * CHOOSE(CONTROL!$C$15, $D$11, 100%, $F$11)</f>
        <v>13.906499999999999</v>
      </c>
      <c r="C500" s="8">
        <f>CHOOSE( CONTROL!$C$32, 13.911, 13.9107) * CHOOSE(CONTROL!$C$15, $D$11, 100%, $F$11)</f>
        <v>13.911</v>
      </c>
      <c r="D500" s="8">
        <f>CHOOSE( CONTROL!$C$32, 13.9105, 13.9102) * CHOOSE( CONTROL!$C$15, $D$11, 100%, $F$11)</f>
        <v>13.910500000000001</v>
      </c>
      <c r="E500" s="12">
        <f>CHOOSE( CONTROL!$C$32, 13.9102, 13.9099) * CHOOSE( CONTROL!$C$15, $D$11, 100%, $F$11)</f>
        <v>13.9102</v>
      </c>
      <c r="F500" s="4">
        <f>CHOOSE( CONTROL!$C$32, 14.6148, 14.6145) * CHOOSE(CONTROL!$C$15, $D$11, 100%, $F$11)</f>
        <v>14.614800000000001</v>
      </c>
      <c r="G500" s="8">
        <f>CHOOSE( CONTROL!$C$32, 13.7503, 13.75) * CHOOSE( CONTROL!$C$15, $D$11, 100%, $F$11)</f>
        <v>13.750299999999999</v>
      </c>
      <c r="H500" s="4">
        <f>CHOOSE( CONTROL!$C$32, 14.6903, 14.69) * CHOOSE(CONTROL!$C$15, $D$11, 100%, $F$11)</f>
        <v>14.690300000000001</v>
      </c>
      <c r="I500" s="8">
        <f>CHOOSE( CONTROL!$C$32, 13.5728, 13.5726) * CHOOSE(CONTROL!$C$15, $D$11, 100%, $F$11)</f>
        <v>13.572800000000001</v>
      </c>
      <c r="J500" s="4">
        <f>CHOOSE( CONTROL!$C$32, 13.4867, 13.4865) * CHOOSE(CONTROL!$C$15, $D$11, 100%, $F$11)</f>
        <v>13.486700000000001</v>
      </c>
      <c r="K500" s="4"/>
      <c r="L500" s="9">
        <v>30.092199999999998</v>
      </c>
      <c r="M500" s="9">
        <v>11.6745</v>
      </c>
      <c r="N500" s="9">
        <v>4.7850000000000001</v>
      </c>
      <c r="O500" s="9">
        <v>0.36199999999999999</v>
      </c>
      <c r="P500" s="9">
        <v>1.2509999999999999</v>
      </c>
      <c r="Q500" s="9">
        <v>19.1754</v>
      </c>
      <c r="R500" s="9"/>
      <c r="S500" s="11"/>
    </row>
    <row r="501" spans="1:19" ht="15.75">
      <c r="A501" s="13">
        <v>56400</v>
      </c>
      <c r="B501" s="8">
        <f>CHOOSE( CONTROL!$C$32, 14.2783, 14.2778) * CHOOSE(CONTROL!$C$15, $D$11, 100%, $F$11)</f>
        <v>14.2783</v>
      </c>
      <c r="C501" s="8">
        <f>CHOOSE( CONTROL!$C$32, 14.2863, 14.2858) * CHOOSE(CONTROL!$C$15, $D$11, 100%, $F$11)</f>
        <v>14.286300000000001</v>
      </c>
      <c r="D501" s="8">
        <f>CHOOSE( CONTROL!$C$32, 14.2806, 14.2801) * CHOOSE( CONTROL!$C$15, $D$11, 100%, $F$11)</f>
        <v>14.2806</v>
      </c>
      <c r="E501" s="12">
        <f>CHOOSE( CONTROL!$C$32, 14.2814, 14.2809) * CHOOSE( CONTROL!$C$15, $D$11, 100%, $F$11)</f>
        <v>14.2814</v>
      </c>
      <c r="F501" s="4">
        <f>CHOOSE( CONTROL!$C$32, 14.9852, 14.9848) * CHOOSE(CONTROL!$C$15, $D$11, 100%, $F$11)</f>
        <v>14.985200000000001</v>
      </c>
      <c r="G501" s="8">
        <f>CHOOSE( CONTROL!$C$32, 14.1168, 14.1163) * CHOOSE( CONTROL!$C$15, $D$11, 100%, $F$11)</f>
        <v>14.1168</v>
      </c>
      <c r="H501" s="4">
        <f>CHOOSE( CONTROL!$C$32, 15.0564, 15.0559) * CHOOSE(CONTROL!$C$15, $D$11, 100%, $F$11)</f>
        <v>15.0564</v>
      </c>
      <c r="I501" s="8">
        <f>CHOOSE( CONTROL!$C$32, 13.9331, 13.9327) * CHOOSE(CONTROL!$C$15, $D$11, 100%, $F$11)</f>
        <v>13.9331</v>
      </c>
      <c r="J501" s="4">
        <f>CHOOSE( CONTROL!$C$32, 13.8463, 13.8458) * CHOOSE(CONTROL!$C$15, $D$11, 100%, $F$11)</f>
        <v>13.846299999999999</v>
      </c>
      <c r="K501" s="4"/>
      <c r="L501" s="9">
        <v>30.7165</v>
      </c>
      <c r="M501" s="9">
        <v>12.063700000000001</v>
      </c>
      <c r="N501" s="9">
        <v>4.9444999999999997</v>
      </c>
      <c r="O501" s="9">
        <v>0.37409999999999999</v>
      </c>
      <c r="P501" s="9">
        <v>1.2927</v>
      </c>
      <c r="Q501" s="9">
        <v>19.814599999999999</v>
      </c>
      <c r="R501" s="9"/>
      <c r="S501" s="11"/>
    </row>
    <row r="502" spans="1:19" ht="15.75">
      <c r="A502" s="13">
        <v>56430</v>
      </c>
      <c r="B502" s="8">
        <f>CHOOSE( CONTROL!$C$32, 14.0489, 14.0485) * CHOOSE(CONTROL!$C$15, $D$11, 100%, $F$11)</f>
        <v>14.0489</v>
      </c>
      <c r="C502" s="8">
        <f>CHOOSE( CONTROL!$C$32, 14.0569, 14.0564) * CHOOSE(CONTROL!$C$15, $D$11, 100%, $F$11)</f>
        <v>14.056900000000001</v>
      </c>
      <c r="D502" s="8">
        <f>CHOOSE( CONTROL!$C$32, 14.0516, 14.0511) * CHOOSE( CONTROL!$C$15, $D$11, 100%, $F$11)</f>
        <v>14.051600000000001</v>
      </c>
      <c r="E502" s="12">
        <f>CHOOSE( CONTROL!$C$32, 14.0523, 14.0518) * CHOOSE( CONTROL!$C$15, $D$11, 100%, $F$11)</f>
        <v>14.052300000000001</v>
      </c>
      <c r="F502" s="4">
        <f>CHOOSE( CONTROL!$C$32, 14.7558, 14.7554) * CHOOSE(CONTROL!$C$15, $D$11, 100%, $F$11)</f>
        <v>14.755800000000001</v>
      </c>
      <c r="G502" s="8">
        <f>CHOOSE( CONTROL!$C$32, 13.8904, 13.8899) * CHOOSE( CONTROL!$C$15, $D$11, 100%, $F$11)</f>
        <v>13.8904</v>
      </c>
      <c r="H502" s="4">
        <f>CHOOSE( CONTROL!$C$32, 14.8297, 14.8292) * CHOOSE(CONTROL!$C$15, $D$11, 100%, $F$11)</f>
        <v>14.829700000000001</v>
      </c>
      <c r="I502" s="8">
        <f>CHOOSE( CONTROL!$C$32, 13.7118, 13.7114) * CHOOSE(CONTROL!$C$15, $D$11, 100%, $F$11)</f>
        <v>13.7118</v>
      </c>
      <c r="J502" s="4">
        <f>CHOOSE( CONTROL!$C$32, 13.6236, 13.6232) * CHOOSE(CONTROL!$C$15, $D$11, 100%, $F$11)</f>
        <v>13.6236</v>
      </c>
      <c r="K502" s="4"/>
      <c r="L502" s="9">
        <v>29.7257</v>
      </c>
      <c r="M502" s="9">
        <v>11.6745</v>
      </c>
      <c r="N502" s="9">
        <v>4.7850000000000001</v>
      </c>
      <c r="O502" s="9">
        <v>0.36199999999999999</v>
      </c>
      <c r="P502" s="9">
        <v>1.2509999999999999</v>
      </c>
      <c r="Q502" s="9">
        <v>19.1754</v>
      </c>
      <c r="R502" s="9"/>
      <c r="S502" s="11"/>
    </row>
    <row r="503" spans="1:19" ht="15.75">
      <c r="A503" s="13">
        <v>56461</v>
      </c>
      <c r="B503" s="8">
        <f>CHOOSE( CONTROL!$C$32, 14.6529, 14.6525) * CHOOSE(CONTROL!$C$15, $D$11, 100%, $F$11)</f>
        <v>14.652900000000001</v>
      </c>
      <c r="C503" s="8">
        <f>CHOOSE( CONTROL!$C$32, 14.6609, 14.6605) * CHOOSE(CONTROL!$C$15, $D$11, 100%, $F$11)</f>
        <v>14.6609</v>
      </c>
      <c r="D503" s="8">
        <f>CHOOSE( CONTROL!$C$32, 14.6561, 14.6556) * CHOOSE( CONTROL!$C$15, $D$11, 100%, $F$11)</f>
        <v>14.6561</v>
      </c>
      <c r="E503" s="12">
        <f>CHOOSE( CONTROL!$C$32, 14.6566, 14.6562) * CHOOSE( CONTROL!$C$15, $D$11, 100%, $F$11)</f>
        <v>14.656599999999999</v>
      </c>
      <c r="F503" s="4">
        <f>CHOOSE( CONTROL!$C$32, 15.3599, 15.3594) * CHOOSE(CONTROL!$C$15, $D$11, 100%, $F$11)</f>
        <v>15.3599</v>
      </c>
      <c r="G503" s="8">
        <f>CHOOSE( CONTROL!$C$32, 14.4877, 14.4873) * CHOOSE( CONTROL!$C$15, $D$11, 100%, $F$11)</f>
        <v>14.4877</v>
      </c>
      <c r="H503" s="4">
        <f>CHOOSE( CONTROL!$C$32, 15.4266, 15.4262) * CHOOSE(CONTROL!$C$15, $D$11, 100%, $F$11)</f>
        <v>15.426600000000001</v>
      </c>
      <c r="I503" s="8">
        <f>CHOOSE( CONTROL!$C$32, 14.2999, 14.2994) * CHOOSE(CONTROL!$C$15, $D$11, 100%, $F$11)</f>
        <v>14.299899999999999</v>
      </c>
      <c r="J503" s="4">
        <f>CHOOSE( CONTROL!$C$32, 14.2099, 14.2094) * CHOOSE(CONTROL!$C$15, $D$11, 100%, $F$11)</f>
        <v>14.209899999999999</v>
      </c>
      <c r="K503" s="4"/>
      <c r="L503" s="9">
        <v>30.7165</v>
      </c>
      <c r="M503" s="9">
        <v>12.063700000000001</v>
      </c>
      <c r="N503" s="9">
        <v>4.9444999999999997</v>
      </c>
      <c r="O503" s="9">
        <v>0.37409999999999999</v>
      </c>
      <c r="P503" s="9">
        <v>1.2927</v>
      </c>
      <c r="Q503" s="9">
        <v>19.814599999999999</v>
      </c>
      <c r="R503" s="9"/>
      <c r="S503" s="11"/>
    </row>
    <row r="504" spans="1:19" ht="15.75">
      <c r="A504" s="13">
        <v>56492</v>
      </c>
      <c r="B504" s="8">
        <f>CHOOSE( CONTROL!$C$32, 13.5227, 13.5223) * CHOOSE(CONTROL!$C$15, $D$11, 100%, $F$11)</f>
        <v>13.5227</v>
      </c>
      <c r="C504" s="8">
        <f>CHOOSE( CONTROL!$C$32, 13.5307, 13.5303) * CHOOSE(CONTROL!$C$15, $D$11, 100%, $F$11)</f>
        <v>13.5307</v>
      </c>
      <c r="D504" s="8">
        <f>CHOOSE( CONTROL!$C$32, 13.526, 13.5255) * CHOOSE( CONTROL!$C$15, $D$11, 100%, $F$11)</f>
        <v>13.526</v>
      </c>
      <c r="E504" s="12">
        <f>CHOOSE( CONTROL!$C$32, 13.5265, 13.526) * CHOOSE( CONTROL!$C$15, $D$11, 100%, $F$11)</f>
        <v>13.5265</v>
      </c>
      <c r="F504" s="4">
        <f>CHOOSE( CONTROL!$C$32, 14.2297, 14.2292) * CHOOSE(CONTROL!$C$15, $D$11, 100%, $F$11)</f>
        <v>14.229699999999999</v>
      </c>
      <c r="G504" s="8">
        <f>CHOOSE( CONTROL!$C$32, 13.3709, 13.3704) * CHOOSE( CONTROL!$C$15, $D$11, 100%, $F$11)</f>
        <v>13.370900000000001</v>
      </c>
      <c r="H504" s="4">
        <f>CHOOSE( CONTROL!$C$32, 14.3097, 14.3092) * CHOOSE(CONTROL!$C$15, $D$11, 100%, $F$11)</f>
        <v>14.309699999999999</v>
      </c>
      <c r="I504" s="8">
        <f>CHOOSE( CONTROL!$C$32, 13.2029, 13.2025) * CHOOSE(CONTROL!$C$15, $D$11, 100%, $F$11)</f>
        <v>13.2029</v>
      </c>
      <c r="J504" s="4">
        <f>CHOOSE( CONTROL!$C$32, 13.113, 13.1125) * CHOOSE(CONTROL!$C$15, $D$11, 100%, $F$11)</f>
        <v>13.113</v>
      </c>
      <c r="K504" s="4"/>
      <c r="L504" s="9">
        <v>30.7165</v>
      </c>
      <c r="M504" s="9">
        <v>12.063700000000001</v>
      </c>
      <c r="N504" s="9">
        <v>4.9444999999999997</v>
      </c>
      <c r="O504" s="9">
        <v>0.37409999999999999</v>
      </c>
      <c r="P504" s="9">
        <v>1.2927</v>
      </c>
      <c r="Q504" s="9">
        <v>19.814599999999999</v>
      </c>
      <c r="R504" s="9"/>
      <c r="S504" s="11"/>
    </row>
    <row r="505" spans="1:19" ht="15.75">
      <c r="A505" s="13">
        <v>56522</v>
      </c>
      <c r="B505" s="8">
        <f>CHOOSE( CONTROL!$C$32, 13.2397, 13.2393) * CHOOSE(CONTROL!$C$15, $D$11, 100%, $F$11)</f>
        <v>13.239699999999999</v>
      </c>
      <c r="C505" s="8">
        <f>CHOOSE( CONTROL!$C$32, 13.2477, 13.2472) * CHOOSE(CONTROL!$C$15, $D$11, 100%, $F$11)</f>
        <v>13.2477</v>
      </c>
      <c r="D505" s="8">
        <f>CHOOSE( CONTROL!$C$32, 13.2428, 13.2424) * CHOOSE( CONTROL!$C$15, $D$11, 100%, $F$11)</f>
        <v>13.242800000000001</v>
      </c>
      <c r="E505" s="12">
        <f>CHOOSE( CONTROL!$C$32, 13.2434, 13.2429) * CHOOSE( CONTROL!$C$15, $D$11, 100%, $F$11)</f>
        <v>13.243399999999999</v>
      </c>
      <c r="F505" s="4">
        <f>CHOOSE( CONTROL!$C$32, 13.9467, 13.9462) * CHOOSE(CONTROL!$C$15, $D$11, 100%, $F$11)</f>
        <v>13.9467</v>
      </c>
      <c r="G505" s="8">
        <f>CHOOSE( CONTROL!$C$32, 13.091, 13.0906) * CHOOSE( CONTROL!$C$15, $D$11, 100%, $F$11)</f>
        <v>13.090999999999999</v>
      </c>
      <c r="H505" s="4">
        <f>CHOOSE( CONTROL!$C$32, 14.03, 14.0295) * CHOOSE(CONTROL!$C$15, $D$11, 100%, $F$11)</f>
        <v>14.03</v>
      </c>
      <c r="I505" s="8">
        <f>CHOOSE( CONTROL!$C$32, 12.9276, 12.9271) * CHOOSE(CONTROL!$C$15, $D$11, 100%, $F$11)</f>
        <v>12.9276</v>
      </c>
      <c r="J505" s="4">
        <f>CHOOSE( CONTROL!$C$32, 12.8383, 12.8379) * CHOOSE(CONTROL!$C$15, $D$11, 100%, $F$11)</f>
        <v>12.8383</v>
      </c>
      <c r="K505" s="4"/>
      <c r="L505" s="9">
        <v>29.7257</v>
      </c>
      <c r="M505" s="9">
        <v>11.6745</v>
      </c>
      <c r="N505" s="9">
        <v>4.7850000000000001</v>
      </c>
      <c r="O505" s="9">
        <v>0.36199999999999999</v>
      </c>
      <c r="P505" s="9">
        <v>1.2509999999999999</v>
      </c>
      <c r="Q505" s="9">
        <v>19.1754</v>
      </c>
      <c r="R505" s="9"/>
      <c r="S505" s="11"/>
    </row>
    <row r="506" spans="1:19" ht="15.75">
      <c r="A506" s="13">
        <v>56553</v>
      </c>
      <c r="B506" s="8">
        <f>CHOOSE( CONTROL!$C$32, 13.8254, 13.8252) * CHOOSE(CONTROL!$C$15, $D$11, 100%, $F$11)</f>
        <v>13.8254</v>
      </c>
      <c r="C506" s="8">
        <f>CHOOSE( CONTROL!$C$32, 13.8308, 13.8305) * CHOOSE(CONTROL!$C$15, $D$11, 100%, $F$11)</f>
        <v>13.8308</v>
      </c>
      <c r="D506" s="8">
        <f>CHOOSE( CONTROL!$C$32, 13.831, 13.8307) * CHOOSE( CONTROL!$C$15, $D$11, 100%, $F$11)</f>
        <v>13.831</v>
      </c>
      <c r="E506" s="12">
        <f>CHOOSE( CONTROL!$C$32, 13.8304, 13.8301) * CHOOSE( CONTROL!$C$15, $D$11, 100%, $F$11)</f>
        <v>13.830399999999999</v>
      </c>
      <c r="F506" s="4">
        <f>CHOOSE( CONTROL!$C$32, 14.5341, 14.5338) * CHOOSE(CONTROL!$C$15, $D$11, 100%, $F$11)</f>
        <v>14.5341</v>
      </c>
      <c r="G506" s="8">
        <f>CHOOSE( CONTROL!$C$32, 13.6716, 13.6713) * CHOOSE( CONTROL!$C$15, $D$11, 100%, $F$11)</f>
        <v>13.6716</v>
      </c>
      <c r="H506" s="4">
        <f>CHOOSE( CONTROL!$C$32, 14.6105, 14.6103) * CHOOSE(CONTROL!$C$15, $D$11, 100%, $F$11)</f>
        <v>14.6105</v>
      </c>
      <c r="I506" s="8">
        <f>CHOOSE( CONTROL!$C$32, 13.4987, 13.4984) * CHOOSE(CONTROL!$C$15, $D$11, 100%, $F$11)</f>
        <v>13.498699999999999</v>
      </c>
      <c r="J506" s="4">
        <f>CHOOSE( CONTROL!$C$32, 13.4084, 13.4082) * CHOOSE(CONTROL!$C$15, $D$11, 100%, $F$11)</f>
        <v>13.4084</v>
      </c>
      <c r="K506" s="4"/>
      <c r="L506" s="9">
        <v>31.095300000000002</v>
      </c>
      <c r="M506" s="9">
        <v>12.063700000000001</v>
      </c>
      <c r="N506" s="9">
        <v>4.9444999999999997</v>
      </c>
      <c r="O506" s="9">
        <v>0.37409999999999999</v>
      </c>
      <c r="P506" s="9">
        <v>1.2927</v>
      </c>
      <c r="Q506" s="9">
        <v>19.814599999999999</v>
      </c>
      <c r="R506" s="9"/>
      <c r="S506" s="11"/>
    </row>
    <row r="507" spans="1:19" ht="15.75">
      <c r="A507" s="13">
        <v>56583</v>
      </c>
      <c r="B507" s="8">
        <f>CHOOSE( CONTROL!$C$32, 14.9097, 14.9094) * CHOOSE(CONTROL!$C$15, $D$11, 100%, $F$11)</f>
        <v>14.909700000000001</v>
      </c>
      <c r="C507" s="8">
        <f>CHOOSE( CONTROL!$C$32, 14.9148, 14.9145) * CHOOSE(CONTROL!$C$15, $D$11, 100%, $F$11)</f>
        <v>14.9148</v>
      </c>
      <c r="D507" s="8">
        <f>CHOOSE( CONTROL!$C$32, 14.8826, 14.8824) * CHOOSE( CONTROL!$C$15, $D$11, 100%, $F$11)</f>
        <v>14.8826</v>
      </c>
      <c r="E507" s="12">
        <f>CHOOSE( CONTROL!$C$32, 14.8938, 14.8936) * CHOOSE( CONTROL!$C$15, $D$11, 100%, $F$11)</f>
        <v>14.893800000000001</v>
      </c>
      <c r="F507" s="4">
        <f>CHOOSE( CONTROL!$C$32, 15.575, 15.5747) * CHOOSE(CONTROL!$C$15, $D$11, 100%, $F$11)</f>
        <v>15.574999999999999</v>
      </c>
      <c r="G507" s="8">
        <f>CHOOSE( CONTROL!$C$32, 14.7325, 14.7322) * CHOOSE( CONTROL!$C$15, $D$11, 100%, $F$11)</f>
        <v>14.7325</v>
      </c>
      <c r="H507" s="4">
        <f>CHOOSE( CONTROL!$C$32, 15.6392, 15.639) * CHOOSE(CONTROL!$C$15, $D$11, 100%, $F$11)</f>
        <v>15.639200000000001</v>
      </c>
      <c r="I507" s="8">
        <f>CHOOSE( CONTROL!$C$32, 14.6027, 14.6025) * CHOOSE(CONTROL!$C$15, $D$11, 100%, $F$11)</f>
        <v>14.6027</v>
      </c>
      <c r="J507" s="4">
        <f>CHOOSE( CONTROL!$C$32, 14.4611, 14.4609) * CHOOSE(CONTROL!$C$15, $D$11, 100%, $F$11)</f>
        <v>14.4611</v>
      </c>
      <c r="K507" s="4"/>
      <c r="L507" s="9">
        <v>28.360600000000002</v>
      </c>
      <c r="M507" s="9">
        <v>11.6745</v>
      </c>
      <c r="N507" s="9">
        <v>4.7850000000000001</v>
      </c>
      <c r="O507" s="9">
        <v>0.36199999999999999</v>
      </c>
      <c r="P507" s="9">
        <v>1.2509999999999999</v>
      </c>
      <c r="Q507" s="9">
        <v>19.1754</v>
      </c>
      <c r="R507" s="9"/>
      <c r="S507" s="11"/>
    </row>
    <row r="508" spans="1:19" ht="15.75">
      <c r="A508" s="13">
        <v>56614</v>
      </c>
      <c r="B508" s="8">
        <f>CHOOSE( CONTROL!$C$32, 14.8826, 14.8823) * CHOOSE(CONTROL!$C$15, $D$11, 100%, $F$11)</f>
        <v>14.8826</v>
      </c>
      <c r="C508" s="8">
        <f>CHOOSE( CONTROL!$C$32, 14.8877, 14.8874) * CHOOSE(CONTROL!$C$15, $D$11, 100%, $F$11)</f>
        <v>14.887700000000001</v>
      </c>
      <c r="D508" s="8">
        <f>CHOOSE( CONTROL!$C$32, 14.8574, 14.8571) * CHOOSE( CONTROL!$C$15, $D$11, 100%, $F$11)</f>
        <v>14.8574</v>
      </c>
      <c r="E508" s="12">
        <f>CHOOSE( CONTROL!$C$32, 14.8679, 14.8676) * CHOOSE( CONTROL!$C$15, $D$11, 100%, $F$11)</f>
        <v>14.867900000000001</v>
      </c>
      <c r="F508" s="4">
        <f>CHOOSE( CONTROL!$C$32, 15.5479, 15.5476) * CHOOSE(CONTROL!$C$15, $D$11, 100%, $F$11)</f>
        <v>15.5479</v>
      </c>
      <c r="G508" s="8">
        <f>CHOOSE( CONTROL!$C$32, 14.707, 14.7067) * CHOOSE( CONTROL!$C$15, $D$11, 100%, $F$11)</f>
        <v>14.707000000000001</v>
      </c>
      <c r="H508" s="4">
        <f>CHOOSE( CONTROL!$C$32, 15.6124, 15.6122) * CHOOSE(CONTROL!$C$15, $D$11, 100%, $F$11)</f>
        <v>15.612399999999999</v>
      </c>
      <c r="I508" s="8">
        <f>CHOOSE( CONTROL!$C$32, 14.5821, 14.5818) * CHOOSE(CONTROL!$C$15, $D$11, 100%, $F$11)</f>
        <v>14.582100000000001</v>
      </c>
      <c r="J508" s="4">
        <f>CHOOSE( CONTROL!$C$32, 14.4348, 14.4345) * CHOOSE(CONTROL!$C$15, $D$11, 100%, $F$11)</f>
        <v>14.434799999999999</v>
      </c>
      <c r="K508" s="4"/>
      <c r="L508" s="9">
        <v>29.306000000000001</v>
      </c>
      <c r="M508" s="9">
        <v>12.063700000000001</v>
      </c>
      <c r="N508" s="9">
        <v>4.9444999999999997</v>
      </c>
      <c r="O508" s="9">
        <v>0.37409999999999999</v>
      </c>
      <c r="P508" s="9">
        <v>1.2927</v>
      </c>
      <c r="Q508" s="9">
        <v>19.814599999999999</v>
      </c>
      <c r="R508" s="9"/>
      <c r="S508" s="11"/>
    </row>
    <row r="509" spans="1:19" ht="15.75">
      <c r="A509" s="13">
        <v>56645</v>
      </c>
      <c r="B509" s="8">
        <f>CHOOSE( CONTROL!$C$32, 15.3213, 15.321) * CHOOSE(CONTROL!$C$15, $D$11, 100%, $F$11)</f>
        <v>15.321300000000001</v>
      </c>
      <c r="C509" s="8">
        <f>CHOOSE( CONTROL!$C$32, 15.3264, 15.3261) * CHOOSE(CONTROL!$C$15, $D$11, 100%, $F$11)</f>
        <v>15.3264</v>
      </c>
      <c r="D509" s="8">
        <f>CHOOSE( CONTROL!$C$32, 15.324, 15.3238) * CHOOSE( CONTROL!$C$15, $D$11, 100%, $F$11)</f>
        <v>15.324</v>
      </c>
      <c r="E509" s="12">
        <f>CHOOSE( CONTROL!$C$32, 15.3243, 15.3241) * CHOOSE( CONTROL!$C$15, $D$11, 100%, $F$11)</f>
        <v>15.324299999999999</v>
      </c>
      <c r="F509" s="4">
        <f>CHOOSE( CONTROL!$C$32, 15.9866, 15.9863) * CHOOSE(CONTROL!$C$15, $D$11, 100%, $F$11)</f>
        <v>15.986599999999999</v>
      </c>
      <c r="G509" s="8">
        <f>CHOOSE( CONTROL!$C$32, 15.1567, 15.1564) * CHOOSE( CONTROL!$C$15, $D$11, 100%, $F$11)</f>
        <v>15.156700000000001</v>
      </c>
      <c r="H509" s="4">
        <f>CHOOSE( CONTROL!$C$32, 16.046, 16.0458) * CHOOSE(CONTROL!$C$15, $D$11, 100%, $F$11)</f>
        <v>16.045999999999999</v>
      </c>
      <c r="I509" s="8">
        <f>CHOOSE( CONTROL!$C$32, 14.9816, 14.9814) * CHOOSE(CONTROL!$C$15, $D$11, 100%, $F$11)</f>
        <v>14.9816</v>
      </c>
      <c r="J509" s="4">
        <f>CHOOSE( CONTROL!$C$32, 14.8606, 14.8603) * CHOOSE(CONTROL!$C$15, $D$11, 100%, $F$11)</f>
        <v>14.8606</v>
      </c>
      <c r="K509" s="4"/>
      <c r="L509" s="9">
        <v>29.306000000000001</v>
      </c>
      <c r="M509" s="9">
        <v>12.063700000000001</v>
      </c>
      <c r="N509" s="9">
        <v>4.9444999999999997</v>
      </c>
      <c r="O509" s="9">
        <v>0.37409999999999999</v>
      </c>
      <c r="P509" s="9">
        <v>1.2927</v>
      </c>
      <c r="Q509" s="9">
        <v>19.751300000000001</v>
      </c>
      <c r="R509" s="9"/>
      <c r="S509" s="11"/>
    </row>
    <row r="510" spans="1:19" ht="15.75">
      <c r="A510" s="13">
        <v>56673</v>
      </c>
      <c r="B510" s="8">
        <f>CHOOSE( CONTROL!$C$32, 14.3314, 14.3311) * CHOOSE(CONTROL!$C$15, $D$11, 100%, $F$11)</f>
        <v>14.3314</v>
      </c>
      <c r="C510" s="8">
        <f>CHOOSE( CONTROL!$C$32, 14.3365, 14.3362) * CHOOSE(CONTROL!$C$15, $D$11, 100%, $F$11)</f>
        <v>14.336499999999999</v>
      </c>
      <c r="D510" s="8">
        <f>CHOOSE( CONTROL!$C$32, 14.3165, 14.3162) * CHOOSE( CONTROL!$C$15, $D$11, 100%, $F$11)</f>
        <v>14.3165</v>
      </c>
      <c r="E510" s="12">
        <f>CHOOSE( CONTROL!$C$32, 14.3233, 14.323) * CHOOSE( CONTROL!$C$15, $D$11, 100%, $F$11)</f>
        <v>14.3233</v>
      </c>
      <c r="F510" s="4">
        <f>CHOOSE( CONTROL!$C$32, 14.9967, 14.9964) * CHOOSE(CONTROL!$C$15, $D$11, 100%, $F$11)</f>
        <v>14.996700000000001</v>
      </c>
      <c r="G510" s="8">
        <f>CHOOSE( CONTROL!$C$32, 14.1673, 14.167) * CHOOSE( CONTROL!$C$15, $D$11, 100%, $F$11)</f>
        <v>14.167299999999999</v>
      </c>
      <c r="H510" s="4">
        <f>CHOOSE( CONTROL!$C$32, 15.0677, 15.0675) * CHOOSE(CONTROL!$C$15, $D$11, 100%, $F$11)</f>
        <v>15.0677</v>
      </c>
      <c r="I510" s="8">
        <f>CHOOSE( CONTROL!$C$32, 14.0209, 14.0206) * CHOOSE(CONTROL!$C$15, $D$11, 100%, $F$11)</f>
        <v>14.020899999999999</v>
      </c>
      <c r="J510" s="4">
        <f>CHOOSE( CONTROL!$C$32, 13.8999, 13.8996) * CHOOSE(CONTROL!$C$15, $D$11, 100%, $F$11)</f>
        <v>13.899900000000001</v>
      </c>
      <c r="K510" s="4"/>
      <c r="L510" s="9">
        <v>26.469899999999999</v>
      </c>
      <c r="M510" s="9">
        <v>10.8962</v>
      </c>
      <c r="N510" s="9">
        <v>4.4660000000000002</v>
      </c>
      <c r="O510" s="9">
        <v>0.33789999999999998</v>
      </c>
      <c r="P510" s="9">
        <v>1.1676</v>
      </c>
      <c r="Q510" s="9">
        <v>17.8399</v>
      </c>
      <c r="R510" s="9"/>
      <c r="S510" s="11"/>
    </row>
    <row r="511" spans="1:19" ht="15.75">
      <c r="A511" s="13">
        <v>56704</v>
      </c>
      <c r="B511" s="8">
        <f>CHOOSE( CONTROL!$C$32, 14.0265, 14.0263) * CHOOSE(CONTROL!$C$15, $D$11, 100%, $F$11)</f>
        <v>14.0265</v>
      </c>
      <c r="C511" s="8">
        <f>CHOOSE( CONTROL!$C$32, 14.0316, 14.0313) * CHOOSE(CONTROL!$C$15, $D$11, 100%, $F$11)</f>
        <v>14.031599999999999</v>
      </c>
      <c r="D511" s="8">
        <f>CHOOSE( CONTROL!$C$32, 14.0016, 14.0014) * CHOOSE( CONTROL!$C$15, $D$11, 100%, $F$11)</f>
        <v>14.0016</v>
      </c>
      <c r="E511" s="12">
        <f>CHOOSE( CONTROL!$C$32, 14.012, 14.0118) * CHOOSE( CONTROL!$C$15, $D$11, 100%, $F$11)</f>
        <v>14.012</v>
      </c>
      <c r="F511" s="4">
        <f>CHOOSE( CONTROL!$C$32, 14.6918, 14.6915) * CHOOSE(CONTROL!$C$15, $D$11, 100%, $F$11)</f>
        <v>14.691800000000001</v>
      </c>
      <c r="G511" s="8">
        <f>CHOOSE( CONTROL!$C$32, 13.8527, 13.8525) * CHOOSE( CONTROL!$C$15, $D$11, 100%, $F$11)</f>
        <v>13.8527</v>
      </c>
      <c r="H511" s="4">
        <f>CHOOSE( CONTROL!$C$32, 14.7664, 14.7661) * CHOOSE(CONTROL!$C$15, $D$11, 100%, $F$11)</f>
        <v>14.766400000000001</v>
      </c>
      <c r="I511" s="8">
        <f>CHOOSE( CONTROL!$C$32, 13.6896, 13.6894) * CHOOSE(CONTROL!$C$15, $D$11, 100%, $F$11)</f>
        <v>13.6896</v>
      </c>
      <c r="J511" s="4">
        <f>CHOOSE( CONTROL!$C$32, 13.604, 13.6037) * CHOOSE(CONTROL!$C$15, $D$11, 100%, $F$11)</f>
        <v>13.603999999999999</v>
      </c>
      <c r="K511" s="4"/>
      <c r="L511" s="9">
        <v>29.306000000000001</v>
      </c>
      <c r="M511" s="9">
        <v>12.063700000000001</v>
      </c>
      <c r="N511" s="9">
        <v>4.9444999999999997</v>
      </c>
      <c r="O511" s="9">
        <v>0.37409999999999999</v>
      </c>
      <c r="P511" s="9">
        <v>1.2927</v>
      </c>
      <c r="Q511" s="9">
        <v>19.751300000000001</v>
      </c>
      <c r="R511" s="9"/>
      <c r="S511" s="11"/>
    </row>
    <row r="512" spans="1:19" ht="15.75">
      <c r="A512" s="13">
        <v>56734</v>
      </c>
      <c r="B512" s="8">
        <f>CHOOSE( CONTROL!$C$32, 14.2403, 14.2401) * CHOOSE(CONTROL!$C$15, $D$11, 100%, $F$11)</f>
        <v>14.2403</v>
      </c>
      <c r="C512" s="8">
        <f>CHOOSE( CONTROL!$C$32, 14.2449, 14.2446) * CHOOSE(CONTROL!$C$15, $D$11, 100%, $F$11)</f>
        <v>14.244899999999999</v>
      </c>
      <c r="D512" s="8">
        <f>CHOOSE( CONTROL!$C$32, 14.2444, 14.2441) * CHOOSE( CONTROL!$C$15, $D$11, 100%, $F$11)</f>
        <v>14.244400000000001</v>
      </c>
      <c r="E512" s="12">
        <f>CHOOSE( CONTROL!$C$32, 14.244, 14.2438) * CHOOSE( CONTROL!$C$15, $D$11, 100%, $F$11)</f>
        <v>14.244</v>
      </c>
      <c r="F512" s="4">
        <f>CHOOSE( CONTROL!$C$32, 14.9487, 14.9484) * CHOOSE(CONTROL!$C$15, $D$11, 100%, $F$11)</f>
        <v>14.948700000000001</v>
      </c>
      <c r="G512" s="8">
        <f>CHOOSE( CONTROL!$C$32, 14.0803, 14.08) * CHOOSE( CONTROL!$C$15, $D$11, 100%, $F$11)</f>
        <v>14.080299999999999</v>
      </c>
      <c r="H512" s="4">
        <f>CHOOSE( CONTROL!$C$32, 15.0202, 15.02) * CHOOSE(CONTROL!$C$15, $D$11, 100%, $F$11)</f>
        <v>15.020200000000001</v>
      </c>
      <c r="I512" s="8">
        <f>CHOOSE( CONTROL!$C$32, 13.897, 13.8968) * CHOOSE(CONTROL!$C$15, $D$11, 100%, $F$11)</f>
        <v>13.897</v>
      </c>
      <c r="J512" s="4">
        <f>CHOOSE( CONTROL!$C$32, 13.8108, 13.8105) * CHOOSE(CONTROL!$C$15, $D$11, 100%, $F$11)</f>
        <v>13.8108</v>
      </c>
      <c r="K512" s="4"/>
      <c r="L512" s="9">
        <v>30.092199999999998</v>
      </c>
      <c r="M512" s="9">
        <v>11.6745</v>
      </c>
      <c r="N512" s="9">
        <v>4.7850000000000001</v>
      </c>
      <c r="O512" s="9">
        <v>0.36199999999999999</v>
      </c>
      <c r="P512" s="9">
        <v>1.2509999999999999</v>
      </c>
      <c r="Q512" s="9">
        <v>19.1142</v>
      </c>
      <c r="R512" s="9"/>
      <c r="S512" s="11"/>
    </row>
    <row r="513" spans="1:19" ht="15.75">
      <c r="A513" s="13">
        <v>56765</v>
      </c>
      <c r="B513" s="8">
        <f>CHOOSE( CONTROL!$C$32, 14.6211, 14.6206) * CHOOSE(CONTROL!$C$15, $D$11, 100%, $F$11)</f>
        <v>14.6211</v>
      </c>
      <c r="C513" s="8">
        <f>CHOOSE( CONTROL!$C$32, 14.629, 14.6286) * CHOOSE(CONTROL!$C$15, $D$11, 100%, $F$11)</f>
        <v>14.629</v>
      </c>
      <c r="D513" s="8">
        <f>CHOOSE( CONTROL!$C$32, 14.6233, 14.6229) * CHOOSE( CONTROL!$C$15, $D$11, 100%, $F$11)</f>
        <v>14.6233</v>
      </c>
      <c r="E513" s="12">
        <f>CHOOSE( CONTROL!$C$32, 14.6242, 14.6237) * CHOOSE( CONTROL!$C$15, $D$11, 100%, $F$11)</f>
        <v>14.6242</v>
      </c>
      <c r="F513" s="4">
        <f>CHOOSE( CONTROL!$C$32, 15.328, 15.3276) * CHOOSE(CONTROL!$C$15, $D$11, 100%, $F$11)</f>
        <v>15.327999999999999</v>
      </c>
      <c r="G513" s="8">
        <f>CHOOSE( CONTROL!$C$32, 14.4555, 14.4551) * CHOOSE( CONTROL!$C$15, $D$11, 100%, $F$11)</f>
        <v>14.455500000000001</v>
      </c>
      <c r="H513" s="4">
        <f>CHOOSE( CONTROL!$C$32, 15.3952, 15.3947) * CHOOSE(CONTROL!$C$15, $D$11, 100%, $F$11)</f>
        <v>15.395200000000001</v>
      </c>
      <c r="I513" s="8">
        <f>CHOOSE( CONTROL!$C$32, 14.266, 14.2655) * CHOOSE(CONTROL!$C$15, $D$11, 100%, $F$11)</f>
        <v>14.266</v>
      </c>
      <c r="J513" s="4">
        <f>CHOOSE( CONTROL!$C$32, 14.1789, 14.1785) * CHOOSE(CONTROL!$C$15, $D$11, 100%, $F$11)</f>
        <v>14.178900000000001</v>
      </c>
      <c r="K513" s="4"/>
      <c r="L513" s="9">
        <v>30.7165</v>
      </c>
      <c r="M513" s="9">
        <v>12.063700000000001</v>
      </c>
      <c r="N513" s="9">
        <v>4.9444999999999997</v>
      </c>
      <c r="O513" s="9">
        <v>0.37409999999999999</v>
      </c>
      <c r="P513" s="9">
        <v>1.2927</v>
      </c>
      <c r="Q513" s="9">
        <v>19.751300000000001</v>
      </c>
      <c r="R513" s="9"/>
      <c r="S513" s="11"/>
    </row>
    <row r="514" spans="1:19" ht="15.75">
      <c r="A514" s="13">
        <v>56795</v>
      </c>
      <c r="B514" s="8">
        <f>CHOOSE( CONTROL!$C$32, 14.3862, 14.3857) * CHOOSE(CONTROL!$C$15, $D$11, 100%, $F$11)</f>
        <v>14.386200000000001</v>
      </c>
      <c r="C514" s="8">
        <f>CHOOSE( CONTROL!$C$32, 14.3942, 14.3937) * CHOOSE(CONTROL!$C$15, $D$11, 100%, $F$11)</f>
        <v>14.3942</v>
      </c>
      <c r="D514" s="8">
        <f>CHOOSE( CONTROL!$C$32, 14.3889, 14.3884) * CHOOSE( CONTROL!$C$15, $D$11, 100%, $F$11)</f>
        <v>14.3889</v>
      </c>
      <c r="E514" s="12">
        <f>CHOOSE( CONTROL!$C$32, 14.3896, 14.3891) * CHOOSE( CONTROL!$C$15, $D$11, 100%, $F$11)</f>
        <v>14.3896</v>
      </c>
      <c r="F514" s="4">
        <f>CHOOSE( CONTROL!$C$32, 15.0931, 15.0927) * CHOOSE(CONTROL!$C$15, $D$11, 100%, $F$11)</f>
        <v>15.0931</v>
      </c>
      <c r="G514" s="8">
        <f>CHOOSE( CONTROL!$C$32, 14.2237, 14.2233) * CHOOSE( CONTROL!$C$15, $D$11, 100%, $F$11)</f>
        <v>14.223699999999999</v>
      </c>
      <c r="H514" s="4">
        <f>CHOOSE( CONTROL!$C$32, 15.163, 15.1626) * CHOOSE(CONTROL!$C$15, $D$11, 100%, $F$11)</f>
        <v>15.163</v>
      </c>
      <c r="I514" s="8">
        <f>CHOOSE( CONTROL!$C$32, 14.0393, 14.0389) * CHOOSE(CONTROL!$C$15, $D$11, 100%, $F$11)</f>
        <v>14.039300000000001</v>
      </c>
      <c r="J514" s="4">
        <f>CHOOSE( CONTROL!$C$32, 13.951, 13.9505) * CHOOSE(CONTROL!$C$15, $D$11, 100%, $F$11)</f>
        <v>13.951000000000001</v>
      </c>
      <c r="K514" s="4"/>
      <c r="L514" s="9">
        <v>29.7257</v>
      </c>
      <c r="M514" s="9">
        <v>11.6745</v>
      </c>
      <c r="N514" s="9">
        <v>4.7850000000000001</v>
      </c>
      <c r="O514" s="9">
        <v>0.36199999999999999</v>
      </c>
      <c r="P514" s="9">
        <v>1.2509999999999999</v>
      </c>
      <c r="Q514" s="9">
        <v>19.1142</v>
      </c>
      <c r="R514" s="9"/>
      <c r="S514" s="11"/>
    </row>
    <row r="515" spans="1:19" ht="15.75">
      <c r="A515" s="13">
        <v>56826</v>
      </c>
      <c r="B515" s="8">
        <f>CHOOSE( CONTROL!$C$32, 15.0047, 15.0043) * CHOOSE(CONTROL!$C$15, $D$11, 100%, $F$11)</f>
        <v>15.0047</v>
      </c>
      <c r="C515" s="8">
        <f>CHOOSE( CONTROL!$C$32, 15.0127, 15.0122) * CHOOSE(CONTROL!$C$15, $D$11, 100%, $F$11)</f>
        <v>15.012700000000001</v>
      </c>
      <c r="D515" s="8">
        <f>CHOOSE( CONTROL!$C$32, 15.0079, 15.0074) * CHOOSE( CONTROL!$C$15, $D$11, 100%, $F$11)</f>
        <v>15.007899999999999</v>
      </c>
      <c r="E515" s="12">
        <f>CHOOSE( CONTROL!$C$32, 15.0084, 15.0079) * CHOOSE( CONTROL!$C$15, $D$11, 100%, $F$11)</f>
        <v>15.0084</v>
      </c>
      <c r="F515" s="4">
        <f>CHOOSE( CONTROL!$C$32, 15.7117, 15.7112) * CHOOSE(CONTROL!$C$15, $D$11, 100%, $F$11)</f>
        <v>15.7117</v>
      </c>
      <c r="G515" s="8">
        <f>CHOOSE( CONTROL!$C$32, 14.8354, 14.8349) * CHOOSE( CONTROL!$C$15, $D$11, 100%, $F$11)</f>
        <v>14.8354</v>
      </c>
      <c r="H515" s="4">
        <f>CHOOSE( CONTROL!$C$32, 15.7743, 15.7739) * CHOOSE(CONTROL!$C$15, $D$11, 100%, $F$11)</f>
        <v>15.7743</v>
      </c>
      <c r="I515" s="8">
        <f>CHOOSE( CONTROL!$C$32, 14.6414, 14.641) * CHOOSE(CONTROL!$C$15, $D$11, 100%, $F$11)</f>
        <v>14.641400000000001</v>
      </c>
      <c r="J515" s="4">
        <f>CHOOSE( CONTROL!$C$32, 14.5513, 14.5508) * CHOOSE(CONTROL!$C$15, $D$11, 100%, $F$11)</f>
        <v>14.551299999999999</v>
      </c>
      <c r="K515" s="4"/>
      <c r="L515" s="9">
        <v>30.7165</v>
      </c>
      <c r="M515" s="9">
        <v>12.063700000000001</v>
      </c>
      <c r="N515" s="9">
        <v>4.9444999999999997</v>
      </c>
      <c r="O515" s="9">
        <v>0.37409999999999999</v>
      </c>
      <c r="P515" s="9">
        <v>1.2927</v>
      </c>
      <c r="Q515" s="9">
        <v>19.751300000000001</v>
      </c>
      <c r="R515" s="9"/>
      <c r="S515" s="11"/>
    </row>
    <row r="516" spans="1:19" ht="15.75">
      <c r="A516" s="13">
        <v>56857</v>
      </c>
      <c r="B516" s="8">
        <f>CHOOSE( CONTROL!$C$32, 13.8474, 13.8469) * CHOOSE(CONTROL!$C$15, $D$11, 100%, $F$11)</f>
        <v>13.8474</v>
      </c>
      <c r="C516" s="8">
        <f>CHOOSE( CONTROL!$C$32, 13.8553, 13.8549) * CHOOSE(CONTROL!$C$15, $D$11, 100%, $F$11)</f>
        <v>13.8553</v>
      </c>
      <c r="D516" s="8">
        <f>CHOOSE( CONTROL!$C$32, 13.8506, 13.8502) * CHOOSE( CONTROL!$C$15, $D$11, 100%, $F$11)</f>
        <v>13.8506</v>
      </c>
      <c r="E516" s="12">
        <f>CHOOSE( CONTROL!$C$32, 13.8511, 13.8507) * CHOOSE( CONTROL!$C$15, $D$11, 100%, $F$11)</f>
        <v>13.851100000000001</v>
      </c>
      <c r="F516" s="4">
        <f>CHOOSE( CONTROL!$C$32, 14.5543, 14.5539) * CHOOSE(CONTROL!$C$15, $D$11, 100%, $F$11)</f>
        <v>14.5543</v>
      </c>
      <c r="G516" s="8">
        <f>CHOOSE( CONTROL!$C$32, 13.6917, 13.6912) * CHOOSE( CONTROL!$C$15, $D$11, 100%, $F$11)</f>
        <v>13.691700000000001</v>
      </c>
      <c r="H516" s="4">
        <f>CHOOSE( CONTROL!$C$32, 14.6305, 14.6301) * CHOOSE(CONTROL!$C$15, $D$11, 100%, $F$11)</f>
        <v>14.6305</v>
      </c>
      <c r="I516" s="8">
        <f>CHOOSE( CONTROL!$C$32, 13.5181, 13.5177) * CHOOSE(CONTROL!$C$15, $D$11, 100%, $F$11)</f>
        <v>13.5181</v>
      </c>
      <c r="J516" s="4">
        <f>CHOOSE( CONTROL!$C$32, 13.4281, 13.4276) * CHOOSE(CONTROL!$C$15, $D$11, 100%, $F$11)</f>
        <v>13.428100000000001</v>
      </c>
      <c r="K516" s="4"/>
      <c r="L516" s="9">
        <v>30.7165</v>
      </c>
      <c r="M516" s="9">
        <v>12.063700000000001</v>
      </c>
      <c r="N516" s="9">
        <v>4.9444999999999997</v>
      </c>
      <c r="O516" s="9">
        <v>0.37409999999999999</v>
      </c>
      <c r="P516" s="9">
        <v>1.2927</v>
      </c>
      <c r="Q516" s="9">
        <v>19.751300000000001</v>
      </c>
      <c r="R516" s="9"/>
      <c r="S516" s="11"/>
    </row>
    <row r="517" spans="1:19" ht="15.75">
      <c r="A517" s="13">
        <v>56887</v>
      </c>
      <c r="B517" s="8">
        <f>CHOOSE( CONTROL!$C$32, 13.5576, 13.5571) * CHOOSE(CONTROL!$C$15, $D$11, 100%, $F$11)</f>
        <v>13.557600000000001</v>
      </c>
      <c r="C517" s="8">
        <f>CHOOSE( CONTROL!$C$32, 13.5655, 13.5651) * CHOOSE(CONTROL!$C$15, $D$11, 100%, $F$11)</f>
        <v>13.5655</v>
      </c>
      <c r="D517" s="8">
        <f>CHOOSE( CONTROL!$C$32, 13.5607, 13.5602) * CHOOSE( CONTROL!$C$15, $D$11, 100%, $F$11)</f>
        <v>13.560700000000001</v>
      </c>
      <c r="E517" s="12">
        <f>CHOOSE( CONTROL!$C$32, 13.5612, 13.5608) * CHOOSE( CONTROL!$C$15, $D$11, 100%, $F$11)</f>
        <v>13.561199999999999</v>
      </c>
      <c r="F517" s="4">
        <f>CHOOSE( CONTROL!$C$32, 14.2645, 14.264) * CHOOSE(CONTROL!$C$15, $D$11, 100%, $F$11)</f>
        <v>14.2645</v>
      </c>
      <c r="G517" s="8">
        <f>CHOOSE( CONTROL!$C$32, 13.4051, 13.4047) * CHOOSE( CONTROL!$C$15, $D$11, 100%, $F$11)</f>
        <v>13.405099999999999</v>
      </c>
      <c r="H517" s="4">
        <f>CHOOSE( CONTROL!$C$32, 14.3441, 14.3436) * CHOOSE(CONTROL!$C$15, $D$11, 100%, $F$11)</f>
        <v>14.344099999999999</v>
      </c>
      <c r="I517" s="8">
        <f>CHOOSE( CONTROL!$C$32, 13.2362, 13.2358) * CHOOSE(CONTROL!$C$15, $D$11, 100%, $F$11)</f>
        <v>13.2362</v>
      </c>
      <c r="J517" s="4">
        <f>CHOOSE( CONTROL!$C$32, 13.1468, 13.1463) * CHOOSE(CONTROL!$C$15, $D$11, 100%, $F$11)</f>
        <v>13.146800000000001</v>
      </c>
      <c r="K517" s="4"/>
      <c r="L517" s="9">
        <v>29.7257</v>
      </c>
      <c r="M517" s="9">
        <v>11.6745</v>
      </c>
      <c r="N517" s="9">
        <v>4.7850000000000001</v>
      </c>
      <c r="O517" s="9">
        <v>0.36199999999999999</v>
      </c>
      <c r="P517" s="9">
        <v>1.2509999999999999</v>
      </c>
      <c r="Q517" s="9">
        <v>19.1142</v>
      </c>
      <c r="R517" s="9"/>
      <c r="S517" s="11"/>
    </row>
    <row r="518" spans="1:19" ht="15.75">
      <c r="A518" s="13">
        <v>56918</v>
      </c>
      <c r="B518" s="8">
        <f>CHOOSE( CONTROL!$C$32, 14.1574, 14.1571) * CHOOSE(CONTROL!$C$15, $D$11, 100%, $F$11)</f>
        <v>14.157400000000001</v>
      </c>
      <c r="C518" s="8">
        <f>CHOOSE( CONTROL!$C$32, 14.1627, 14.1625) * CHOOSE(CONTROL!$C$15, $D$11, 100%, $F$11)</f>
        <v>14.162699999999999</v>
      </c>
      <c r="D518" s="8">
        <f>CHOOSE( CONTROL!$C$32, 14.1629, 14.1627) * CHOOSE( CONTROL!$C$15, $D$11, 100%, $F$11)</f>
        <v>14.1629</v>
      </c>
      <c r="E518" s="12">
        <f>CHOOSE( CONTROL!$C$32, 14.1623, 14.1621) * CHOOSE( CONTROL!$C$15, $D$11, 100%, $F$11)</f>
        <v>14.1623</v>
      </c>
      <c r="F518" s="4">
        <f>CHOOSE( CONTROL!$C$32, 14.8661, 14.8658) * CHOOSE(CONTROL!$C$15, $D$11, 100%, $F$11)</f>
        <v>14.866099999999999</v>
      </c>
      <c r="G518" s="8">
        <f>CHOOSE( CONTROL!$C$32, 13.9996, 13.9994) * CHOOSE( CONTROL!$C$15, $D$11, 100%, $F$11)</f>
        <v>13.999599999999999</v>
      </c>
      <c r="H518" s="4">
        <f>CHOOSE( CONTROL!$C$32, 14.9386, 14.9383) * CHOOSE(CONTROL!$C$15, $D$11, 100%, $F$11)</f>
        <v>14.938599999999999</v>
      </c>
      <c r="I518" s="8">
        <f>CHOOSE( CONTROL!$C$32, 13.821, 13.8208) * CHOOSE(CONTROL!$C$15, $D$11, 100%, $F$11)</f>
        <v>13.821</v>
      </c>
      <c r="J518" s="4">
        <f>CHOOSE( CONTROL!$C$32, 13.7306, 13.7303) * CHOOSE(CONTROL!$C$15, $D$11, 100%, $F$11)</f>
        <v>13.730600000000001</v>
      </c>
      <c r="K518" s="4"/>
      <c r="L518" s="9">
        <v>31.095300000000002</v>
      </c>
      <c r="M518" s="9">
        <v>12.063700000000001</v>
      </c>
      <c r="N518" s="9">
        <v>4.9444999999999997</v>
      </c>
      <c r="O518" s="9">
        <v>0.37409999999999999</v>
      </c>
      <c r="P518" s="9">
        <v>1.2927</v>
      </c>
      <c r="Q518" s="9">
        <v>19.751300000000001</v>
      </c>
      <c r="R518" s="9"/>
      <c r="S518" s="11"/>
    </row>
    <row r="519" spans="1:19" ht="15.75">
      <c r="A519" s="13">
        <v>56948</v>
      </c>
      <c r="B519" s="8">
        <f>CHOOSE( CONTROL!$C$32, 15.2677, 15.2675) * CHOOSE(CONTROL!$C$15, $D$11, 100%, $F$11)</f>
        <v>15.2677</v>
      </c>
      <c r="C519" s="8">
        <f>CHOOSE( CONTROL!$C$32, 15.2728, 15.2725) * CHOOSE(CONTROL!$C$15, $D$11, 100%, $F$11)</f>
        <v>15.2728</v>
      </c>
      <c r="D519" s="8">
        <f>CHOOSE( CONTROL!$C$32, 15.2407, 15.2404) * CHOOSE( CONTROL!$C$15, $D$11, 100%, $F$11)</f>
        <v>15.2407</v>
      </c>
      <c r="E519" s="12">
        <f>CHOOSE( CONTROL!$C$32, 15.2519, 15.2516) * CHOOSE( CONTROL!$C$15, $D$11, 100%, $F$11)</f>
        <v>15.251899999999999</v>
      </c>
      <c r="F519" s="4">
        <f>CHOOSE( CONTROL!$C$32, 15.933, 15.9327) * CHOOSE(CONTROL!$C$15, $D$11, 100%, $F$11)</f>
        <v>15.933</v>
      </c>
      <c r="G519" s="8">
        <f>CHOOSE( CONTROL!$C$32, 15.0863, 15.086) * CHOOSE( CONTROL!$C$15, $D$11, 100%, $F$11)</f>
        <v>15.0863</v>
      </c>
      <c r="H519" s="4">
        <f>CHOOSE( CONTROL!$C$32, 15.9931, 15.9928) * CHOOSE(CONTROL!$C$15, $D$11, 100%, $F$11)</f>
        <v>15.9931</v>
      </c>
      <c r="I519" s="8">
        <f>CHOOSE( CONTROL!$C$32, 14.9504, 14.9501) * CHOOSE(CONTROL!$C$15, $D$11, 100%, $F$11)</f>
        <v>14.9504</v>
      </c>
      <c r="J519" s="4">
        <f>CHOOSE( CONTROL!$C$32, 14.8086, 14.8083) * CHOOSE(CONTROL!$C$15, $D$11, 100%, $F$11)</f>
        <v>14.8086</v>
      </c>
      <c r="K519" s="4"/>
      <c r="L519" s="9">
        <v>28.360600000000002</v>
      </c>
      <c r="M519" s="9">
        <v>11.6745</v>
      </c>
      <c r="N519" s="9">
        <v>4.7850000000000001</v>
      </c>
      <c r="O519" s="9">
        <v>0.36199999999999999</v>
      </c>
      <c r="P519" s="9">
        <v>1.2509999999999999</v>
      </c>
      <c r="Q519" s="9">
        <v>19.1142</v>
      </c>
      <c r="R519" s="9"/>
      <c r="S519" s="11"/>
    </row>
    <row r="520" spans="1:19" ht="15.75">
      <c r="A520" s="13">
        <v>56979</v>
      </c>
      <c r="B520" s="8">
        <f>CHOOSE( CONTROL!$C$32, 15.24, 15.2397) * CHOOSE(CONTROL!$C$15, $D$11, 100%, $F$11)</f>
        <v>15.24</v>
      </c>
      <c r="C520" s="8">
        <f>CHOOSE( CONTROL!$C$32, 15.245, 15.2448) * CHOOSE(CONTROL!$C$15, $D$11, 100%, $F$11)</f>
        <v>15.244999999999999</v>
      </c>
      <c r="D520" s="8">
        <f>CHOOSE( CONTROL!$C$32, 15.2147, 15.2145) * CHOOSE( CONTROL!$C$15, $D$11, 100%, $F$11)</f>
        <v>15.214700000000001</v>
      </c>
      <c r="E520" s="12">
        <f>CHOOSE( CONTROL!$C$32, 15.2252, 15.225) * CHOOSE( CONTROL!$C$15, $D$11, 100%, $F$11)</f>
        <v>15.225199999999999</v>
      </c>
      <c r="F520" s="4">
        <f>CHOOSE( CONTROL!$C$32, 15.9053, 15.905) * CHOOSE(CONTROL!$C$15, $D$11, 100%, $F$11)</f>
        <v>15.9053</v>
      </c>
      <c r="G520" s="8">
        <f>CHOOSE( CONTROL!$C$32, 15.0602, 15.0599) * CHOOSE( CONTROL!$C$15, $D$11, 100%, $F$11)</f>
        <v>15.0602</v>
      </c>
      <c r="H520" s="4">
        <f>CHOOSE( CONTROL!$C$32, 15.9656, 15.9654) * CHOOSE(CONTROL!$C$15, $D$11, 100%, $F$11)</f>
        <v>15.9656</v>
      </c>
      <c r="I520" s="8">
        <f>CHOOSE( CONTROL!$C$32, 14.9291, 14.9288) * CHOOSE(CONTROL!$C$15, $D$11, 100%, $F$11)</f>
        <v>14.9291</v>
      </c>
      <c r="J520" s="4">
        <f>CHOOSE( CONTROL!$C$32, 14.7816, 14.7814) * CHOOSE(CONTROL!$C$15, $D$11, 100%, $F$11)</f>
        <v>14.781599999999999</v>
      </c>
      <c r="K520" s="4"/>
      <c r="L520" s="9">
        <v>29.306000000000001</v>
      </c>
      <c r="M520" s="9">
        <v>12.063700000000001</v>
      </c>
      <c r="N520" s="9">
        <v>4.9444999999999997</v>
      </c>
      <c r="O520" s="9">
        <v>0.37409999999999999</v>
      </c>
      <c r="P520" s="9">
        <v>1.2927</v>
      </c>
      <c r="Q520" s="9">
        <v>19.751300000000001</v>
      </c>
      <c r="R520" s="9"/>
      <c r="S520" s="11"/>
    </row>
    <row r="521" spans="1:19" ht="15.75">
      <c r="A521" s="13">
        <v>57010</v>
      </c>
      <c r="B521" s="8">
        <f>CHOOSE( CONTROL!$C$32, 15.6892, 15.689) * CHOOSE(CONTROL!$C$15, $D$11, 100%, $F$11)</f>
        <v>15.6892</v>
      </c>
      <c r="C521" s="8">
        <f>CHOOSE( CONTROL!$C$32, 15.6943, 15.694) * CHOOSE(CONTROL!$C$15, $D$11, 100%, $F$11)</f>
        <v>15.6943</v>
      </c>
      <c r="D521" s="8">
        <f>CHOOSE( CONTROL!$C$32, 15.6919, 15.6917) * CHOOSE( CONTROL!$C$15, $D$11, 100%, $F$11)</f>
        <v>15.6919</v>
      </c>
      <c r="E521" s="12">
        <f>CHOOSE( CONTROL!$C$32, 15.6922, 15.692) * CHOOSE( CONTROL!$C$15, $D$11, 100%, $F$11)</f>
        <v>15.6922</v>
      </c>
      <c r="F521" s="4">
        <f>CHOOSE( CONTROL!$C$32, 16.3545, 16.3542) * CHOOSE(CONTROL!$C$15, $D$11, 100%, $F$11)</f>
        <v>16.354500000000002</v>
      </c>
      <c r="G521" s="8">
        <f>CHOOSE( CONTROL!$C$32, 15.5203, 15.52) * CHOOSE( CONTROL!$C$15, $D$11, 100%, $F$11)</f>
        <v>15.520300000000001</v>
      </c>
      <c r="H521" s="4">
        <f>CHOOSE( CONTROL!$C$32, 16.4096, 16.4094) * CHOOSE(CONTROL!$C$15, $D$11, 100%, $F$11)</f>
        <v>16.409600000000001</v>
      </c>
      <c r="I521" s="8">
        <f>CHOOSE( CONTROL!$C$32, 15.3389, 15.3386) * CHOOSE(CONTROL!$C$15, $D$11, 100%, $F$11)</f>
        <v>15.338900000000001</v>
      </c>
      <c r="J521" s="4">
        <f>CHOOSE( CONTROL!$C$32, 15.2176, 15.2174) * CHOOSE(CONTROL!$C$15, $D$11, 100%, $F$11)</f>
        <v>15.217599999999999</v>
      </c>
      <c r="K521" s="4"/>
      <c r="L521" s="9">
        <v>29.306000000000001</v>
      </c>
      <c r="M521" s="9">
        <v>12.063700000000001</v>
      </c>
      <c r="N521" s="9">
        <v>4.9444999999999997</v>
      </c>
      <c r="O521" s="9">
        <v>0.37409999999999999</v>
      </c>
      <c r="P521" s="9">
        <v>1.2927</v>
      </c>
      <c r="Q521" s="9">
        <v>19.688099999999999</v>
      </c>
      <c r="R521" s="9"/>
      <c r="S521" s="11"/>
    </row>
    <row r="522" spans="1:19" ht="15.75">
      <c r="A522" s="13">
        <v>57038</v>
      </c>
      <c r="B522" s="8">
        <f>CHOOSE( CONTROL!$C$32, 14.6755, 14.6753) * CHOOSE(CONTROL!$C$15, $D$11, 100%, $F$11)</f>
        <v>14.6755</v>
      </c>
      <c r="C522" s="8">
        <f>CHOOSE( CONTROL!$C$32, 14.6806, 14.6803) * CHOOSE(CONTROL!$C$15, $D$11, 100%, $F$11)</f>
        <v>14.6806</v>
      </c>
      <c r="D522" s="8">
        <f>CHOOSE( CONTROL!$C$32, 14.6606, 14.6603) * CHOOSE( CONTROL!$C$15, $D$11, 100%, $F$11)</f>
        <v>14.660600000000001</v>
      </c>
      <c r="E522" s="12">
        <f>CHOOSE( CONTROL!$C$32, 14.6674, 14.6671) * CHOOSE( CONTROL!$C$15, $D$11, 100%, $F$11)</f>
        <v>14.667400000000001</v>
      </c>
      <c r="F522" s="4">
        <f>CHOOSE( CONTROL!$C$32, 15.3408, 15.3406) * CHOOSE(CONTROL!$C$15, $D$11, 100%, $F$11)</f>
        <v>15.3408</v>
      </c>
      <c r="G522" s="8">
        <f>CHOOSE( CONTROL!$C$32, 14.5074, 14.5071) * CHOOSE( CONTROL!$C$15, $D$11, 100%, $F$11)</f>
        <v>14.507400000000001</v>
      </c>
      <c r="H522" s="4">
        <f>CHOOSE( CONTROL!$C$32, 15.4078, 15.4075) * CHOOSE(CONTROL!$C$15, $D$11, 100%, $F$11)</f>
        <v>15.4078</v>
      </c>
      <c r="I522" s="8">
        <f>CHOOSE( CONTROL!$C$32, 14.355, 14.3547) * CHOOSE(CONTROL!$C$15, $D$11, 100%, $F$11)</f>
        <v>14.355</v>
      </c>
      <c r="J522" s="4">
        <f>CHOOSE( CONTROL!$C$32, 14.2339, 14.2336) * CHOOSE(CONTROL!$C$15, $D$11, 100%, $F$11)</f>
        <v>14.2339</v>
      </c>
      <c r="K522" s="4"/>
      <c r="L522" s="9">
        <v>27.415299999999998</v>
      </c>
      <c r="M522" s="9">
        <v>11.285299999999999</v>
      </c>
      <c r="N522" s="9">
        <v>4.6254999999999997</v>
      </c>
      <c r="O522" s="9">
        <v>0.34989999999999999</v>
      </c>
      <c r="P522" s="9">
        <v>1.2093</v>
      </c>
      <c r="Q522" s="9">
        <v>18.417899999999999</v>
      </c>
      <c r="R522" s="9"/>
      <c r="S522" s="11"/>
    </row>
    <row r="523" spans="1:19" ht="15.75">
      <c r="A523" s="13">
        <v>57070</v>
      </c>
      <c r="B523" s="8">
        <f>CHOOSE( CONTROL!$C$32, 14.3633, 14.3631) * CHOOSE(CONTROL!$C$15, $D$11, 100%, $F$11)</f>
        <v>14.363300000000001</v>
      </c>
      <c r="C523" s="8">
        <f>CHOOSE( CONTROL!$C$32, 14.3684, 14.3681) * CHOOSE(CONTROL!$C$15, $D$11, 100%, $F$11)</f>
        <v>14.368399999999999</v>
      </c>
      <c r="D523" s="8">
        <f>CHOOSE( CONTROL!$C$32, 14.3384, 14.3382) * CHOOSE( CONTROL!$C$15, $D$11, 100%, $F$11)</f>
        <v>14.3384</v>
      </c>
      <c r="E523" s="12">
        <f>CHOOSE( CONTROL!$C$32, 14.3488, 14.3486) * CHOOSE( CONTROL!$C$15, $D$11, 100%, $F$11)</f>
        <v>14.348800000000001</v>
      </c>
      <c r="F523" s="4">
        <f>CHOOSE( CONTROL!$C$32, 15.0286, 15.0283) * CHOOSE(CONTROL!$C$15, $D$11, 100%, $F$11)</f>
        <v>15.028600000000001</v>
      </c>
      <c r="G523" s="8">
        <f>CHOOSE( CONTROL!$C$32, 14.1856, 14.1853) * CHOOSE( CONTROL!$C$15, $D$11, 100%, $F$11)</f>
        <v>14.185600000000001</v>
      </c>
      <c r="H523" s="4">
        <f>CHOOSE( CONTROL!$C$32, 15.0993, 15.099) * CHOOSE(CONTROL!$C$15, $D$11, 100%, $F$11)</f>
        <v>15.099299999999999</v>
      </c>
      <c r="I523" s="8">
        <f>CHOOSE( CONTROL!$C$32, 14.0167, 14.0164) * CHOOSE(CONTROL!$C$15, $D$11, 100%, $F$11)</f>
        <v>14.0167</v>
      </c>
      <c r="J523" s="4">
        <f>CHOOSE( CONTROL!$C$32, 13.9309, 13.9306) * CHOOSE(CONTROL!$C$15, $D$11, 100%, $F$11)</f>
        <v>13.930899999999999</v>
      </c>
      <c r="K523" s="4"/>
      <c r="L523" s="9">
        <v>29.306000000000001</v>
      </c>
      <c r="M523" s="9">
        <v>12.063700000000001</v>
      </c>
      <c r="N523" s="9">
        <v>4.9444999999999997</v>
      </c>
      <c r="O523" s="9">
        <v>0.37409999999999999</v>
      </c>
      <c r="P523" s="9">
        <v>1.2927</v>
      </c>
      <c r="Q523" s="9">
        <v>19.688099999999999</v>
      </c>
      <c r="R523" s="9"/>
      <c r="S523" s="11"/>
    </row>
    <row r="524" spans="1:19" ht="15.75">
      <c r="A524" s="13">
        <v>57100</v>
      </c>
      <c r="B524" s="8">
        <f>CHOOSE( CONTROL!$C$32, 14.5823, 14.582) * CHOOSE(CONTROL!$C$15, $D$11, 100%, $F$11)</f>
        <v>14.5823</v>
      </c>
      <c r="C524" s="8">
        <f>CHOOSE( CONTROL!$C$32, 14.5868, 14.5865) * CHOOSE(CONTROL!$C$15, $D$11, 100%, $F$11)</f>
        <v>14.5868</v>
      </c>
      <c r="D524" s="8">
        <f>CHOOSE( CONTROL!$C$32, 14.5863, 14.586) * CHOOSE( CONTROL!$C$15, $D$11, 100%, $F$11)</f>
        <v>14.5863</v>
      </c>
      <c r="E524" s="12">
        <f>CHOOSE( CONTROL!$C$32, 14.586, 14.5857) * CHOOSE( CONTROL!$C$15, $D$11, 100%, $F$11)</f>
        <v>14.586</v>
      </c>
      <c r="F524" s="4">
        <f>CHOOSE( CONTROL!$C$32, 15.2906, 15.2903) * CHOOSE(CONTROL!$C$15, $D$11, 100%, $F$11)</f>
        <v>15.2906</v>
      </c>
      <c r="G524" s="8">
        <f>CHOOSE( CONTROL!$C$32, 14.4182, 14.4179) * CHOOSE( CONTROL!$C$15, $D$11, 100%, $F$11)</f>
        <v>14.418200000000001</v>
      </c>
      <c r="H524" s="4">
        <f>CHOOSE( CONTROL!$C$32, 15.3582, 15.3579) * CHOOSE(CONTROL!$C$15, $D$11, 100%, $F$11)</f>
        <v>15.3582</v>
      </c>
      <c r="I524" s="8">
        <f>CHOOSE( CONTROL!$C$32, 14.229, 14.2288) * CHOOSE(CONTROL!$C$15, $D$11, 100%, $F$11)</f>
        <v>14.228999999999999</v>
      </c>
      <c r="J524" s="4">
        <f>CHOOSE( CONTROL!$C$32, 14.1426, 14.1423) * CHOOSE(CONTROL!$C$15, $D$11, 100%, $F$11)</f>
        <v>14.1426</v>
      </c>
      <c r="K524" s="4"/>
      <c r="L524" s="9">
        <v>30.092199999999998</v>
      </c>
      <c r="M524" s="9">
        <v>11.6745</v>
      </c>
      <c r="N524" s="9">
        <v>4.7850000000000001</v>
      </c>
      <c r="O524" s="9">
        <v>0.36199999999999999</v>
      </c>
      <c r="P524" s="9">
        <v>1.2509999999999999</v>
      </c>
      <c r="Q524" s="9">
        <v>19.053000000000001</v>
      </c>
      <c r="R524" s="9"/>
      <c r="S524" s="11"/>
    </row>
    <row r="525" spans="1:19" ht="15.75">
      <c r="A525" s="13">
        <v>57131</v>
      </c>
      <c r="B525" s="8">
        <f>CHOOSE( CONTROL!$C$32, 14.9721, 14.9716) * CHOOSE(CONTROL!$C$15, $D$11, 100%, $F$11)</f>
        <v>14.972099999999999</v>
      </c>
      <c r="C525" s="8">
        <f>CHOOSE( CONTROL!$C$32, 14.9801, 14.9796) * CHOOSE(CONTROL!$C$15, $D$11, 100%, $F$11)</f>
        <v>14.9801</v>
      </c>
      <c r="D525" s="8">
        <f>CHOOSE( CONTROL!$C$32, 14.9744, 14.9739) * CHOOSE( CONTROL!$C$15, $D$11, 100%, $F$11)</f>
        <v>14.974399999999999</v>
      </c>
      <c r="E525" s="12">
        <f>CHOOSE( CONTROL!$C$32, 14.9752, 14.9747) * CHOOSE( CONTROL!$C$15, $D$11, 100%, $F$11)</f>
        <v>14.975199999999999</v>
      </c>
      <c r="F525" s="4">
        <f>CHOOSE( CONTROL!$C$32, 15.679, 15.6786) * CHOOSE(CONTROL!$C$15, $D$11, 100%, $F$11)</f>
        <v>15.679</v>
      </c>
      <c r="G525" s="8">
        <f>CHOOSE( CONTROL!$C$32, 14.8025, 14.802) * CHOOSE( CONTROL!$C$15, $D$11, 100%, $F$11)</f>
        <v>14.8025</v>
      </c>
      <c r="H525" s="4">
        <f>CHOOSE( CONTROL!$C$32, 15.7421, 15.7416) * CHOOSE(CONTROL!$C$15, $D$11, 100%, $F$11)</f>
        <v>15.742100000000001</v>
      </c>
      <c r="I525" s="8">
        <f>CHOOSE( CONTROL!$C$32, 14.6068, 14.6064) * CHOOSE(CONTROL!$C$15, $D$11, 100%, $F$11)</f>
        <v>14.6068</v>
      </c>
      <c r="J525" s="4">
        <f>CHOOSE( CONTROL!$C$32, 14.5196, 14.5192) * CHOOSE(CONTROL!$C$15, $D$11, 100%, $F$11)</f>
        <v>14.519600000000001</v>
      </c>
      <c r="K525" s="4"/>
      <c r="L525" s="9">
        <v>30.7165</v>
      </c>
      <c r="M525" s="9">
        <v>12.063700000000001</v>
      </c>
      <c r="N525" s="9">
        <v>4.9444999999999997</v>
      </c>
      <c r="O525" s="9">
        <v>0.37409999999999999</v>
      </c>
      <c r="P525" s="9">
        <v>1.2927</v>
      </c>
      <c r="Q525" s="9">
        <v>19.688099999999999</v>
      </c>
      <c r="R525" s="9"/>
      <c r="S525" s="11"/>
    </row>
    <row r="526" spans="1:19" ht="15.75">
      <c r="A526" s="13">
        <v>57161</v>
      </c>
      <c r="B526" s="8">
        <f>CHOOSE( CONTROL!$C$32, 14.7316, 14.7311) * CHOOSE(CONTROL!$C$15, $D$11, 100%, $F$11)</f>
        <v>14.7316</v>
      </c>
      <c r="C526" s="8">
        <f>CHOOSE( CONTROL!$C$32, 14.7395, 14.7391) * CHOOSE(CONTROL!$C$15, $D$11, 100%, $F$11)</f>
        <v>14.7395</v>
      </c>
      <c r="D526" s="8">
        <f>CHOOSE( CONTROL!$C$32, 14.7343, 14.7338) * CHOOSE( CONTROL!$C$15, $D$11, 100%, $F$11)</f>
        <v>14.734299999999999</v>
      </c>
      <c r="E526" s="12">
        <f>CHOOSE( CONTROL!$C$32, 14.735, 14.7345) * CHOOSE( CONTROL!$C$15, $D$11, 100%, $F$11)</f>
        <v>14.734999999999999</v>
      </c>
      <c r="F526" s="4">
        <f>CHOOSE( CONTROL!$C$32, 15.4385, 15.4381) * CHOOSE(CONTROL!$C$15, $D$11, 100%, $F$11)</f>
        <v>15.438499999999999</v>
      </c>
      <c r="G526" s="8">
        <f>CHOOSE( CONTROL!$C$32, 14.5651, 14.5646) * CHOOSE( CONTROL!$C$15, $D$11, 100%, $F$11)</f>
        <v>14.565099999999999</v>
      </c>
      <c r="H526" s="4">
        <f>CHOOSE( CONTROL!$C$32, 15.5044, 15.5039) * CHOOSE(CONTROL!$C$15, $D$11, 100%, $F$11)</f>
        <v>15.5044</v>
      </c>
      <c r="I526" s="8">
        <f>CHOOSE( CONTROL!$C$32, 14.3747, 14.3742) * CHOOSE(CONTROL!$C$15, $D$11, 100%, $F$11)</f>
        <v>14.374700000000001</v>
      </c>
      <c r="J526" s="4">
        <f>CHOOSE( CONTROL!$C$32, 14.2862, 14.2857) * CHOOSE(CONTROL!$C$15, $D$11, 100%, $F$11)</f>
        <v>14.286199999999999</v>
      </c>
      <c r="K526" s="4"/>
      <c r="L526" s="9">
        <v>29.7257</v>
      </c>
      <c r="M526" s="9">
        <v>11.6745</v>
      </c>
      <c r="N526" s="9">
        <v>4.7850000000000001</v>
      </c>
      <c r="O526" s="9">
        <v>0.36199999999999999</v>
      </c>
      <c r="P526" s="9">
        <v>1.2509999999999999</v>
      </c>
      <c r="Q526" s="9">
        <v>19.053000000000001</v>
      </c>
      <c r="R526" s="9"/>
      <c r="S526" s="11"/>
    </row>
    <row r="527" spans="1:19" ht="15.75">
      <c r="A527" s="13">
        <v>57192</v>
      </c>
      <c r="B527" s="8">
        <f>CHOOSE( CONTROL!$C$32, 15.365, 15.3645) * CHOOSE(CONTROL!$C$15, $D$11, 100%, $F$11)</f>
        <v>15.365</v>
      </c>
      <c r="C527" s="8">
        <f>CHOOSE( CONTROL!$C$32, 15.3729, 15.3725) * CHOOSE(CONTROL!$C$15, $D$11, 100%, $F$11)</f>
        <v>15.3729</v>
      </c>
      <c r="D527" s="8">
        <f>CHOOSE( CONTROL!$C$32, 15.3681, 15.3676) * CHOOSE( CONTROL!$C$15, $D$11, 100%, $F$11)</f>
        <v>15.3681</v>
      </c>
      <c r="E527" s="12">
        <f>CHOOSE( CONTROL!$C$32, 15.3686, 15.3682) * CHOOSE( CONTROL!$C$15, $D$11, 100%, $F$11)</f>
        <v>15.368600000000001</v>
      </c>
      <c r="F527" s="4">
        <f>CHOOSE( CONTROL!$C$32, 16.0719, 16.0715) * CHOOSE(CONTROL!$C$15, $D$11, 100%, $F$11)</f>
        <v>16.071899999999999</v>
      </c>
      <c r="G527" s="8">
        <f>CHOOSE( CONTROL!$C$32, 15.1914, 15.191) * CHOOSE( CONTROL!$C$15, $D$11, 100%, $F$11)</f>
        <v>15.1914</v>
      </c>
      <c r="H527" s="4">
        <f>CHOOSE( CONTROL!$C$32, 16.1303, 16.1299) * CHOOSE(CONTROL!$C$15, $D$11, 100%, $F$11)</f>
        <v>16.130299999999998</v>
      </c>
      <c r="I527" s="8">
        <f>CHOOSE( CONTROL!$C$32, 14.9912, 14.9908) * CHOOSE(CONTROL!$C$15, $D$11, 100%, $F$11)</f>
        <v>14.991199999999999</v>
      </c>
      <c r="J527" s="4">
        <f>CHOOSE( CONTROL!$C$32, 14.9009, 14.9004) * CHOOSE(CONTROL!$C$15, $D$11, 100%, $F$11)</f>
        <v>14.9009</v>
      </c>
      <c r="K527" s="4"/>
      <c r="L527" s="9">
        <v>30.7165</v>
      </c>
      <c r="M527" s="9">
        <v>12.063700000000001</v>
      </c>
      <c r="N527" s="9">
        <v>4.9444999999999997</v>
      </c>
      <c r="O527" s="9">
        <v>0.37409999999999999</v>
      </c>
      <c r="P527" s="9">
        <v>1.2927</v>
      </c>
      <c r="Q527" s="9">
        <v>19.688099999999999</v>
      </c>
      <c r="R527" s="9"/>
      <c r="S527" s="11"/>
    </row>
    <row r="528" spans="1:19" ht="15.75">
      <c r="A528" s="13">
        <v>57223</v>
      </c>
      <c r="B528" s="8">
        <f>CHOOSE( CONTROL!$C$32, 14.1798, 14.1794) * CHOOSE(CONTROL!$C$15, $D$11, 100%, $F$11)</f>
        <v>14.1798</v>
      </c>
      <c r="C528" s="8">
        <f>CHOOSE( CONTROL!$C$32, 14.1878, 14.1873) * CHOOSE(CONTROL!$C$15, $D$11, 100%, $F$11)</f>
        <v>14.187799999999999</v>
      </c>
      <c r="D528" s="8">
        <f>CHOOSE( CONTROL!$C$32, 14.1831, 14.1826) * CHOOSE( CONTROL!$C$15, $D$11, 100%, $F$11)</f>
        <v>14.1831</v>
      </c>
      <c r="E528" s="12">
        <f>CHOOSE( CONTROL!$C$32, 14.1836, 14.1831) * CHOOSE( CONTROL!$C$15, $D$11, 100%, $F$11)</f>
        <v>14.1836</v>
      </c>
      <c r="F528" s="4">
        <f>CHOOSE( CONTROL!$C$32, 14.8867, 14.8863) * CHOOSE(CONTROL!$C$15, $D$11, 100%, $F$11)</f>
        <v>14.886699999999999</v>
      </c>
      <c r="G528" s="8">
        <f>CHOOSE( CONTROL!$C$32, 14.0202, 14.0198) * CHOOSE( CONTROL!$C$15, $D$11, 100%, $F$11)</f>
        <v>14.020200000000001</v>
      </c>
      <c r="H528" s="4">
        <f>CHOOSE( CONTROL!$C$32, 14.9591, 14.9586) * CHOOSE(CONTROL!$C$15, $D$11, 100%, $F$11)</f>
        <v>14.959099999999999</v>
      </c>
      <c r="I528" s="8">
        <f>CHOOSE( CONTROL!$C$32, 13.8409, 13.8405) * CHOOSE(CONTROL!$C$15, $D$11, 100%, $F$11)</f>
        <v>13.8409</v>
      </c>
      <c r="J528" s="4">
        <f>CHOOSE( CONTROL!$C$32, 13.7507, 13.7502) * CHOOSE(CONTROL!$C$15, $D$11, 100%, $F$11)</f>
        <v>13.7507</v>
      </c>
      <c r="K528" s="4"/>
      <c r="L528" s="9">
        <v>30.7165</v>
      </c>
      <c r="M528" s="9">
        <v>12.063700000000001</v>
      </c>
      <c r="N528" s="9">
        <v>4.9444999999999997</v>
      </c>
      <c r="O528" s="9">
        <v>0.37409999999999999</v>
      </c>
      <c r="P528" s="9">
        <v>1.2927</v>
      </c>
      <c r="Q528" s="9">
        <v>19.688099999999999</v>
      </c>
      <c r="R528" s="9"/>
      <c r="S528" s="11"/>
    </row>
    <row r="529" spans="1:19" ht="15.75">
      <c r="A529" s="13">
        <v>57253</v>
      </c>
      <c r="B529" s="8">
        <f>CHOOSE( CONTROL!$C$32, 13.883, 13.8826) * CHOOSE(CONTROL!$C$15, $D$11, 100%, $F$11)</f>
        <v>13.882999999999999</v>
      </c>
      <c r="C529" s="8">
        <f>CHOOSE( CONTROL!$C$32, 13.891, 13.8905) * CHOOSE(CONTROL!$C$15, $D$11, 100%, $F$11)</f>
        <v>13.891</v>
      </c>
      <c r="D529" s="8">
        <f>CHOOSE( CONTROL!$C$32, 13.8861, 13.8857) * CHOOSE( CONTROL!$C$15, $D$11, 100%, $F$11)</f>
        <v>13.886100000000001</v>
      </c>
      <c r="E529" s="12">
        <f>CHOOSE( CONTROL!$C$32, 13.8867, 13.8862) * CHOOSE( CONTROL!$C$15, $D$11, 100%, $F$11)</f>
        <v>13.886699999999999</v>
      </c>
      <c r="F529" s="4">
        <f>CHOOSE( CONTROL!$C$32, 14.59, 14.5895) * CHOOSE(CONTROL!$C$15, $D$11, 100%, $F$11)</f>
        <v>14.59</v>
      </c>
      <c r="G529" s="8">
        <f>CHOOSE( CONTROL!$C$32, 13.7268, 13.7264) * CHOOSE( CONTROL!$C$15, $D$11, 100%, $F$11)</f>
        <v>13.726800000000001</v>
      </c>
      <c r="H529" s="4">
        <f>CHOOSE( CONTROL!$C$32, 14.6658, 14.6653) * CHOOSE(CONTROL!$C$15, $D$11, 100%, $F$11)</f>
        <v>14.665800000000001</v>
      </c>
      <c r="I529" s="8">
        <f>CHOOSE( CONTROL!$C$32, 13.5522, 13.5518) * CHOOSE(CONTROL!$C$15, $D$11, 100%, $F$11)</f>
        <v>13.552199999999999</v>
      </c>
      <c r="J529" s="4">
        <f>CHOOSE( CONTROL!$C$32, 13.4627, 13.4622) * CHOOSE(CONTROL!$C$15, $D$11, 100%, $F$11)</f>
        <v>13.4627</v>
      </c>
      <c r="K529" s="4"/>
      <c r="L529" s="9">
        <v>29.7257</v>
      </c>
      <c r="M529" s="9">
        <v>11.6745</v>
      </c>
      <c r="N529" s="9">
        <v>4.7850000000000001</v>
      </c>
      <c r="O529" s="9">
        <v>0.36199999999999999</v>
      </c>
      <c r="P529" s="9">
        <v>1.2509999999999999</v>
      </c>
      <c r="Q529" s="9">
        <v>19.053000000000001</v>
      </c>
      <c r="R529" s="9"/>
      <c r="S529" s="11"/>
    </row>
    <row r="530" spans="1:19" ht="15.75">
      <c r="A530" s="13">
        <v>57284</v>
      </c>
      <c r="B530" s="8">
        <f>CHOOSE( CONTROL!$C$32, 14.4973, 14.4971) * CHOOSE(CONTROL!$C$15, $D$11, 100%, $F$11)</f>
        <v>14.497299999999999</v>
      </c>
      <c r="C530" s="8">
        <f>CHOOSE( CONTROL!$C$32, 14.5027, 14.5024) * CHOOSE(CONTROL!$C$15, $D$11, 100%, $F$11)</f>
        <v>14.502700000000001</v>
      </c>
      <c r="D530" s="8">
        <f>CHOOSE( CONTROL!$C$32, 14.5029, 14.5026) * CHOOSE( CONTROL!$C$15, $D$11, 100%, $F$11)</f>
        <v>14.5029</v>
      </c>
      <c r="E530" s="12">
        <f>CHOOSE( CONTROL!$C$32, 14.5023, 14.502) * CHOOSE( CONTROL!$C$15, $D$11, 100%, $F$11)</f>
        <v>14.5023</v>
      </c>
      <c r="F530" s="4">
        <f>CHOOSE( CONTROL!$C$32, 15.206, 15.2057) * CHOOSE(CONTROL!$C$15, $D$11, 100%, $F$11)</f>
        <v>15.206</v>
      </c>
      <c r="G530" s="8">
        <f>CHOOSE( CONTROL!$C$32, 14.3356, 14.3353) * CHOOSE( CONTROL!$C$15, $D$11, 100%, $F$11)</f>
        <v>14.335599999999999</v>
      </c>
      <c r="H530" s="4">
        <f>CHOOSE( CONTROL!$C$32, 15.2746, 15.2743) * CHOOSE(CONTROL!$C$15, $D$11, 100%, $F$11)</f>
        <v>15.2746</v>
      </c>
      <c r="I530" s="8">
        <f>CHOOSE( CONTROL!$C$32, 14.1511, 14.1508) * CHOOSE(CONTROL!$C$15, $D$11, 100%, $F$11)</f>
        <v>14.1511</v>
      </c>
      <c r="J530" s="4">
        <f>CHOOSE( CONTROL!$C$32, 14.0605, 14.0603) * CHOOSE(CONTROL!$C$15, $D$11, 100%, $F$11)</f>
        <v>14.060499999999999</v>
      </c>
      <c r="K530" s="4"/>
      <c r="L530" s="9">
        <v>31.095300000000002</v>
      </c>
      <c r="M530" s="9">
        <v>12.063700000000001</v>
      </c>
      <c r="N530" s="9">
        <v>4.9444999999999997</v>
      </c>
      <c r="O530" s="9">
        <v>0.37409999999999999</v>
      </c>
      <c r="P530" s="9">
        <v>1.2927</v>
      </c>
      <c r="Q530" s="9">
        <v>19.688099999999999</v>
      </c>
      <c r="R530" s="9"/>
      <c r="S530" s="11"/>
    </row>
    <row r="531" spans="1:19" ht="15.75">
      <c r="A531" s="13">
        <v>57314</v>
      </c>
      <c r="B531" s="8">
        <f>CHOOSE( CONTROL!$C$32, 15.6343, 15.6341) * CHOOSE(CONTROL!$C$15, $D$11, 100%, $F$11)</f>
        <v>15.6343</v>
      </c>
      <c r="C531" s="8">
        <f>CHOOSE( CONTROL!$C$32, 15.6394, 15.6391) * CHOOSE(CONTROL!$C$15, $D$11, 100%, $F$11)</f>
        <v>15.6394</v>
      </c>
      <c r="D531" s="8">
        <f>CHOOSE( CONTROL!$C$32, 15.6073, 15.607) * CHOOSE( CONTROL!$C$15, $D$11, 100%, $F$11)</f>
        <v>15.6073</v>
      </c>
      <c r="E531" s="12">
        <f>CHOOSE( CONTROL!$C$32, 15.6185, 15.6182) * CHOOSE( CONTROL!$C$15, $D$11, 100%, $F$11)</f>
        <v>15.618499999999999</v>
      </c>
      <c r="F531" s="4">
        <f>CHOOSE( CONTROL!$C$32, 16.2996, 16.2994) * CHOOSE(CONTROL!$C$15, $D$11, 100%, $F$11)</f>
        <v>16.299600000000002</v>
      </c>
      <c r="G531" s="8">
        <f>CHOOSE( CONTROL!$C$32, 15.4486, 15.4484) * CHOOSE( CONTROL!$C$15, $D$11, 100%, $F$11)</f>
        <v>15.448600000000001</v>
      </c>
      <c r="H531" s="4">
        <f>CHOOSE( CONTROL!$C$32, 16.3554, 16.3551) * CHOOSE(CONTROL!$C$15, $D$11, 100%, $F$11)</f>
        <v>16.355399999999999</v>
      </c>
      <c r="I531" s="8">
        <f>CHOOSE( CONTROL!$C$32, 15.3063, 15.3061) * CHOOSE(CONTROL!$C$15, $D$11, 100%, $F$11)</f>
        <v>15.3063</v>
      </c>
      <c r="J531" s="4">
        <f>CHOOSE( CONTROL!$C$32, 15.1644, 15.1641) * CHOOSE(CONTROL!$C$15, $D$11, 100%, $F$11)</f>
        <v>15.164400000000001</v>
      </c>
      <c r="K531" s="4"/>
      <c r="L531" s="9">
        <v>28.360600000000002</v>
      </c>
      <c r="M531" s="9">
        <v>11.6745</v>
      </c>
      <c r="N531" s="9">
        <v>4.7850000000000001</v>
      </c>
      <c r="O531" s="9">
        <v>0.36199999999999999</v>
      </c>
      <c r="P531" s="9">
        <v>1.2509999999999999</v>
      </c>
      <c r="Q531" s="9">
        <v>19.053000000000001</v>
      </c>
      <c r="R531" s="9"/>
      <c r="S531" s="11"/>
    </row>
    <row r="532" spans="1:19" ht="15.75">
      <c r="A532" s="13">
        <v>57345</v>
      </c>
      <c r="B532" s="8">
        <f>CHOOSE( CONTROL!$C$32, 15.6059, 15.6057) * CHOOSE(CONTROL!$C$15, $D$11, 100%, $F$11)</f>
        <v>15.6059</v>
      </c>
      <c r="C532" s="8">
        <f>CHOOSE( CONTROL!$C$32, 15.611, 15.6107) * CHOOSE(CONTROL!$C$15, $D$11, 100%, $F$11)</f>
        <v>15.611000000000001</v>
      </c>
      <c r="D532" s="8">
        <f>CHOOSE( CONTROL!$C$32, 15.5807, 15.5804) * CHOOSE( CONTROL!$C$15, $D$11, 100%, $F$11)</f>
        <v>15.5807</v>
      </c>
      <c r="E532" s="12">
        <f>CHOOSE( CONTROL!$C$32, 15.5912, 15.5909) * CHOOSE( CONTROL!$C$15, $D$11, 100%, $F$11)</f>
        <v>15.591200000000001</v>
      </c>
      <c r="F532" s="4">
        <f>CHOOSE( CONTROL!$C$32, 16.2712, 16.2709) * CHOOSE(CONTROL!$C$15, $D$11, 100%, $F$11)</f>
        <v>16.2712</v>
      </c>
      <c r="G532" s="8">
        <f>CHOOSE( CONTROL!$C$32, 15.4219, 15.4216) * CHOOSE( CONTROL!$C$15, $D$11, 100%, $F$11)</f>
        <v>15.421900000000001</v>
      </c>
      <c r="H532" s="4">
        <f>CHOOSE( CONTROL!$C$32, 16.3273, 16.327) * CHOOSE(CONTROL!$C$15, $D$11, 100%, $F$11)</f>
        <v>16.327300000000001</v>
      </c>
      <c r="I532" s="8">
        <f>CHOOSE( CONTROL!$C$32, 15.2844, 15.2842) * CHOOSE(CONTROL!$C$15, $D$11, 100%, $F$11)</f>
        <v>15.2844</v>
      </c>
      <c r="J532" s="4">
        <f>CHOOSE( CONTROL!$C$32, 15.1368, 15.1365) * CHOOSE(CONTROL!$C$15, $D$11, 100%, $F$11)</f>
        <v>15.136799999999999</v>
      </c>
      <c r="K532" s="4"/>
      <c r="L532" s="9">
        <v>29.306000000000001</v>
      </c>
      <c r="M532" s="9">
        <v>12.063700000000001</v>
      </c>
      <c r="N532" s="9">
        <v>4.9444999999999997</v>
      </c>
      <c r="O532" s="9">
        <v>0.37409999999999999</v>
      </c>
      <c r="P532" s="9">
        <v>1.2927</v>
      </c>
      <c r="Q532" s="9">
        <v>19.688099999999999</v>
      </c>
      <c r="R532" s="9"/>
      <c r="S532" s="11"/>
    </row>
    <row r="533" spans="1:19" ht="15.75">
      <c r="A533" s="13">
        <v>57376</v>
      </c>
      <c r="B533" s="8">
        <f>CHOOSE( CONTROL!$C$32, 16.066, 16.0657) * CHOOSE(CONTROL!$C$15, $D$11, 100%, $F$11)</f>
        <v>16.065999999999999</v>
      </c>
      <c r="C533" s="8">
        <f>CHOOSE( CONTROL!$C$32, 16.0711, 16.0708) * CHOOSE(CONTROL!$C$15, $D$11, 100%, $F$11)</f>
        <v>16.071100000000001</v>
      </c>
      <c r="D533" s="8">
        <f>CHOOSE( CONTROL!$C$32, 16.0687, 16.0684) * CHOOSE( CONTROL!$C$15, $D$11, 100%, $F$11)</f>
        <v>16.0687</v>
      </c>
      <c r="E533" s="12">
        <f>CHOOSE( CONTROL!$C$32, 16.069, 16.0687) * CHOOSE( CONTROL!$C$15, $D$11, 100%, $F$11)</f>
        <v>16.068999999999999</v>
      </c>
      <c r="F533" s="4">
        <f>CHOOSE( CONTROL!$C$32, 16.7313, 16.731) * CHOOSE(CONTROL!$C$15, $D$11, 100%, $F$11)</f>
        <v>16.731300000000001</v>
      </c>
      <c r="G533" s="8">
        <f>CHOOSE( CONTROL!$C$32, 15.8927, 15.8924) * CHOOSE( CONTROL!$C$15, $D$11, 100%, $F$11)</f>
        <v>15.8927</v>
      </c>
      <c r="H533" s="4">
        <f>CHOOSE( CONTROL!$C$32, 16.782, 16.7817) * CHOOSE(CONTROL!$C$15, $D$11, 100%, $F$11)</f>
        <v>16.782</v>
      </c>
      <c r="I533" s="8">
        <f>CHOOSE( CONTROL!$C$32, 15.7047, 15.7044) * CHOOSE(CONTROL!$C$15, $D$11, 100%, $F$11)</f>
        <v>15.704700000000001</v>
      </c>
      <c r="J533" s="4">
        <f>CHOOSE( CONTROL!$C$32, 15.5833, 15.583) * CHOOSE(CONTROL!$C$15, $D$11, 100%, $F$11)</f>
        <v>15.583299999999999</v>
      </c>
      <c r="K533" s="4"/>
      <c r="L533" s="9">
        <v>29.306000000000001</v>
      </c>
      <c r="M533" s="9">
        <v>12.063700000000001</v>
      </c>
      <c r="N533" s="9">
        <v>4.9444999999999997</v>
      </c>
      <c r="O533" s="9">
        <v>0.37409999999999999</v>
      </c>
      <c r="P533" s="9">
        <v>1.2927</v>
      </c>
      <c r="Q533" s="9">
        <v>19.688099999999999</v>
      </c>
      <c r="R533" s="9"/>
      <c r="S533" s="11"/>
    </row>
    <row r="534" spans="1:19" ht="15.75">
      <c r="A534" s="13">
        <v>57404</v>
      </c>
      <c r="B534" s="8">
        <f>CHOOSE( CONTROL!$C$32, 15.0279, 15.0277) * CHOOSE(CONTROL!$C$15, $D$11, 100%, $F$11)</f>
        <v>15.027900000000001</v>
      </c>
      <c r="C534" s="8">
        <f>CHOOSE( CONTROL!$C$32, 15.033, 15.0327) * CHOOSE(CONTROL!$C$15, $D$11, 100%, $F$11)</f>
        <v>15.032999999999999</v>
      </c>
      <c r="D534" s="8">
        <f>CHOOSE( CONTROL!$C$32, 15.013, 15.0127) * CHOOSE( CONTROL!$C$15, $D$11, 100%, $F$11)</f>
        <v>15.013</v>
      </c>
      <c r="E534" s="12">
        <f>CHOOSE( CONTROL!$C$32, 15.0198, 15.0195) * CHOOSE( CONTROL!$C$15, $D$11, 100%, $F$11)</f>
        <v>15.0198</v>
      </c>
      <c r="F534" s="4">
        <f>CHOOSE( CONTROL!$C$32, 15.6932, 15.6929) * CHOOSE(CONTROL!$C$15, $D$11, 100%, $F$11)</f>
        <v>15.693199999999999</v>
      </c>
      <c r="G534" s="8">
        <f>CHOOSE( CONTROL!$C$32, 14.8556, 14.8554) * CHOOSE( CONTROL!$C$15, $D$11, 100%, $F$11)</f>
        <v>14.855600000000001</v>
      </c>
      <c r="H534" s="4">
        <f>CHOOSE( CONTROL!$C$32, 15.7561, 15.7558) * CHOOSE(CONTROL!$C$15, $D$11, 100%, $F$11)</f>
        <v>15.7561</v>
      </c>
      <c r="I534" s="8">
        <f>CHOOSE( CONTROL!$C$32, 14.6972, 14.6969) * CHOOSE(CONTROL!$C$15, $D$11, 100%, $F$11)</f>
        <v>14.6972</v>
      </c>
      <c r="J534" s="4">
        <f>CHOOSE( CONTROL!$C$32, 14.5759, 14.5756) * CHOOSE(CONTROL!$C$15, $D$11, 100%, $F$11)</f>
        <v>14.575900000000001</v>
      </c>
      <c r="K534" s="4"/>
      <c r="L534" s="9">
        <v>26.469899999999999</v>
      </c>
      <c r="M534" s="9">
        <v>10.8962</v>
      </c>
      <c r="N534" s="9">
        <v>4.4660000000000002</v>
      </c>
      <c r="O534" s="9">
        <v>0.33789999999999998</v>
      </c>
      <c r="P534" s="9">
        <v>1.1676</v>
      </c>
      <c r="Q534" s="9">
        <v>17.782800000000002</v>
      </c>
      <c r="R534" s="9"/>
      <c r="S534" s="11"/>
    </row>
    <row r="535" spans="1:19" ht="15.75">
      <c r="A535" s="13">
        <v>57435</v>
      </c>
      <c r="B535" s="8">
        <f>CHOOSE( CONTROL!$C$32, 14.7082, 14.708) * CHOOSE(CONTROL!$C$15, $D$11, 100%, $F$11)</f>
        <v>14.7082</v>
      </c>
      <c r="C535" s="8">
        <f>CHOOSE( CONTROL!$C$32, 14.7133, 14.713) * CHOOSE(CONTROL!$C$15, $D$11, 100%, $F$11)</f>
        <v>14.7133</v>
      </c>
      <c r="D535" s="8">
        <f>CHOOSE( CONTROL!$C$32, 14.6833, 14.683) * CHOOSE( CONTROL!$C$15, $D$11, 100%, $F$11)</f>
        <v>14.683299999999999</v>
      </c>
      <c r="E535" s="12">
        <f>CHOOSE( CONTROL!$C$32, 14.6937, 14.6934) * CHOOSE( CONTROL!$C$15, $D$11, 100%, $F$11)</f>
        <v>14.6937</v>
      </c>
      <c r="F535" s="4">
        <f>CHOOSE( CONTROL!$C$32, 15.3735, 15.3732) * CHOOSE(CONTROL!$C$15, $D$11, 100%, $F$11)</f>
        <v>15.3735</v>
      </c>
      <c r="G535" s="8">
        <f>CHOOSE( CONTROL!$C$32, 14.5264, 14.5262) * CHOOSE( CONTROL!$C$15, $D$11, 100%, $F$11)</f>
        <v>14.526400000000001</v>
      </c>
      <c r="H535" s="4">
        <f>CHOOSE( CONTROL!$C$32, 15.4401, 15.4398) * CHOOSE(CONTROL!$C$15, $D$11, 100%, $F$11)</f>
        <v>15.440099999999999</v>
      </c>
      <c r="I535" s="8">
        <f>CHOOSE( CONTROL!$C$32, 14.3515, 14.3513) * CHOOSE(CONTROL!$C$15, $D$11, 100%, $F$11)</f>
        <v>14.3515</v>
      </c>
      <c r="J535" s="4">
        <f>CHOOSE( CONTROL!$C$32, 14.2656, 14.2653) * CHOOSE(CONTROL!$C$15, $D$11, 100%, $F$11)</f>
        <v>14.265599999999999</v>
      </c>
      <c r="K535" s="4"/>
      <c r="L535" s="9">
        <v>29.306000000000001</v>
      </c>
      <c r="M535" s="9">
        <v>12.063700000000001</v>
      </c>
      <c r="N535" s="9">
        <v>4.9444999999999997</v>
      </c>
      <c r="O535" s="9">
        <v>0.37409999999999999</v>
      </c>
      <c r="P535" s="9">
        <v>1.2927</v>
      </c>
      <c r="Q535" s="9">
        <v>19.688099999999999</v>
      </c>
      <c r="R535" s="9"/>
      <c r="S535" s="11"/>
    </row>
    <row r="536" spans="1:19" ht="15.75">
      <c r="A536" s="13">
        <v>57465</v>
      </c>
      <c r="B536" s="8">
        <f>CHOOSE( CONTROL!$C$32, 14.9324, 14.9321) * CHOOSE(CONTROL!$C$15, $D$11, 100%, $F$11)</f>
        <v>14.932399999999999</v>
      </c>
      <c r="C536" s="8">
        <f>CHOOSE( CONTROL!$C$32, 14.9369, 14.9366) * CHOOSE(CONTROL!$C$15, $D$11, 100%, $F$11)</f>
        <v>14.9369</v>
      </c>
      <c r="D536" s="8">
        <f>CHOOSE( CONTROL!$C$32, 14.9364, 14.9361) * CHOOSE( CONTROL!$C$15, $D$11, 100%, $F$11)</f>
        <v>14.936400000000001</v>
      </c>
      <c r="E536" s="12">
        <f>CHOOSE( CONTROL!$C$32, 14.9361, 14.9358) * CHOOSE( CONTROL!$C$15, $D$11, 100%, $F$11)</f>
        <v>14.9361</v>
      </c>
      <c r="F536" s="4">
        <f>CHOOSE( CONTROL!$C$32, 15.6407, 15.6404) * CHOOSE(CONTROL!$C$15, $D$11, 100%, $F$11)</f>
        <v>15.640700000000001</v>
      </c>
      <c r="G536" s="8">
        <f>CHOOSE( CONTROL!$C$32, 14.7642, 14.764) * CHOOSE( CONTROL!$C$15, $D$11, 100%, $F$11)</f>
        <v>14.764200000000001</v>
      </c>
      <c r="H536" s="4">
        <f>CHOOSE( CONTROL!$C$32, 15.7042, 15.7039) * CHOOSE(CONTROL!$C$15, $D$11, 100%, $F$11)</f>
        <v>15.7042</v>
      </c>
      <c r="I536" s="8">
        <f>CHOOSE( CONTROL!$C$32, 14.569, 14.5687) * CHOOSE(CONTROL!$C$15, $D$11, 100%, $F$11)</f>
        <v>14.569000000000001</v>
      </c>
      <c r="J536" s="4">
        <f>CHOOSE( CONTROL!$C$32, 14.4824, 14.4821) * CHOOSE(CONTROL!$C$15, $D$11, 100%, $F$11)</f>
        <v>14.4824</v>
      </c>
      <c r="K536" s="4"/>
      <c r="L536" s="9">
        <v>30.092199999999998</v>
      </c>
      <c r="M536" s="9">
        <v>11.6745</v>
      </c>
      <c r="N536" s="9">
        <v>4.7850000000000001</v>
      </c>
      <c r="O536" s="9">
        <v>0.36199999999999999</v>
      </c>
      <c r="P536" s="9">
        <v>1.2509999999999999</v>
      </c>
      <c r="Q536" s="9">
        <v>19.053000000000001</v>
      </c>
      <c r="R536" s="9"/>
      <c r="S536" s="11"/>
    </row>
    <row r="537" spans="1:19" ht="15.75">
      <c r="A537" s="13">
        <v>57496</v>
      </c>
      <c r="B537" s="8">
        <f>CHOOSE( CONTROL!$C$32, 15.3316, 15.3311) * CHOOSE(CONTROL!$C$15, $D$11, 100%, $F$11)</f>
        <v>15.3316</v>
      </c>
      <c r="C537" s="8">
        <f>CHOOSE( CONTROL!$C$32, 15.3395, 15.3391) * CHOOSE(CONTROL!$C$15, $D$11, 100%, $F$11)</f>
        <v>15.339499999999999</v>
      </c>
      <c r="D537" s="8">
        <f>CHOOSE( CONTROL!$C$32, 15.3338, 15.3334) * CHOOSE( CONTROL!$C$15, $D$11, 100%, $F$11)</f>
        <v>15.3338</v>
      </c>
      <c r="E537" s="12">
        <f>CHOOSE( CONTROL!$C$32, 15.3347, 15.3342) * CHOOSE( CONTROL!$C$15, $D$11, 100%, $F$11)</f>
        <v>15.3347</v>
      </c>
      <c r="F537" s="4">
        <f>CHOOSE( CONTROL!$C$32, 16.0385, 16.038) * CHOOSE(CONTROL!$C$15, $D$11, 100%, $F$11)</f>
        <v>16.038499999999999</v>
      </c>
      <c r="G537" s="8">
        <f>CHOOSE( CONTROL!$C$32, 15.1577, 15.1573) * CHOOSE( CONTROL!$C$15, $D$11, 100%, $F$11)</f>
        <v>15.1577</v>
      </c>
      <c r="H537" s="4">
        <f>CHOOSE( CONTROL!$C$32, 16.0973, 16.0969) * CHOOSE(CONTROL!$C$15, $D$11, 100%, $F$11)</f>
        <v>16.097300000000001</v>
      </c>
      <c r="I537" s="8">
        <f>CHOOSE( CONTROL!$C$32, 14.9558, 14.9554) * CHOOSE(CONTROL!$C$15, $D$11, 100%, $F$11)</f>
        <v>14.9558</v>
      </c>
      <c r="J537" s="4">
        <f>CHOOSE( CONTROL!$C$32, 14.8685, 14.868) * CHOOSE(CONTROL!$C$15, $D$11, 100%, $F$11)</f>
        <v>14.868499999999999</v>
      </c>
      <c r="K537" s="4"/>
      <c r="L537" s="9">
        <v>30.7165</v>
      </c>
      <c r="M537" s="9">
        <v>12.063700000000001</v>
      </c>
      <c r="N537" s="9">
        <v>4.9444999999999997</v>
      </c>
      <c r="O537" s="9">
        <v>0.37409999999999999</v>
      </c>
      <c r="P537" s="9">
        <v>1.2927</v>
      </c>
      <c r="Q537" s="9">
        <v>19.688099999999999</v>
      </c>
      <c r="R537" s="9"/>
      <c r="S537" s="11"/>
    </row>
    <row r="538" spans="1:19" ht="15.75">
      <c r="A538" s="13">
        <v>57526</v>
      </c>
      <c r="B538" s="8">
        <f>CHOOSE( CONTROL!$C$32, 15.0853, 15.0848) * CHOOSE(CONTROL!$C$15, $D$11, 100%, $F$11)</f>
        <v>15.0853</v>
      </c>
      <c r="C538" s="8">
        <f>CHOOSE( CONTROL!$C$32, 15.0932, 15.0928) * CHOOSE(CONTROL!$C$15, $D$11, 100%, $F$11)</f>
        <v>15.0932</v>
      </c>
      <c r="D538" s="8">
        <f>CHOOSE( CONTROL!$C$32, 15.0879, 15.0875) * CHOOSE( CONTROL!$C$15, $D$11, 100%, $F$11)</f>
        <v>15.087899999999999</v>
      </c>
      <c r="E538" s="12">
        <f>CHOOSE( CONTROL!$C$32, 15.0886, 15.0882) * CHOOSE( CONTROL!$C$15, $D$11, 100%, $F$11)</f>
        <v>15.0886</v>
      </c>
      <c r="F538" s="4">
        <f>CHOOSE( CONTROL!$C$32, 15.7922, 15.7917) * CHOOSE(CONTROL!$C$15, $D$11, 100%, $F$11)</f>
        <v>15.792199999999999</v>
      </c>
      <c r="G538" s="8">
        <f>CHOOSE( CONTROL!$C$32, 14.9146, 14.9142) * CHOOSE( CONTROL!$C$15, $D$11, 100%, $F$11)</f>
        <v>14.9146</v>
      </c>
      <c r="H538" s="4">
        <f>CHOOSE( CONTROL!$C$32, 15.8539, 15.8534) * CHOOSE(CONTROL!$C$15, $D$11, 100%, $F$11)</f>
        <v>15.853899999999999</v>
      </c>
      <c r="I538" s="8">
        <f>CHOOSE( CONTROL!$C$32, 14.7181, 14.7176) * CHOOSE(CONTROL!$C$15, $D$11, 100%, $F$11)</f>
        <v>14.7181</v>
      </c>
      <c r="J538" s="4">
        <f>CHOOSE( CONTROL!$C$32, 14.6294, 14.629) * CHOOSE(CONTROL!$C$15, $D$11, 100%, $F$11)</f>
        <v>14.6294</v>
      </c>
      <c r="K538" s="4"/>
      <c r="L538" s="9">
        <v>29.7257</v>
      </c>
      <c r="M538" s="9">
        <v>11.6745</v>
      </c>
      <c r="N538" s="9">
        <v>4.7850000000000001</v>
      </c>
      <c r="O538" s="9">
        <v>0.36199999999999999</v>
      </c>
      <c r="P538" s="9">
        <v>1.2509999999999999</v>
      </c>
      <c r="Q538" s="9">
        <v>19.053000000000001</v>
      </c>
      <c r="R538" s="9"/>
      <c r="S538" s="11"/>
    </row>
    <row r="539" spans="1:19" ht="15.75">
      <c r="A539" s="13">
        <v>57557</v>
      </c>
      <c r="B539" s="8">
        <f>CHOOSE( CONTROL!$C$32, 15.7339, 15.7334) * CHOOSE(CONTROL!$C$15, $D$11, 100%, $F$11)</f>
        <v>15.7339</v>
      </c>
      <c r="C539" s="8">
        <f>CHOOSE( CONTROL!$C$32, 15.7419, 15.7414) * CHOOSE(CONTROL!$C$15, $D$11, 100%, $F$11)</f>
        <v>15.741899999999999</v>
      </c>
      <c r="D539" s="8">
        <f>CHOOSE( CONTROL!$C$32, 15.737, 15.7366) * CHOOSE( CONTROL!$C$15, $D$11, 100%, $F$11)</f>
        <v>15.737</v>
      </c>
      <c r="E539" s="12">
        <f>CHOOSE( CONTROL!$C$32, 15.7376, 15.7371) * CHOOSE( CONTROL!$C$15, $D$11, 100%, $F$11)</f>
        <v>15.7376</v>
      </c>
      <c r="F539" s="4">
        <f>CHOOSE( CONTROL!$C$32, 16.4408, 16.4404) * CHOOSE(CONTROL!$C$15, $D$11, 100%, $F$11)</f>
        <v>16.440799999999999</v>
      </c>
      <c r="G539" s="8">
        <f>CHOOSE( CONTROL!$C$32, 15.556, 15.5555) * CHOOSE( CONTROL!$C$15, $D$11, 100%, $F$11)</f>
        <v>15.555999999999999</v>
      </c>
      <c r="H539" s="4">
        <f>CHOOSE( CONTROL!$C$32, 16.4949, 16.4945) * CHOOSE(CONTROL!$C$15, $D$11, 100%, $F$11)</f>
        <v>16.494900000000001</v>
      </c>
      <c r="I539" s="8">
        <f>CHOOSE( CONTROL!$C$32, 15.3494, 15.349) * CHOOSE(CONTROL!$C$15, $D$11, 100%, $F$11)</f>
        <v>15.349399999999999</v>
      </c>
      <c r="J539" s="4">
        <f>CHOOSE( CONTROL!$C$32, 15.2589, 15.2585) * CHOOSE(CONTROL!$C$15, $D$11, 100%, $F$11)</f>
        <v>15.258900000000001</v>
      </c>
      <c r="K539" s="4"/>
      <c r="L539" s="9">
        <v>30.7165</v>
      </c>
      <c r="M539" s="9">
        <v>12.063700000000001</v>
      </c>
      <c r="N539" s="9">
        <v>4.9444999999999997</v>
      </c>
      <c r="O539" s="9">
        <v>0.37409999999999999</v>
      </c>
      <c r="P539" s="9">
        <v>1.2927</v>
      </c>
      <c r="Q539" s="9">
        <v>19.688099999999999</v>
      </c>
      <c r="R539" s="9"/>
      <c r="S539" s="11"/>
    </row>
    <row r="540" spans="1:19" ht="15.75">
      <c r="A540" s="13">
        <v>57588</v>
      </c>
      <c r="B540" s="8">
        <f>CHOOSE( CONTROL!$C$32, 14.5202, 14.5198) * CHOOSE(CONTROL!$C$15, $D$11, 100%, $F$11)</f>
        <v>14.520200000000001</v>
      </c>
      <c r="C540" s="8">
        <f>CHOOSE( CONTROL!$C$32, 14.5282, 14.5278) * CHOOSE(CONTROL!$C$15, $D$11, 100%, $F$11)</f>
        <v>14.5282</v>
      </c>
      <c r="D540" s="8">
        <f>CHOOSE( CONTROL!$C$32, 14.5235, 14.523) * CHOOSE( CONTROL!$C$15, $D$11, 100%, $F$11)</f>
        <v>14.5235</v>
      </c>
      <c r="E540" s="12">
        <f>CHOOSE( CONTROL!$C$32, 14.524, 14.5235) * CHOOSE( CONTROL!$C$15, $D$11, 100%, $F$11)</f>
        <v>14.523999999999999</v>
      </c>
      <c r="F540" s="4">
        <f>CHOOSE( CONTROL!$C$32, 15.2272, 15.2267) * CHOOSE(CONTROL!$C$15, $D$11, 100%, $F$11)</f>
        <v>15.2272</v>
      </c>
      <c r="G540" s="8">
        <f>CHOOSE( CONTROL!$C$32, 14.3567, 14.3562) * CHOOSE( CONTROL!$C$15, $D$11, 100%, $F$11)</f>
        <v>14.3567</v>
      </c>
      <c r="H540" s="4">
        <f>CHOOSE( CONTROL!$C$32, 15.2955, 15.295) * CHOOSE(CONTROL!$C$15, $D$11, 100%, $F$11)</f>
        <v>15.295500000000001</v>
      </c>
      <c r="I540" s="8">
        <f>CHOOSE( CONTROL!$C$32, 14.1715, 14.171) * CHOOSE(CONTROL!$C$15, $D$11, 100%, $F$11)</f>
        <v>14.1715</v>
      </c>
      <c r="J540" s="4">
        <f>CHOOSE( CONTROL!$C$32, 14.0811, 14.0806) * CHOOSE(CONTROL!$C$15, $D$11, 100%, $F$11)</f>
        <v>14.081099999999999</v>
      </c>
      <c r="K540" s="4"/>
      <c r="L540" s="9">
        <v>30.7165</v>
      </c>
      <c r="M540" s="9">
        <v>12.063700000000001</v>
      </c>
      <c r="N540" s="9">
        <v>4.9444999999999997</v>
      </c>
      <c r="O540" s="9">
        <v>0.37409999999999999</v>
      </c>
      <c r="P540" s="9">
        <v>1.2927</v>
      </c>
      <c r="Q540" s="9">
        <v>19.688099999999999</v>
      </c>
      <c r="R540" s="9"/>
      <c r="S540" s="11"/>
    </row>
    <row r="541" spans="1:19" ht="15.75">
      <c r="A541" s="13">
        <v>57618</v>
      </c>
      <c r="B541" s="8">
        <f>CHOOSE( CONTROL!$C$32, 14.2163, 14.2159) * CHOOSE(CONTROL!$C$15, $D$11, 100%, $F$11)</f>
        <v>14.2163</v>
      </c>
      <c r="C541" s="8">
        <f>CHOOSE( CONTROL!$C$32, 14.2243, 14.2238) * CHOOSE(CONTROL!$C$15, $D$11, 100%, $F$11)</f>
        <v>14.224299999999999</v>
      </c>
      <c r="D541" s="8">
        <f>CHOOSE( CONTROL!$C$32, 14.2194, 14.219) * CHOOSE( CONTROL!$C$15, $D$11, 100%, $F$11)</f>
        <v>14.2194</v>
      </c>
      <c r="E541" s="12">
        <f>CHOOSE( CONTROL!$C$32, 14.22, 14.2195) * CHOOSE( CONTROL!$C$15, $D$11, 100%, $F$11)</f>
        <v>14.22</v>
      </c>
      <c r="F541" s="4">
        <f>CHOOSE( CONTROL!$C$32, 14.9233, 14.9228) * CHOOSE(CONTROL!$C$15, $D$11, 100%, $F$11)</f>
        <v>14.923299999999999</v>
      </c>
      <c r="G541" s="8">
        <f>CHOOSE( CONTROL!$C$32, 14.0562, 14.0558) * CHOOSE( CONTROL!$C$15, $D$11, 100%, $F$11)</f>
        <v>14.0562</v>
      </c>
      <c r="H541" s="4">
        <f>CHOOSE( CONTROL!$C$32, 14.9951, 14.9947) * CHOOSE(CONTROL!$C$15, $D$11, 100%, $F$11)</f>
        <v>14.995100000000001</v>
      </c>
      <c r="I541" s="8">
        <f>CHOOSE( CONTROL!$C$32, 13.8759, 13.8754) * CHOOSE(CONTROL!$C$15, $D$11, 100%, $F$11)</f>
        <v>13.8759</v>
      </c>
      <c r="J541" s="4">
        <f>CHOOSE( CONTROL!$C$32, 13.7861, 13.7857) * CHOOSE(CONTROL!$C$15, $D$11, 100%, $F$11)</f>
        <v>13.786099999999999</v>
      </c>
      <c r="K541" s="4"/>
      <c r="L541" s="9">
        <v>29.7257</v>
      </c>
      <c r="M541" s="9">
        <v>11.6745</v>
      </c>
      <c r="N541" s="9">
        <v>4.7850000000000001</v>
      </c>
      <c r="O541" s="9">
        <v>0.36199999999999999</v>
      </c>
      <c r="P541" s="9">
        <v>1.2509999999999999</v>
      </c>
      <c r="Q541" s="9">
        <v>19.053000000000001</v>
      </c>
      <c r="R541" s="9"/>
      <c r="S541" s="11"/>
    </row>
    <row r="542" spans="1:19" ht="15.75">
      <c r="A542" s="13">
        <v>57649</v>
      </c>
      <c r="B542" s="8">
        <f>CHOOSE( CONTROL!$C$32, 14.8454, 14.8452) * CHOOSE(CONTROL!$C$15, $D$11, 100%, $F$11)</f>
        <v>14.8454</v>
      </c>
      <c r="C542" s="8">
        <f>CHOOSE( CONTROL!$C$32, 14.8508, 14.8505) * CHOOSE(CONTROL!$C$15, $D$11, 100%, $F$11)</f>
        <v>14.8508</v>
      </c>
      <c r="D542" s="8">
        <f>CHOOSE( CONTROL!$C$32, 14.851, 14.8507) * CHOOSE( CONTROL!$C$15, $D$11, 100%, $F$11)</f>
        <v>14.851000000000001</v>
      </c>
      <c r="E542" s="12">
        <f>CHOOSE( CONTROL!$C$32, 14.8504, 14.8501) * CHOOSE( CONTROL!$C$15, $D$11, 100%, $F$11)</f>
        <v>14.8504</v>
      </c>
      <c r="F542" s="4">
        <f>CHOOSE( CONTROL!$C$32, 15.5541, 15.5538) * CHOOSE(CONTROL!$C$15, $D$11, 100%, $F$11)</f>
        <v>15.5541</v>
      </c>
      <c r="G542" s="8">
        <f>CHOOSE( CONTROL!$C$32, 14.6796, 14.6793) * CHOOSE( CONTROL!$C$15, $D$11, 100%, $F$11)</f>
        <v>14.679600000000001</v>
      </c>
      <c r="H542" s="4">
        <f>CHOOSE( CONTROL!$C$32, 15.6186, 15.6183) * CHOOSE(CONTROL!$C$15, $D$11, 100%, $F$11)</f>
        <v>15.618600000000001</v>
      </c>
      <c r="I542" s="8">
        <f>CHOOSE( CONTROL!$C$32, 14.4891, 14.4888) * CHOOSE(CONTROL!$C$15, $D$11, 100%, $F$11)</f>
        <v>14.489100000000001</v>
      </c>
      <c r="J542" s="4">
        <f>CHOOSE( CONTROL!$C$32, 14.3984, 14.3981) * CHOOSE(CONTROL!$C$15, $D$11, 100%, $F$11)</f>
        <v>14.398400000000001</v>
      </c>
      <c r="K542" s="4"/>
      <c r="L542" s="9">
        <v>31.095300000000002</v>
      </c>
      <c r="M542" s="9">
        <v>12.063700000000001</v>
      </c>
      <c r="N542" s="9">
        <v>4.9444999999999997</v>
      </c>
      <c r="O542" s="9">
        <v>0.37409999999999999</v>
      </c>
      <c r="P542" s="9">
        <v>1.2927</v>
      </c>
      <c r="Q542" s="9">
        <v>19.688099999999999</v>
      </c>
      <c r="R542" s="9"/>
      <c r="S542" s="11"/>
    </row>
    <row r="543" spans="1:19" ht="15.75">
      <c r="A543" s="13">
        <v>57679</v>
      </c>
      <c r="B543" s="8">
        <f>CHOOSE( CONTROL!$C$32, 16.0098, 16.0095) * CHOOSE(CONTROL!$C$15, $D$11, 100%, $F$11)</f>
        <v>16.009799999999998</v>
      </c>
      <c r="C543" s="8">
        <f>CHOOSE( CONTROL!$C$32, 16.0149, 16.0146) * CHOOSE(CONTROL!$C$15, $D$11, 100%, $F$11)</f>
        <v>16.014900000000001</v>
      </c>
      <c r="D543" s="8">
        <f>CHOOSE( CONTROL!$C$32, 15.9827, 15.9824) * CHOOSE( CONTROL!$C$15, $D$11, 100%, $F$11)</f>
        <v>15.982699999999999</v>
      </c>
      <c r="E543" s="12">
        <f>CHOOSE( CONTROL!$C$32, 15.9939, 15.9936) * CHOOSE( CONTROL!$C$15, $D$11, 100%, $F$11)</f>
        <v>15.9939</v>
      </c>
      <c r="F543" s="4">
        <f>CHOOSE( CONTROL!$C$32, 16.6751, 16.6748) * CHOOSE(CONTROL!$C$15, $D$11, 100%, $F$11)</f>
        <v>16.6751</v>
      </c>
      <c r="G543" s="8">
        <f>CHOOSE( CONTROL!$C$32, 15.8197, 15.8194) * CHOOSE( CONTROL!$C$15, $D$11, 100%, $F$11)</f>
        <v>15.819699999999999</v>
      </c>
      <c r="H543" s="4">
        <f>CHOOSE( CONTROL!$C$32, 16.7264, 16.7262) * CHOOSE(CONTROL!$C$15, $D$11, 100%, $F$11)</f>
        <v>16.726400000000002</v>
      </c>
      <c r="I543" s="8">
        <f>CHOOSE( CONTROL!$C$32, 15.6709, 15.6706) * CHOOSE(CONTROL!$C$15, $D$11, 100%, $F$11)</f>
        <v>15.6709</v>
      </c>
      <c r="J543" s="4">
        <f>CHOOSE( CONTROL!$C$32, 15.5287, 15.5285) * CHOOSE(CONTROL!$C$15, $D$11, 100%, $F$11)</f>
        <v>15.528700000000001</v>
      </c>
      <c r="K543" s="4"/>
      <c r="L543" s="9">
        <v>28.360600000000002</v>
      </c>
      <c r="M543" s="9">
        <v>11.6745</v>
      </c>
      <c r="N543" s="9">
        <v>4.7850000000000001</v>
      </c>
      <c r="O543" s="9">
        <v>0.36199999999999999</v>
      </c>
      <c r="P543" s="9">
        <v>1.2509999999999999</v>
      </c>
      <c r="Q543" s="9">
        <v>19.053000000000001</v>
      </c>
      <c r="R543" s="9"/>
      <c r="S543" s="11"/>
    </row>
    <row r="544" spans="1:19" ht="15.75">
      <c r="A544" s="13">
        <v>57710</v>
      </c>
      <c r="B544" s="8">
        <f>CHOOSE( CONTROL!$C$32, 15.9807, 15.9804) * CHOOSE(CONTROL!$C$15, $D$11, 100%, $F$11)</f>
        <v>15.980700000000001</v>
      </c>
      <c r="C544" s="8">
        <f>CHOOSE( CONTROL!$C$32, 15.9857, 15.9855) * CHOOSE(CONTROL!$C$15, $D$11, 100%, $F$11)</f>
        <v>15.9857</v>
      </c>
      <c r="D544" s="8">
        <f>CHOOSE( CONTROL!$C$32, 15.9555, 15.9552) * CHOOSE( CONTROL!$C$15, $D$11, 100%, $F$11)</f>
        <v>15.955500000000001</v>
      </c>
      <c r="E544" s="12">
        <f>CHOOSE( CONTROL!$C$32, 15.966, 15.9657) * CHOOSE( CONTROL!$C$15, $D$11, 100%, $F$11)</f>
        <v>15.965999999999999</v>
      </c>
      <c r="F544" s="4">
        <f>CHOOSE( CONTROL!$C$32, 16.646, 16.6457) * CHOOSE(CONTROL!$C$15, $D$11, 100%, $F$11)</f>
        <v>16.646000000000001</v>
      </c>
      <c r="G544" s="8">
        <f>CHOOSE( CONTROL!$C$32, 15.7922, 15.7919) * CHOOSE( CONTROL!$C$15, $D$11, 100%, $F$11)</f>
        <v>15.792199999999999</v>
      </c>
      <c r="H544" s="4">
        <f>CHOOSE( CONTROL!$C$32, 16.6977, 16.6974) * CHOOSE(CONTROL!$C$15, $D$11, 100%, $F$11)</f>
        <v>16.697700000000001</v>
      </c>
      <c r="I544" s="8">
        <f>CHOOSE( CONTROL!$C$32, 15.6483, 15.6481) * CHOOSE(CONTROL!$C$15, $D$11, 100%, $F$11)</f>
        <v>15.648300000000001</v>
      </c>
      <c r="J544" s="4">
        <f>CHOOSE( CONTROL!$C$32, 15.5005, 15.5002) * CHOOSE(CONTROL!$C$15, $D$11, 100%, $F$11)</f>
        <v>15.500500000000001</v>
      </c>
      <c r="K544" s="4"/>
      <c r="L544" s="9">
        <v>29.306000000000001</v>
      </c>
      <c r="M544" s="9">
        <v>12.063700000000001</v>
      </c>
      <c r="N544" s="9">
        <v>4.9444999999999997</v>
      </c>
      <c r="O544" s="9">
        <v>0.37409999999999999</v>
      </c>
      <c r="P544" s="9">
        <v>1.2927</v>
      </c>
      <c r="Q544" s="9">
        <v>19.688099999999999</v>
      </c>
      <c r="R544" s="9"/>
      <c r="S544" s="11"/>
    </row>
    <row r="545" spans="1:19" ht="15.75">
      <c r="A545" s="13">
        <v>57741</v>
      </c>
      <c r="B545" s="8">
        <f>CHOOSE( CONTROL!$C$32, 16.4518, 16.4515) * CHOOSE(CONTROL!$C$15, $D$11, 100%, $F$11)</f>
        <v>16.451799999999999</v>
      </c>
      <c r="C545" s="8">
        <f>CHOOSE( CONTROL!$C$32, 16.4569, 16.4566) * CHOOSE(CONTROL!$C$15, $D$11, 100%, $F$11)</f>
        <v>16.456900000000001</v>
      </c>
      <c r="D545" s="8">
        <f>CHOOSE( CONTROL!$C$32, 16.4545, 16.4542) * CHOOSE( CONTROL!$C$15, $D$11, 100%, $F$11)</f>
        <v>16.454499999999999</v>
      </c>
      <c r="E545" s="12">
        <f>CHOOSE( CONTROL!$C$32, 16.4548, 16.4545) * CHOOSE( CONTROL!$C$15, $D$11, 100%, $F$11)</f>
        <v>16.454799999999999</v>
      </c>
      <c r="F545" s="4">
        <f>CHOOSE( CONTROL!$C$32, 17.1171, 17.1168) * CHOOSE(CONTROL!$C$15, $D$11, 100%, $F$11)</f>
        <v>17.117100000000001</v>
      </c>
      <c r="G545" s="8">
        <f>CHOOSE( CONTROL!$C$32, 16.2739, 16.2737) * CHOOSE( CONTROL!$C$15, $D$11, 100%, $F$11)</f>
        <v>16.273900000000001</v>
      </c>
      <c r="H545" s="4">
        <f>CHOOSE( CONTROL!$C$32, 17.1632, 17.163) * CHOOSE(CONTROL!$C$15, $D$11, 100%, $F$11)</f>
        <v>17.1632</v>
      </c>
      <c r="I545" s="8">
        <f>CHOOSE( CONTROL!$C$32, 16.0793, 16.079) * CHOOSE(CONTROL!$C$15, $D$11, 100%, $F$11)</f>
        <v>16.0793</v>
      </c>
      <c r="J545" s="4">
        <f>CHOOSE( CONTROL!$C$32, 15.9577, 15.9574) * CHOOSE(CONTROL!$C$15, $D$11, 100%, $F$11)</f>
        <v>15.957700000000001</v>
      </c>
      <c r="K545" s="4"/>
      <c r="L545" s="9">
        <v>29.306000000000001</v>
      </c>
      <c r="M545" s="9">
        <v>12.063700000000001</v>
      </c>
      <c r="N545" s="9">
        <v>4.9444999999999997</v>
      </c>
      <c r="O545" s="9">
        <v>0.37409999999999999</v>
      </c>
      <c r="P545" s="9">
        <v>1.2927</v>
      </c>
      <c r="Q545" s="9">
        <v>19.688099999999999</v>
      </c>
      <c r="R545" s="9"/>
      <c r="S545" s="11"/>
    </row>
    <row r="546" spans="1:19" ht="15.75">
      <c r="A546" s="13">
        <v>57769</v>
      </c>
      <c r="B546" s="8">
        <f>CHOOSE( CONTROL!$C$32, 15.3888, 15.3885) * CHOOSE(CONTROL!$C$15, $D$11, 100%, $F$11)</f>
        <v>15.3888</v>
      </c>
      <c r="C546" s="8">
        <f>CHOOSE( CONTROL!$C$32, 15.3939, 15.3936) * CHOOSE(CONTROL!$C$15, $D$11, 100%, $F$11)</f>
        <v>15.3939</v>
      </c>
      <c r="D546" s="8">
        <f>CHOOSE( CONTROL!$C$32, 15.3738, 15.3736) * CHOOSE( CONTROL!$C$15, $D$11, 100%, $F$11)</f>
        <v>15.373799999999999</v>
      </c>
      <c r="E546" s="12">
        <f>CHOOSE( CONTROL!$C$32, 15.3806, 15.3804) * CHOOSE( CONTROL!$C$15, $D$11, 100%, $F$11)</f>
        <v>15.380599999999999</v>
      </c>
      <c r="F546" s="4">
        <f>CHOOSE( CONTROL!$C$32, 16.0541, 16.0538) * CHOOSE(CONTROL!$C$15, $D$11, 100%, $F$11)</f>
        <v>16.054099999999998</v>
      </c>
      <c r="G546" s="8">
        <f>CHOOSE( CONTROL!$C$32, 15.2123, 15.212) * CHOOSE( CONTROL!$C$15, $D$11, 100%, $F$11)</f>
        <v>15.212300000000001</v>
      </c>
      <c r="H546" s="4">
        <f>CHOOSE( CONTROL!$C$32, 16.1127, 16.1124) * CHOOSE(CONTROL!$C$15, $D$11, 100%, $F$11)</f>
        <v>16.1127</v>
      </c>
      <c r="I546" s="8">
        <f>CHOOSE( CONTROL!$C$32, 15.0476, 15.0473) * CHOOSE(CONTROL!$C$15, $D$11, 100%, $F$11)</f>
        <v>15.047599999999999</v>
      </c>
      <c r="J546" s="4">
        <f>CHOOSE( CONTROL!$C$32, 14.9261, 14.9258) * CHOOSE(CONTROL!$C$15, $D$11, 100%, $F$11)</f>
        <v>14.9261</v>
      </c>
      <c r="K546" s="4"/>
      <c r="L546" s="9">
        <v>26.469899999999999</v>
      </c>
      <c r="M546" s="9">
        <v>10.8962</v>
      </c>
      <c r="N546" s="9">
        <v>4.4660000000000002</v>
      </c>
      <c r="O546" s="9">
        <v>0.33789999999999998</v>
      </c>
      <c r="P546" s="9">
        <v>1.1676</v>
      </c>
      <c r="Q546" s="9">
        <v>17.782800000000002</v>
      </c>
      <c r="R546" s="9"/>
      <c r="S546" s="11"/>
    </row>
    <row r="547" spans="1:19" ht="15.75">
      <c r="A547" s="13">
        <v>57800</v>
      </c>
      <c r="B547" s="8">
        <f>CHOOSE( CONTROL!$C$32, 15.0614, 15.0611) * CHOOSE(CONTROL!$C$15, $D$11, 100%, $F$11)</f>
        <v>15.061400000000001</v>
      </c>
      <c r="C547" s="8">
        <f>CHOOSE( CONTROL!$C$32, 15.0665, 15.0662) * CHOOSE(CONTROL!$C$15, $D$11, 100%, $F$11)</f>
        <v>15.0665</v>
      </c>
      <c r="D547" s="8">
        <f>CHOOSE( CONTROL!$C$32, 15.0365, 15.0362) * CHOOSE( CONTROL!$C$15, $D$11, 100%, $F$11)</f>
        <v>15.0365</v>
      </c>
      <c r="E547" s="12">
        <f>CHOOSE( CONTROL!$C$32, 15.0469, 15.0466) * CHOOSE( CONTROL!$C$15, $D$11, 100%, $F$11)</f>
        <v>15.046900000000001</v>
      </c>
      <c r="F547" s="4">
        <f>CHOOSE( CONTROL!$C$32, 15.7267, 15.7264) * CHOOSE(CONTROL!$C$15, $D$11, 100%, $F$11)</f>
        <v>15.726699999999999</v>
      </c>
      <c r="G547" s="8">
        <f>CHOOSE( CONTROL!$C$32, 14.8755, 14.8752) * CHOOSE( CONTROL!$C$15, $D$11, 100%, $F$11)</f>
        <v>14.875500000000001</v>
      </c>
      <c r="H547" s="4">
        <f>CHOOSE( CONTROL!$C$32, 15.7892, 15.7889) * CHOOSE(CONTROL!$C$15, $D$11, 100%, $F$11)</f>
        <v>15.789199999999999</v>
      </c>
      <c r="I547" s="8">
        <f>CHOOSE( CONTROL!$C$32, 14.6945, 14.6942) * CHOOSE(CONTROL!$C$15, $D$11, 100%, $F$11)</f>
        <v>14.6945</v>
      </c>
      <c r="J547" s="4">
        <f>CHOOSE( CONTROL!$C$32, 14.6083, 14.6081) * CHOOSE(CONTROL!$C$15, $D$11, 100%, $F$11)</f>
        <v>14.6083</v>
      </c>
      <c r="K547" s="4"/>
      <c r="L547" s="9">
        <v>29.306000000000001</v>
      </c>
      <c r="M547" s="9">
        <v>12.063700000000001</v>
      </c>
      <c r="N547" s="9">
        <v>4.9444999999999997</v>
      </c>
      <c r="O547" s="9">
        <v>0.37409999999999999</v>
      </c>
      <c r="P547" s="9">
        <v>1.2927</v>
      </c>
      <c r="Q547" s="9">
        <v>19.688099999999999</v>
      </c>
      <c r="R547" s="9"/>
      <c r="S547" s="11"/>
    </row>
    <row r="548" spans="1:19" ht="15.75">
      <c r="A548" s="13">
        <v>57830</v>
      </c>
      <c r="B548" s="8">
        <f>CHOOSE( CONTROL!$C$32, 15.2909, 15.2907) * CHOOSE(CONTROL!$C$15, $D$11, 100%, $F$11)</f>
        <v>15.290900000000001</v>
      </c>
      <c r="C548" s="8">
        <f>CHOOSE( CONTROL!$C$32, 15.2955, 15.2952) * CHOOSE(CONTROL!$C$15, $D$11, 100%, $F$11)</f>
        <v>15.295500000000001</v>
      </c>
      <c r="D548" s="8">
        <f>CHOOSE( CONTROL!$C$32, 15.2949, 15.2947) * CHOOSE( CONTROL!$C$15, $D$11, 100%, $F$11)</f>
        <v>15.2949</v>
      </c>
      <c r="E548" s="12">
        <f>CHOOSE( CONTROL!$C$32, 15.2946, 15.2944) * CHOOSE( CONTROL!$C$15, $D$11, 100%, $F$11)</f>
        <v>15.294600000000001</v>
      </c>
      <c r="F548" s="4">
        <f>CHOOSE( CONTROL!$C$32, 15.9993, 15.999) * CHOOSE(CONTROL!$C$15, $D$11, 100%, $F$11)</f>
        <v>15.9993</v>
      </c>
      <c r="G548" s="8">
        <f>CHOOSE( CONTROL!$C$32, 15.1186, 15.1183) * CHOOSE( CONTROL!$C$15, $D$11, 100%, $F$11)</f>
        <v>15.118600000000001</v>
      </c>
      <c r="H548" s="4">
        <f>CHOOSE( CONTROL!$C$32, 16.0585, 16.0583) * CHOOSE(CONTROL!$C$15, $D$11, 100%, $F$11)</f>
        <v>16.058499999999999</v>
      </c>
      <c r="I548" s="8">
        <f>CHOOSE( CONTROL!$C$32, 14.9171, 14.9169) * CHOOSE(CONTROL!$C$15, $D$11, 100%, $F$11)</f>
        <v>14.9171</v>
      </c>
      <c r="J548" s="4">
        <f>CHOOSE( CONTROL!$C$32, 14.8304, 14.8301) * CHOOSE(CONTROL!$C$15, $D$11, 100%, $F$11)</f>
        <v>14.830399999999999</v>
      </c>
      <c r="K548" s="4"/>
      <c r="L548" s="9">
        <v>30.092199999999998</v>
      </c>
      <c r="M548" s="9">
        <v>11.6745</v>
      </c>
      <c r="N548" s="9">
        <v>4.7850000000000001</v>
      </c>
      <c r="O548" s="9">
        <v>0.36199999999999999</v>
      </c>
      <c r="P548" s="9">
        <v>1.2509999999999999</v>
      </c>
      <c r="Q548" s="9">
        <v>19.053000000000001</v>
      </c>
      <c r="R548" s="9"/>
      <c r="S548" s="11"/>
    </row>
    <row r="549" spans="1:19" ht="15.75">
      <c r="A549" s="13">
        <v>57861</v>
      </c>
      <c r="B549" s="8">
        <f>CHOOSE( CONTROL!$C$32, 15.6997, 15.6992) * CHOOSE(CONTROL!$C$15, $D$11, 100%, $F$11)</f>
        <v>15.6997</v>
      </c>
      <c r="C549" s="8">
        <f>CHOOSE( CONTROL!$C$32, 15.7076, 15.7072) * CHOOSE(CONTROL!$C$15, $D$11, 100%, $F$11)</f>
        <v>15.707599999999999</v>
      </c>
      <c r="D549" s="8">
        <f>CHOOSE( CONTROL!$C$32, 15.7019, 15.7015) * CHOOSE( CONTROL!$C$15, $D$11, 100%, $F$11)</f>
        <v>15.7019</v>
      </c>
      <c r="E549" s="12">
        <f>CHOOSE( CONTROL!$C$32, 15.7028, 15.7023) * CHOOSE( CONTROL!$C$15, $D$11, 100%, $F$11)</f>
        <v>15.7028</v>
      </c>
      <c r="F549" s="4">
        <f>CHOOSE( CONTROL!$C$32, 16.4066, 16.4061) * CHOOSE(CONTROL!$C$15, $D$11, 100%, $F$11)</f>
        <v>16.406600000000001</v>
      </c>
      <c r="G549" s="8">
        <f>CHOOSE( CONTROL!$C$32, 15.5215, 15.521) * CHOOSE( CONTROL!$C$15, $D$11, 100%, $F$11)</f>
        <v>15.5215</v>
      </c>
      <c r="H549" s="4">
        <f>CHOOSE( CONTROL!$C$32, 16.4611, 16.4607) * CHOOSE(CONTROL!$C$15, $D$11, 100%, $F$11)</f>
        <v>16.461099999999998</v>
      </c>
      <c r="I549" s="8">
        <f>CHOOSE( CONTROL!$C$32, 15.3133, 15.3128) * CHOOSE(CONTROL!$C$15, $D$11, 100%, $F$11)</f>
        <v>15.3133</v>
      </c>
      <c r="J549" s="4">
        <f>CHOOSE( CONTROL!$C$32, 15.2257, 15.2253) * CHOOSE(CONTROL!$C$15, $D$11, 100%, $F$11)</f>
        <v>15.2257</v>
      </c>
      <c r="K549" s="4"/>
      <c r="L549" s="9">
        <v>30.7165</v>
      </c>
      <c r="M549" s="9">
        <v>12.063700000000001</v>
      </c>
      <c r="N549" s="9">
        <v>4.9444999999999997</v>
      </c>
      <c r="O549" s="9">
        <v>0.37409999999999999</v>
      </c>
      <c r="P549" s="9">
        <v>1.2927</v>
      </c>
      <c r="Q549" s="9">
        <v>19.688099999999999</v>
      </c>
      <c r="R549" s="9"/>
      <c r="S549" s="11"/>
    </row>
    <row r="550" spans="1:19" ht="15.75">
      <c r="A550" s="13">
        <v>57891</v>
      </c>
      <c r="B550" s="8">
        <f>CHOOSE( CONTROL!$C$32, 15.4474, 15.447) * CHOOSE(CONTROL!$C$15, $D$11, 100%, $F$11)</f>
        <v>15.4474</v>
      </c>
      <c r="C550" s="8">
        <f>CHOOSE( CONTROL!$C$32, 15.4554, 15.455) * CHOOSE(CONTROL!$C$15, $D$11, 100%, $F$11)</f>
        <v>15.455399999999999</v>
      </c>
      <c r="D550" s="8">
        <f>CHOOSE( CONTROL!$C$32, 15.4501, 15.4497) * CHOOSE( CONTROL!$C$15, $D$11, 100%, $F$11)</f>
        <v>15.450100000000001</v>
      </c>
      <c r="E550" s="12">
        <f>CHOOSE( CONTROL!$C$32, 15.4508, 15.4504) * CHOOSE( CONTROL!$C$15, $D$11, 100%, $F$11)</f>
        <v>15.450799999999999</v>
      </c>
      <c r="F550" s="4">
        <f>CHOOSE( CONTROL!$C$32, 16.1544, 16.1539) * CHOOSE(CONTROL!$C$15, $D$11, 100%, $F$11)</f>
        <v>16.154399999999999</v>
      </c>
      <c r="G550" s="8">
        <f>CHOOSE( CONTROL!$C$32, 15.2726, 15.2721) * CHOOSE( CONTROL!$C$15, $D$11, 100%, $F$11)</f>
        <v>15.272600000000001</v>
      </c>
      <c r="H550" s="4">
        <f>CHOOSE( CONTROL!$C$32, 16.2118, 16.2114) * CHOOSE(CONTROL!$C$15, $D$11, 100%, $F$11)</f>
        <v>16.2118</v>
      </c>
      <c r="I550" s="8">
        <f>CHOOSE( CONTROL!$C$32, 15.0698, 15.0693) * CHOOSE(CONTROL!$C$15, $D$11, 100%, $F$11)</f>
        <v>15.069800000000001</v>
      </c>
      <c r="J550" s="4">
        <f>CHOOSE( CONTROL!$C$32, 14.9809, 14.9805) * CHOOSE(CONTROL!$C$15, $D$11, 100%, $F$11)</f>
        <v>14.9809</v>
      </c>
      <c r="K550" s="4"/>
      <c r="L550" s="9">
        <v>29.7257</v>
      </c>
      <c r="M550" s="9">
        <v>11.6745</v>
      </c>
      <c r="N550" s="9">
        <v>4.7850000000000001</v>
      </c>
      <c r="O550" s="9">
        <v>0.36199999999999999</v>
      </c>
      <c r="P550" s="9">
        <v>1.2509999999999999</v>
      </c>
      <c r="Q550" s="9">
        <v>19.053000000000001</v>
      </c>
      <c r="R550" s="9"/>
      <c r="S550" s="11"/>
    </row>
    <row r="551" spans="1:19" ht="15.75">
      <c r="A551" s="13">
        <v>57922</v>
      </c>
      <c r="B551" s="8">
        <f>CHOOSE( CONTROL!$C$32, 16.1116, 16.1112) * CHOOSE(CONTROL!$C$15, $D$11, 100%, $F$11)</f>
        <v>16.111599999999999</v>
      </c>
      <c r="C551" s="8">
        <f>CHOOSE( CONTROL!$C$32, 16.1196, 16.1192) * CHOOSE(CONTROL!$C$15, $D$11, 100%, $F$11)</f>
        <v>16.119599999999998</v>
      </c>
      <c r="D551" s="8">
        <f>CHOOSE( CONTROL!$C$32, 16.1148, 16.1143) * CHOOSE( CONTROL!$C$15, $D$11, 100%, $F$11)</f>
        <v>16.114799999999999</v>
      </c>
      <c r="E551" s="12">
        <f>CHOOSE( CONTROL!$C$32, 16.1153, 16.1149) * CHOOSE( CONTROL!$C$15, $D$11, 100%, $F$11)</f>
        <v>16.115300000000001</v>
      </c>
      <c r="F551" s="4">
        <f>CHOOSE( CONTROL!$C$32, 16.8186, 16.8181) * CHOOSE(CONTROL!$C$15, $D$11, 100%, $F$11)</f>
        <v>16.8186</v>
      </c>
      <c r="G551" s="8">
        <f>CHOOSE( CONTROL!$C$32, 15.9293, 15.9289) * CHOOSE( CONTROL!$C$15, $D$11, 100%, $F$11)</f>
        <v>15.9293</v>
      </c>
      <c r="H551" s="4">
        <f>CHOOSE( CONTROL!$C$32, 16.8683, 16.8678) * CHOOSE(CONTROL!$C$15, $D$11, 100%, $F$11)</f>
        <v>16.868300000000001</v>
      </c>
      <c r="I551" s="8">
        <f>CHOOSE( CONTROL!$C$32, 15.7162, 15.7158) * CHOOSE(CONTROL!$C$15, $D$11, 100%, $F$11)</f>
        <v>15.716200000000001</v>
      </c>
      <c r="J551" s="4">
        <f>CHOOSE( CONTROL!$C$32, 15.6255, 15.6251) * CHOOSE(CONTROL!$C$15, $D$11, 100%, $F$11)</f>
        <v>15.625500000000001</v>
      </c>
      <c r="K551" s="4"/>
      <c r="L551" s="9">
        <v>30.7165</v>
      </c>
      <c r="M551" s="9">
        <v>12.063700000000001</v>
      </c>
      <c r="N551" s="9">
        <v>4.9444999999999997</v>
      </c>
      <c r="O551" s="9">
        <v>0.37409999999999999</v>
      </c>
      <c r="P551" s="9">
        <v>1.2927</v>
      </c>
      <c r="Q551" s="9">
        <v>19.688099999999999</v>
      </c>
      <c r="R551" s="9"/>
      <c r="S551" s="11"/>
    </row>
    <row r="552" spans="1:19" ht="15.75">
      <c r="A552" s="13">
        <v>57953</v>
      </c>
      <c r="B552" s="8">
        <f>CHOOSE( CONTROL!$C$32, 14.8688, 14.8684) * CHOOSE(CONTROL!$C$15, $D$11, 100%, $F$11)</f>
        <v>14.8688</v>
      </c>
      <c r="C552" s="8">
        <f>CHOOSE( CONTROL!$C$32, 14.8768, 14.8764) * CHOOSE(CONTROL!$C$15, $D$11, 100%, $F$11)</f>
        <v>14.876799999999999</v>
      </c>
      <c r="D552" s="8">
        <f>CHOOSE( CONTROL!$C$32, 14.8721, 14.8716) * CHOOSE( CONTROL!$C$15, $D$11, 100%, $F$11)</f>
        <v>14.8721</v>
      </c>
      <c r="E552" s="12">
        <f>CHOOSE( CONTROL!$C$32, 14.8726, 14.8721) * CHOOSE( CONTROL!$C$15, $D$11, 100%, $F$11)</f>
        <v>14.8726</v>
      </c>
      <c r="F552" s="4">
        <f>CHOOSE( CONTROL!$C$32, 15.5758, 15.5753) * CHOOSE(CONTROL!$C$15, $D$11, 100%, $F$11)</f>
        <v>15.575799999999999</v>
      </c>
      <c r="G552" s="8">
        <f>CHOOSE( CONTROL!$C$32, 14.7012, 14.7007) * CHOOSE( CONTROL!$C$15, $D$11, 100%, $F$11)</f>
        <v>14.7012</v>
      </c>
      <c r="H552" s="4">
        <f>CHOOSE( CONTROL!$C$32, 15.64, 15.6396) * CHOOSE(CONTROL!$C$15, $D$11, 100%, $F$11)</f>
        <v>15.64</v>
      </c>
      <c r="I552" s="8">
        <f>CHOOSE( CONTROL!$C$32, 14.51, 14.5095) * CHOOSE(CONTROL!$C$15, $D$11, 100%, $F$11)</f>
        <v>14.51</v>
      </c>
      <c r="J552" s="4">
        <f>CHOOSE( CONTROL!$C$32, 14.4194, 14.4189) * CHOOSE(CONTROL!$C$15, $D$11, 100%, $F$11)</f>
        <v>14.4194</v>
      </c>
      <c r="K552" s="4"/>
      <c r="L552" s="9">
        <v>30.7165</v>
      </c>
      <c r="M552" s="9">
        <v>12.063700000000001</v>
      </c>
      <c r="N552" s="9">
        <v>4.9444999999999997</v>
      </c>
      <c r="O552" s="9">
        <v>0.37409999999999999</v>
      </c>
      <c r="P552" s="9">
        <v>1.2927</v>
      </c>
      <c r="Q552" s="9">
        <v>19.688099999999999</v>
      </c>
      <c r="R552" s="9"/>
      <c r="S552" s="11"/>
    </row>
    <row r="553" spans="1:19" ht="15.75">
      <c r="A553" s="13">
        <v>57983</v>
      </c>
      <c r="B553" s="8">
        <f>CHOOSE( CONTROL!$C$32, 14.5576, 14.5572) * CHOOSE(CONTROL!$C$15, $D$11, 100%, $F$11)</f>
        <v>14.557600000000001</v>
      </c>
      <c r="C553" s="8">
        <f>CHOOSE( CONTROL!$C$32, 14.5656, 14.5651) * CHOOSE(CONTROL!$C$15, $D$11, 100%, $F$11)</f>
        <v>14.5656</v>
      </c>
      <c r="D553" s="8">
        <f>CHOOSE( CONTROL!$C$32, 14.5607, 14.5603) * CHOOSE( CONTROL!$C$15, $D$11, 100%, $F$11)</f>
        <v>14.560700000000001</v>
      </c>
      <c r="E553" s="12">
        <f>CHOOSE( CONTROL!$C$32, 14.5613, 14.5608) * CHOOSE( CONTROL!$C$15, $D$11, 100%, $F$11)</f>
        <v>14.561299999999999</v>
      </c>
      <c r="F553" s="4">
        <f>CHOOSE( CONTROL!$C$32, 15.2646, 15.2641) * CHOOSE(CONTROL!$C$15, $D$11, 100%, $F$11)</f>
        <v>15.2646</v>
      </c>
      <c r="G553" s="8">
        <f>CHOOSE( CONTROL!$C$32, 14.3935, 14.3931) * CHOOSE( CONTROL!$C$15, $D$11, 100%, $F$11)</f>
        <v>14.3935</v>
      </c>
      <c r="H553" s="4">
        <f>CHOOSE( CONTROL!$C$32, 15.3324, 15.332) * CHOOSE(CONTROL!$C$15, $D$11, 100%, $F$11)</f>
        <v>15.3324</v>
      </c>
      <c r="I553" s="8">
        <f>CHOOSE( CONTROL!$C$32, 14.2073, 14.2068) * CHOOSE(CONTROL!$C$15, $D$11, 100%, $F$11)</f>
        <v>14.2073</v>
      </c>
      <c r="J553" s="4">
        <f>CHOOSE( CONTROL!$C$32, 14.1174, 14.1169) * CHOOSE(CONTROL!$C$15, $D$11, 100%, $F$11)</f>
        <v>14.1174</v>
      </c>
      <c r="K553" s="4"/>
      <c r="L553" s="9">
        <v>29.7257</v>
      </c>
      <c r="M553" s="9">
        <v>11.6745</v>
      </c>
      <c r="N553" s="9">
        <v>4.7850000000000001</v>
      </c>
      <c r="O553" s="9">
        <v>0.36199999999999999</v>
      </c>
      <c r="P553" s="9">
        <v>1.2509999999999999</v>
      </c>
      <c r="Q553" s="9">
        <v>19.053000000000001</v>
      </c>
      <c r="R553" s="9"/>
      <c r="S553" s="11"/>
    </row>
    <row r="554" spans="1:19" ht="15.75">
      <c r="A554" s="13">
        <v>58014</v>
      </c>
      <c r="B554" s="8">
        <f>CHOOSE( CONTROL!$C$32, 15.2019, 15.2016) * CHOOSE(CONTROL!$C$15, $D$11, 100%, $F$11)</f>
        <v>15.2019</v>
      </c>
      <c r="C554" s="8">
        <f>CHOOSE( CONTROL!$C$32, 15.2072, 15.207) * CHOOSE(CONTROL!$C$15, $D$11, 100%, $F$11)</f>
        <v>15.2072</v>
      </c>
      <c r="D554" s="8">
        <f>CHOOSE( CONTROL!$C$32, 15.2074, 15.2072) * CHOOSE( CONTROL!$C$15, $D$11, 100%, $F$11)</f>
        <v>15.2074</v>
      </c>
      <c r="E554" s="12">
        <f>CHOOSE( CONTROL!$C$32, 15.2068, 15.2066) * CHOOSE( CONTROL!$C$15, $D$11, 100%, $F$11)</f>
        <v>15.206799999999999</v>
      </c>
      <c r="F554" s="4">
        <f>CHOOSE( CONTROL!$C$32, 15.9106, 15.9103) * CHOOSE(CONTROL!$C$15, $D$11, 100%, $F$11)</f>
        <v>15.910600000000001</v>
      </c>
      <c r="G554" s="8">
        <f>CHOOSE( CONTROL!$C$32, 15.0319, 15.0316) * CHOOSE( CONTROL!$C$15, $D$11, 100%, $F$11)</f>
        <v>15.0319</v>
      </c>
      <c r="H554" s="4">
        <f>CHOOSE( CONTROL!$C$32, 15.9709, 15.9706) * CHOOSE(CONTROL!$C$15, $D$11, 100%, $F$11)</f>
        <v>15.9709</v>
      </c>
      <c r="I554" s="8">
        <f>CHOOSE( CONTROL!$C$32, 14.8352, 14.8349) * CHOOSE(CONTROL!$C$15, $D$11, 100%, $F$11)</f>
        <v>14.8352</v>
      </c>
      <c r="J554" s="4">
        <f>CHOOSE( CONTROL!$C$32, 14.7443, 14.744) * CHOOSE(CONTROL!$C$15, $D$11, 100%, $F$11)</f>
        <v>14.744300000000001</v>
      </c>
      <c r="K554" s="4"/>
      <c r="L554" s="9">
        <v>31.095300000000002</v>
      </c>
      <c r="M554" s="9">
        <v>12.063700000000001</v>
      </c>
      <c r="N554" s="9">
        <v>4.9444999999999997</v>
      </c>
      <c r="O554" s="9">
        <v>0.37409999999999999</v>
      </c>
      <c r="P554" s="9">
        <v>1.2927</v>
      </c>
      <c r="Q554" s="9">
        <v>19.688099999999999</v>
      </c>
      <c r="R554" s="9"/>
      <c r="S554" s="11"/>
    </row>
    <row r="555" spans="1:19" ht="15.75">
      <c r="A555" s="13">
        <v>58044</v>
      </c>
      <c r="B555" s="8">
        <f>CHOOSE( CONTROL!$C$32, 16.3942, 16.394) * CHOOSE(CONTROL!$C$15, $D$11, 100%, $F$11)</f>
        <v>16.394200000000001</v>
      </c>
      <c r="C555" s="8">
        <f>CHOOSE( CONTROL!$C$32, 16.3993, 16.399) * CHOOSE(CONTROL!$C$15, $D$11, 100%, $F$11)</f>
        <v>16.3993</v>
      </c>
      <c r="D555" s="8">
        <f>CHOOSE( CONTROL!$C$32, 16.3672, 16.3669) * CHOOSE( CONTROL!$C$15, $D$11, 100%, $F$11)</f>
        <v>16.3672</v>
      </c>
      <c r="E555" s="12">
        <f>CHOOSE( CONTROL!$C$32, 16.3784, 16.3781) * CHOOSE( CONTROL!$C$15, $D$11, 100%, $F$11)</f>
        <v>16.378399999999999</v>
      </c>
      <c r="F555" s="4">
        <f>CHOOSE( CONTROL!$C$32, 17.0595, 17.0592) * CHOOSE(CONTROL!$C$15, $D$11, 100%, $F$11)</f>
        <v>17.0595</v>
      </c>
      <c r="G555" s="8">
        <f>CHOOSE( CONTROL!$C$32, 16.1996, 16.1993) * CHOOSE( CONTROL!$C$15, $D$11, 100%, $F$11)</f>
        <v>16.1996</v>
      </c>
      <c r="H555" s="4">
        <f>CHOOSE( CONTROL!$C$32, 17.1064, 17.1061) * CHOOSE(CONTROL!$C$15, $D$11, 100%, $F$11)</f>
        <v>17.106400000000001</v>
      </c>
      <c r="I555" s="8">
        <f>CHOOSE( CONTROL!$C$32, 16.0442, 16.0439) * CHOOSE(CONTROL!$C$15, $D$11, 100%, $F$11)</f>
        <v>16.0442</v>
      </c>
      <c r="J555" s="4">
        <f>CHOOSE( CONTROL!$C$32, 15.9018, 15.9016) * CHOOSE(CONTROL!$C$15, $D$11, 100%, $F$11)</f>
        <v>15.9018</v>
      </c>
      <c r="K555" s="4"/>
      <c r="L555" s="9">
        <v>28.360600000000002</v>
      </c>
      <c r="M555" s="9">
        <v>11.6745</v>
      </c>
      <c r="N555" s="9">
        <v>4.7850000000000001</v>
      </c>
      <c r="O555" s="9">
        <v>0.36199999999999999</v>
      </c>
      <c r="P555" s="9">
        <v>1.2509999999999999</v>
      </c>
      <c r="Q555" s="9">
        <v>19.053000000000001</v>
      </c>
      <c r="R555" s="9"/>
      <c r="S555" s="11"/>
    </row>
    <row r="556" spans="1:19" ht="15.75">
      <c r="A556" s="13">
        <v>58075</v>
      </c>
      <c r="B556" s="8">
        <f>CHOOSE( CONTROL!$C$32, 16.3644, 16.3642) * CHOOSE(CONTROL!$C$15, $D$11, 100%, $F$11)</f>
        <v>16.3644</v>
      </c>
      <c r="C556" s="8">
        <f>CHOOSE( CONTROL!$C$32, 16.3695, 16.3692) * CHOOSE(CONTROL!$C$15, $D$11, 100%, $F$11)</f>
        <v>16.369499999999999</v>
      </c>
      <c r="D556" s="8">
        <f>CHOOSE( CONTROL!$C$32, 16.3392, 16.3389) * CHOOSE( CONTROL!$C$15, $D$11, 100%, $F$11)</f>
        <v>16.339200000000002</v>
      </c>
      <c r="E556" s="12">
        <f>CHOOSE( CONTROL!$C$32, 16.3497, 16.3494) * CHOOSE( CONTROL!$C$15, $D$11, 100%, $F$11)</f>
        <v>16.349699999999999</v>
      </c>
      <c r="F556" s="4">
        <f>CHOOSE( CONTROL!$C$32, 17.0297, 17.0294) * CHOOSE(CONTROL!$C$15, $D$11, 100%, $F$11)</f>
        <v>17.029699999999998</v>
      </c>
      <c r="G556" s="8">
        <f>CHOOSE( CONTROL!$C$32, 16.1715, 16.1712) * CHOOSE( CONTROL!$C$15, $D$11, 100%, $F$11)</f>
        <v>16.171500000000002</v>
      </c>
      <c r="H556" s="4">
        <f>CHOOSE( CONTROL!$C$32, 17.0769, 17.0766) * CHOOSE(CONTROL!$C$15, $D$11, 100%, $F$11)</f>
        <v>17.076899999999998</v>
      </c>
      <c r="I556" s="8">
        <f>CHOOSE( CONTROL!$C$32, 16.0209, 16.0207) * CHOOSE(CONTROL!$C$15, $D$11, 100%, $F$11)</f>
        <v>16.020900000000001</v>
      </c>
      <c r="J556" s="4">
        <f>CHOOSE( CONTROL!$C$32, 15.8729, 15.8727) * CHOOSE(CONTROL!$C$15, $D$11, 100%, $F$11)</f>
        <v>15.8729</v>
      </c>
      <c r="K556" s="4"/>
      <c r="L556" s="9">
        <v>29.306000000000001</v>
      </c>
      <c r="M556" s="9">
        <v>12.063700000000001</v>
      </c>
      <c r="N556" s="9">
        <v>4.9444999999999997</v>
      </c>
      <c r="O556" s="9">
        <v>0.37409999999999999</v>
      </c>
      <c r="P556" s="9">
        <v>1.2927</v>
      </c>
      <c r="Q556" s="9">
        <v>19.688099999999999</v>
      </c>
      <c r="R556" s="9"/>
      <c r="S556" s="11"/>
    </row>
    <row r="557" spans="1:19" ht="15.75">
      <c r="A557" s="13">
        <v>58106</v>
      </c>
      <c r="B557" s="8">
        <f>CHOOSE( CONTROL!$C$32, 16.8468, 16.8466) * CHOOSE(CONTROL!$C$15, $D$11, 100%, $F$11)</f>
        <v>16.846800000000002</v>
      </c>
      <c r="C557" s="8">
        <f>CHOOSE( CONTROL!$C$32, 16.8519, 16.8517) * CHOOSE(CONTROL!$C$15, $D$11, 100%, $F$11)</f>
        <v>16.851900000000001</v>
      </c>
      <c r="D557" s="8">
        <f>CHOOSE( CONTROL!$C$32, 16.8496, 16.8493) * CHOOSE( CONTROL!$C$15, $D$11, 100%, $F$11)</f>
        <v>16.849599999999999</v>
      </c>
      <c r="E557" s="12">
        <f>CHOOSE( CONTROL!$C$32, 16.8499, 16.8496) * CHOOSE( CONTROL!$C$15, $D$11, 100%, $F$11)</f>
        <v>16.849900000000002</v>
      </c>
      <c r="F557" s="4">
        <f>CHOOSE( CONTROL!$C$32, 17.5121, 17.5119) * CHOOSE(CONTROL!$C$15, $D$11, 100%, $F$11)</f>
        <v>17.5121</v>
      </c>
      <c r="G557" s="8">
        <f>CHOOSE( CONTROL!$C$32, 16.6644, 16.6641) * CHOOSE( CONTROL!$C$15, $D$11, 100%, $F$11)</f>
        <v>16.664400000000001</v>
      </c>
      <c r="H557" s="4">
        <f>CHOOSE( CONTROL!$C$32, 17.5537, 17.5534) * CHOOSE(CONTROL!$C$15, $D$11, 100%, $F$11)</f>
        <v>17.553699999999999</v>
      </c>
      <c r="I557" s="8">
        <f>CHOOSE( CONTROL!$C$32, 16.4629, 16.4626) * CHOOSE(CONTROL!$C$15, $D$11, 100%, $F$11)</f>
        <v>16.462900000000001</v>
      </c>
      <c r="J557" s="4">
        <f>CHOOSE( CONTROL!$C$32, 16.3411, 16.3408) * CHOOSE(CONTROL!$C$15, $D$11, 100%, $F$11)</f>
        <v>16.341100000000001</v>
      </c>
      <c r="K557" s="4"/>
      <c r="L557" s="9">
        <v>29.306000000000001</v>
      </c>
      <c r="M557" s="9">
        <v>12.063700000000001</v>
      </c>
      <c r="N557" s="9">
        <v>4.9444999999999997</v>
      </c>
      <c r="O557" s="9">
        <v>0.37409999999999999</v>
      </c>
      <c r="P557" s="9">
        <v>1.2927</v>
      </c>
      <c r="Q557" s="9">
        <v>19.688099999999999</v>
      </c>
      <c r="R557" s="9"/>
      <c r="S557" s="11"/>
    </row>
    <row r="558" spans="1:19" ht="15.75">
      <c r="A558" s="13">
        <v>58134</v>
      </c>
      <c r="B558" s="8">
        <f>CHOOSE( CONTROL!$C$32, 15.7583, 15.7581) * CHOOSE(CONTROL!$C$15, $D$11, 100%, $F$11)</f>
        <v>15.7583</v>
      </c>
      <c r="C558" s="8">
        <f>CHOOSE( CONTROL!$C$32, 15.7634, 15.7631) * CHOOSE(CONTROL!$C$15, $D$11, 100%, $F$11)</f>
        <v>15.763400000000001</v>
      </c>
      <c r="D558" s="8">
        <f>CHOOSE( CONTROL!$C$32, 15.7434, 15.7431) * CHOOSE( CONTROL!$C$15, $D$11, 100%, $F$11)</f>
        <v>15.743399999999999</v>
      </c>
      <c r="E558" s="12">
        <f>CHOOSE( CONTROL!$C$32, 15.7502, 15.7499) * CHOOSE( CONTROL!$C$15, $D$11, 100%, $F$11)</f>
        <v>15.7502</v>
      </c>
      <c r="F558" s="4">
        <f>CHOOSE( CONTROL!$C$32, 16.4236, 16.4233) * CHOOSE(CONTROL!$C$15, $D$11, 100%, $F$11)</f>
        <v>16.4236</v>
      </c>
      <c r="G558" s="8">
        <f>CHOOSE( CONTROL!$C$32, 15.5775, 15.5772) * CHOOSE( CONTROL!$C$15, $D$11, 100%, $F$11)</f>
        <v>15.577500000000001</v>
      </c>
      <c r="H558" s="4">
        <f>CHOOSE( CONTROL!$C$32, 16.4779, 16.4776) * CHOOSE(CONTROL!$C$15, $D$11, 100%, $F$11)</f>
        <v>16.477900000000002</v>
      </c>
      <c r="I558" s="8">
        <f>CHOOSE( CONTROL!$C$32, 15.4064, 15.4061) * CHOOSE(CONTROL!$C$15, $D$11, 100%, $F$11)</f>
        <v>15.4064</v>
      </c>
      <c r="J558" s="4">
        <f>CHOOSE( CONTROL!$C$32, 15.2847, 15.2844) * CHOOSE(CONTROL!$C$15, $D$11, 100%, $F$11)</f>
        <v>15.284700000000001</v>
      </c>
      <c r="K558" s="4"/>
      <c r="L558" s="9">
        <v>26.469899999999999</v>
      </c>
      <c r="M558" s="9">
        <v>10.8962</v>
      </c>
      <c r="N558" s="9">
        <v>4.4660000000000002</v>
      </c>
      <c r="O558" s="9">
        <v>0.33789999999999998</v>
      </c>
      <c r="P558" s="9">
        <v>1.1676</v>
      </c>
      <c r="Q558" s="9">
        <v>17.782800000000002</v>
      </c>
      <c r="R558" s="9"/>
      <c r="S558" s="11"/>
    </row>
    <row r="559" spans="1:19" ht="15.75">
      <c r="A559" s="13">
        <v>58165</v>
      </c>
      <c r="B559" s="8">
        <f>CHOOSE( CONTROL!$C$32, 15.4231, 15.4228) * CHOOSE(CONTROL!$C$15, $D$11, 100%, $F$11)</f>
        <v>15.4231</v>
      </c>
      <c r="C559" s="8">
        <f>CHOOSE( CONTROL!$C$32, 15.4281, 15.4279) * CHOOSE(CONTROL!$C$15, $D$11, 100%, $F$11)</f>
        <v>15.428100000000001</v>
      </c>
      <c r="D559" s="8">
        <f>CHOOSE( CONTROL!$C$32, 15.3982, 15.3979) * CHOOSE( CONTROL!$C$15, $D$11, 100%, $F$11)</f>
        <v>15.398199999999999</v>
      </c>
      <c r="E559" s="12">
        <f>CHOOSE( CONTROL!$C$32, 15.4086, 15.4083) * CHOOSE( CONTROL!$C$15, $D$11, 100%, $F$11)</f>
        <v>15.4086</v>
      </c>
      <c r="F559" s="4">
        <f>CHOOSE( CONTROL!$C$32, 16.0884, 16.0881) * CHOOSE(CONTROL!$C$15, $D$11, 100%, $F$11)</f>
        <v>16.0884</v>
      </c>
      <c r="G559" s="8">
        <f>CHOOSE( CONTROL!$C$32, 15.2329, 15.2326) * CHOOSE( CONTROL!$C$15, $D$11, 100%, $F$11)</f>
        <v>15.232900000000001</v>
      </c>
      <c r="H559" s="4">
        <f>CHOOSE( CONTROL!$C$32, 16.1466, 16.1463) * CHOOSE(CONTROL!$C$15, $D$11, 100%, $F$11)</f>
        <v>16.146599999999999</v>
      </c>
      <c r="I559" s="8">
        <f>CHOOSE( CONTROL!$C$32, 15.0456, 15.0454) * CHOOSE(CONTROL!$C$15, $D$11, 100%, $F$11)</f>
        <v>15.0456</v>
      </c>
      <c r="J559" s="4">
        <f>CHOOSE( CONTROL!$C$32, 14.9593, 14.9591) * CHOOSE(CONTROL!$C$15, $D$11, 100%, $F$11)</f>
        <v>14.959300000000001</v>
      </c>
      <c r="K559" s="4"/>
      <c r="L559" s="9">
        <v>29.306000000000001</v>
      </c>
      <c r="M559" s="9">
        <v>12.063700000000001</v>
      </c>
      <c r="N559" s="9">
        <v>4.9444999999999997</v>
      </c>
      <c r="O559" s="9">
        <v>0.37409999999999999</v>
      </c>
      <c r="P559" s="9">
        <v>1.2927</v>
      </c>
      <c r="Q559" s="9">
        <v>19.688099999999999</v>
      </c>
      <c r="R559" s="9"/>
      <c r="S559" s="11"/>
    </row>
    <row r="560" spans="1:19" ht="15.75">
      <c r="A560" s="13">
        <v>58195</v>
      </c>
      <c r="B560" s="8">
        <f>CHOOSE( CONTROL!$C$32, 15.6581, 15.6578) * CHOOSE(CONTROL!$C$15, $D$11, 100%, $F$11)</f>
        <v>15.658099999999999</v>
      </c>
      <c r="C560" s="8">
        <f>CHOOSE( CONTROL!$C$32, 15.6626, 15.6623) * CHOOSE(CONTROL!$C$15, $D$11, 100%, $F$11)</f>
        <v>15.662599999999999</v>
      </c>
      <c r="D560" s="8">
        <f>CHOOSE( CONTROL!$C$32, 15.6621, 15.6618) * CHOOSE( CONTROL!$C$15, $D$11, 100%, $F$11)</f>
        <v>15.662100000000001</v>
      </c>
      <c r="E560" s="12">
        <f>CHOOSE( CONTROL!$C$32, 15.6618, 15.6615) * CHOOSE( CONTROL!$C$15, $D$11, 100%, $F$11)</f>
        <v>15.661799999999999</v>
      </c>
      <c r="F560" s="4">
        <f>CHOOSE( CONTROL!$C$32, 16.3664, 16.3661) * CHOOSE(CONTROL!$C$15, $D$11, 100%, $F$11)</f>
        <v>16.366399999999999</v>
      </c>
      <c r="G560" s="8">
        <f>CHOOSE( CONTROL!$C$32, 15.4814, 15.4812) * CHOOSE( CONTROL!$C$15, $D$11, 100%, $F$11)</f>
        <v>15.481400000000001</v>
      </c>
      <c r="H560" s="4">
        <f>CHOOSE( CONTROL!$C$32, 16.4214, 16.4211) * CHOOSE(CONTROL!$C$15, $D$11, 100%, $F$11)</f>
        <v>16.421399999999998</v>
      </c>
      <c r="I560" s="8">
        <f>CHOOSE( CONTROL!$C$32, 15.2737, 15.2734) * CHOOSE(CONTROL!$C$15, $D$11, 100%, $F$11)</f>
        <v>15.2737</v>
      </c>
      <c r="J560" s="4">
        <f>CHOOSE( CONTROL!$C$32, 15.1867, 15.1864) * CHOOSE(CONTROL!$C$15, $D$11, 100%, $F$11)</f>
        <v>15.1867</v>
      </c>
      <c r="K560" s="4"/>
      <c r="L560" s="9">
        <v>30.092199999999998</v>
      </c>
      <c r="M560" s="9">
        <v>11.6745</v>
      </c>
      <c r="N560" s="9">
        <v>4.7850000000000001</v>
      </c>
      <c r="O560" s="9">
        <v>0.36199999999999999</v>
      </c>
      <c r="P560" s="9">
        <v>1.2509999999999999</v>
      </c>
      <c r="Q560" s="9">
        <v>19.053000000000001</v>
      </c>
      <c r="R560" s="9"/>
      <c r="S560" s="11"/>
    </row>
    <row r="561" spans="1:19" ht="15.75">
      <c r="A561" s="13">
        <v>58226</v>
      </c>
      <c r="B561" s="8">
        <f>CHOOSE( CONTROL!$C$32, 16.0766, 16.0762) * CHOOSE(CONTROL!$C$15, $D$11, 100%, $F$11)</f>
        <v>16.076599999999999</v>
      </c>
      <c r="C561" s="8">
        <f>CHOOSE( CONTROL!$C$32, 16.0846, 16.0841) * CHOOSE(CONTROL!$C$15, $D$11, 100%, $F$11)</f>
        <v>16.084599999999998</v>
      </c>
      <c r="D561" s="8">
        <f>CHOOSE( CONTROL!$C$32, 16.0789, 16.0784) * CHOOSE( CONTROL!$C$15, $D$11, 100%, $F$11)</f>
        <v>16.078900000000001</v>
      </c>
      <c r="E561" s="12">
        <f>CHOOSE( CONTROL!$C$32, 16.0797, 16.0793) * CHOOSE( CONTROL!$C$15, $D$11, 100%, $F$11)</f>
        <v>16.079699999999999</v>
      </c>
      <c r="F561" s="4">
        <f>CHOOSE( CONTROL!$C$32, 16.7835, 16.7831) * CHOOSE(CONTROL!$C$15, $D$11, 100%, $F$11)</f>
        <v>16.7835</v>
      </c>
      <c r="G561" s="8">
        <f>CHOOSE( CONTROL!$C$32, 15.894, 15.8936) * CHOOSE( CONTROL!$C$15, $D$11, 100%, $F$11)</f>
        <v>15.894</v>
      </c>
      <c r="H561" s="4">
        <f>CHOOSE( CONTROL!$C$32, 16.8336, 16.8332) * CHOOSE(CONTROL!$C$15, $D$11, 100%, $F$11)</f>
        <v>16.833600000000001</v>
      </c>
      <c r="I561" s="8">
        <f>CHOOSE( CONTROL!$C$32, 15.6793, 15.6788) * CHOOSE(CONTROL!$C$15, $D$11, 100%, $F$11)</f>
        <v>15.6793</v>
      </c>
      <c r="J561" s="4">
        <f>CHOOSE( CONTROL!$C$32, 15.5915, 15.5911) * CHOOSE(CONTROL!$C$15, $D$11, 100%, $F$11)</f>
        <v>15.5915</v>
      </c>
      <c r="K561" s="4"/>
      <c r="L561" s="9">
        <v>30.7165</v>
      </c>
      <c r="M561" s="9">
        <v>12.063700000000001</v>
      </c>
      <c r="N561" s="9">
        <v>4.9444999999999997</v>
      </c>
      <c r="O561" s="9">
        <v>0.37409999999999999</v>
      </c>
      <c r="P561" s="9">
        <v>1.2927</v>
      </c>
      <c r="Q561" s="9">
        <v>19.688099999999999</v>
      </c>
      <c r="R561" s="9"/>
      <c r="S561" s="11"/>
    </row>
    <row r="562" spans="1:19" ht="15.75">
      <c r="A562" s="13">
        <v>58256</v>
      </c>
      <c r="B562" s="8">
        <f>CHOOSE( CONTROL!$C$32, 15.8183, 15.8179) * CHOOSE(CONTROL!$C$15, $D$11, 100%, $F$11)</f>
        <v>15.818300000000001</v>
      </c>
      <c r="C562" s="8">
        <f>CHOOSE( CONTROL!$C$32, 15.8263, 15.8258) * CHOOSE(CONTROL!$C$15, $D$11, 100%, $F$11)</f>
        <v>15.8263</v>
      </c>
      <c r="D562" s="8">
        <f>CHOOSE( CONTROL!$C$32, 15.821, 15.8205) * CHOOSE( CONTROL!$C$15, $D$11, 100%, $F$11)</f>
        <v>15.821</v>
      </c>
      <c r="E562" s="12">
        <f>CHOOSE( CONTROL!$C$32, 15.8217, 15.8212) * CHOOSE( CONTROL!$C$15, $D$11, 100%, $F$11)</f>
        <v>15.8217</v>
      </c>
      <c r="F562" s="4">
        <f>CHOOSE( CONTROL!$C$32, 16.5253, 16.5248) * CHOOSE(CONTROL!$C$15, $D$11, 100%, $F$11)</f>
        <v>16.525300000000001</v>
      </c>
      <c r="G562" s="8">
        <f>CHOOSE( CONTROL!$C$32, 15.6391, 15.6386) * CHOOSE( CONTROL!$C$15, $D$11, 100%, $F$11)</f>
        <v>15.639099999999999</v>
      </c>
      <c r="H562" s="4">
        <f>CHOOSE( CONTROL!$C$32, 16.5784, 16.5779) * CHOOSE(CONTROL!$C$15, $D$11, 100%, $F$11)</f>
        <v>16.578399999999998</v>
      </c>
      <c r="I562" s="8">
        <f>CHOOSE( CONTROL!$C$32, 15.4299, 15.4294) * CHOOSE(CONTROL!$C$15, $D$11, 100%, $F$11)</f>
        <v>15.4299</v>
      </c>
      <c r="J562" s="4">
        <f>CHOOSE( CONTROL!$C$32, 15.3409, 15.3404) * CHOOSE(CONTROL!$C$15, $D$11, 100%, $F$11)</f>
        <v>15.3409</v>
      </c>
      <c r="K562" s="4"/>
      <c r="L562" s="9">
        <v>29.7257</v>
      </c>
      <c r="M562" s="9">
        <v>11.6745</v>
      </c>
      <c r="N562" s="9">
        <v>4.7850000000000001</v>
      </c>
      <c r="O562" s="9">
        <v>0.36199999999999999</v>
      </c>
      <c r="P562" s="9">
        <v>1.2509999999999999</v>
      </c>
      <c r="Q562" s="9">
        <v>19.053000000000001</v>
      </c>
      <c r="R562" s="9"/>
      <c r="S562" s="11"/>
    </row>
    <row r="563" spans="1:19" ht="15.75">
      <c r="A563" s="13">
        <v>58287</v>
      </c>
      <c r="B563" s="8">
        <f>CHOOSE( CONTROL!$C$32, 16.4985, 16.498) * CHOOSE(CONTROL!$C$15, $D$11, 100%, $F$11)</f>
        <v>16.4985</v>
      </c>
      <c r="C563" s="8">
        <f>CHOOSE( CONTROL!$C$32, 16.5065, 16.506) * CHOOSE(CONTROL!$C$15, $D$11, 100%, $F$11)</f>
        <v>16.506499999999999</v>
      </c>
      <c r="D563" s="8">
        <f>CHOOSE( CONTROL!$C$32, 16.5016, 16.5012) * CHOOSE( CONTROL!$C$15, $D$11, 100%, $F$11)</f>
        <v>16.5016</v>
      </c>
      <c r="E563" s="12">
        <f>CHOOSE( CONTROL!$C$32, 16.5022, 16.5017) * CHOOSE( CONTROL!$C$15, $D$11, 100%, $F$11)</f>
        <v>16.502199999999998</v>
      </c>
      <c r="F563" s="4">
        <f>CHOOSE( CONTROL!$C$32, 17.2054, 17.205) * CHOOSE(CONTROL!$C$15, $D$11, 100%, $F$11)</f>
        <v>17.205400000000001</v>
      </c>
      <c r="G563" s="8">
        <f>CHOOSE( CONTROL!$C$32, 16.3117, 16.3112) * CHOOSE( CONTROL!$C$15, $D$11, 100%, $F$11)</f>
        <v>16.311699999999998</v>
      </c>
      <c r="H563" s="4">
        <f>CHOOSE( CONTROL!$C$32, 17.2506, 17.2501) * CHOOSE(CONTROL!$C$15, $D$11, 100%, $F$11)</f>
        <v>17.250599999999999</v>
      </c>
      <c r="I563" s="8">
        <f>CHOOSE( CONTROL!$C$32, 16.0919, 16.0914) * CHOOSE(CONTROL!$C$15, $D$11, 100%, $F$11)</f>
        <v>16.091899999999999</v>
      </c>
      <c r="J563" s="4">
        <f>CHOOSE( CONTROL!$C$32, 16.001, 16.0005) * CHOOSE(CONTROL!$C$15, $D$11, 100%, $F$11)</f>
        <v>16.001000000000001</v>
      </c>
      <c r="K563" s="4"/>
      <c r="L563" s="9">
        <v>30.7165</v>
      </c>
      <c r="M563" s="9">
        <v>12.063700000000001</v>
      </c>
      <c r="N563" s="9">
        <v>4.9444999999999997</v>
      </c>
      <c r="O563" s="9">
        <v>0.37409999999999999</v>
      </c>
      <c r="P563" s="9">
        <v>1.2927</v>
      </c>
      <c r="Q563" s="9">
        <v>19.688099999999999</v>
      </c>
      <c r="R563" s="9"/>
      <c r="S563" s="11"/>
    </row>
    <row r="564" spans="1:19" ht="15.75">
      <c r="A564" s="13">
        <v>58318</v>
      </c>
      <c r="B564" s="8">
        <f>CHOOSE( CONTROL!$C$32, 15.2258, 15.2254) * CHOOSE(CONTROL!$C$15, $D$11, 100%, $F$11)</f>
        <v>15.2258</v>
      </c>
      <c r="C564" s="8">
        <f>CHOOSE( CONTROL!$C$32, 15.2338, 15.2333) * CHOOSE(CONTROL!$C$15, $D$11, 100%, $F$11)</f>
        <v>15.2338</v>
      </c>
      <c r="D564" s="8">
        <f>CHOOSE( CONTROL!$C$32, 15.2291, 15.2286) * CHOOSE( CONTROL!$C$15, $D$11, 100%, $F$11)</f>
        <v>15.229100000000001</v>
      </c>
      <c r="E564" s="12">
        <f>CHOOSE( CONTROL!$C$32, 15.2296, 15.2291) * CHOOSE( CONTROL!$C$15, $D$11, 100%, $F$11)</f>
        <v>15.2296</v>
      </c>
      <c r="F564" s="4">
        <f>CHOOSE( CONTROL!$C$32, 15.9328, 15.9323) * CHOOSE(CONTROL!$C$15, $D$11, 100%, $F$11)</f>
        <v>15.9328</v>
      </c>
      <c r="G564" s="8">
        <f>CHOOSE( CONTROL!$C$32, 15.054, 15.0535) * CHOOSE( CONTROL!$C$15, $D$11, 100%, $F$11)</f>
        <v>15.054</v>
      </c>
      <c r="H564" s="4">
        <f>CHOOSE( CONTROL!$C$32, 15.9928, 15.9924) * CHOOSE(CONTROL!$C$15, $D$11, 100%, $F$11)</f>
        <v>15.992800000000001</v>
      </c>
      <c r="I564" s="8">
        <f>CHOOSE( CONTROL!$C$32, 14.8566, 14.8561) * CHOOSE(CONTROL!$C$15, $D$11, 100%, $F$11)</f>
        <v>14.8566</v>
      </c>
      <c r="J564" s="4">
        <f>CHOOSE( CONTROL!$C$32, 14.7658, 14.7654) * CHOOSE(CONTROL!$C$15, $D$11, 100%, $F$11)</f>
        <v>14.7658</v>
      </c>
      <c r="K564" s="4"/>
      <c r="L564" s="9">
        <v>30.7165</v>
      </c>
      <c r="M564" s="9">
        <v>12.063700000000001</v>
      </c>
      <c r="N564" s="9">
        <v>4.9444999999999997</v>
      </c>
      <c r="O564" s="9">
        <v>0.37409999999999999</v>
      </c>
      <c r="P564" s="9">
        <v>1.2927</v>
      </c>
      <c r="Q564" s="9">
        <v>19.688099999999999</v>
      </c>
      <c r="R564" s="9"/>
      <c r="S564" s="11"/>
    </row>
    <row r="565" spans="1:19" ht="15.75">
      <c r="A565" s="13">
        <v>58348</v>
      </c>
      <c r="B565" s="8">
        <f>CHOOSE( CONTROL!$C$32, 14.9071, 14.9067) * CHOOSE(CONTROL!$C$15, $D$11, 100%, $F$11)</f>
        <v>14.9071</v>
      </c>
      <c r="C565" s="8">
        <f>CHOOSE( CONTROL!$C$32, 14.9151, 14.9146) * CHOOSE(CONTROL!$C$15, $D$11, 100%, $F$11)</f>
        <v>14.915100000000001</v>
      </c>
      <c r="D565" s="8">
        <f>CHOOSE( CONTROL!$C$32, 14.9102, 14.9098) * CHOOSE( CONTROL!$C$15, $D$11, 100%, $F$11)</f>
        <v>14.9102</v>
      </c>
      <c r="E565" s="12">
        <f>CHOOSE( CONTROL!$C$32, 14.9108, 14.9103) * CHOOSE( CONTROL!$C$15, $D$11, 100%, $F$11)</f>
        <v>14.9108</v>
      </c>
      <c r="F565" s="4">
        <f>CHOOSE( CONTROL!$C$32, 15.6141, 15.6136) * CHOOSE(CONTROL!$C$15, $D$11, 100%, $F$11)</f>
        <v>15.614100000000001</v>
      </c>
      <c r="G565" s="8">
        <f>CHOOSE( CONTROL!$C$32, 14.7389, 14.7385) * CHOOSE( CONTROL!$C$15, $D$11, 100%, $F$11)</f>
        <v>14.738899999999999</v>
      </c>
      <c r="H565" s="4">
        <f>CHOOSE( CONTROL!$C$32, 15.6779, 15.6774) * CHOOSE(CONTROL!$C$15, $D$11, 100%, $F$11)</f>
        <v>15.677899999999999</v>
      </c>
      <c r="I565" s="8">
        <f>CHOOSE( CONTROL!$C$32, 14.5466, 14.5462) * CHOOSE(CONTROL!$C$15, $D$11, 100%, $F$11)</f>
        <v>14.5466</v>
      </c>
      <c r="J565" s="4">
        <f>CHOOSE( CONTROL!$C$32, 14.4565, 14.4561) * CHOOSE(CONTROL!$C$15, $D$11, 100%, $F$11)</f>
        <v>14.4565</v>
      </c>
      <c r="K565" s="4"/>
      <c r="L565" s="9">
        <v>29.7257</v>
      </c>
      <c r="M565" s="9">
        <v>11.6745</v>
      </c>
      <c r="N565" s="9">
        <v>4.7850000000000001</v>
      </c>
      <c r="O565" s="9">
        <v>0.36199999999999999</v>
      </c>
      <c r="P565" s="9">
        <v>1.2509999999999999</v>
      </c>
      <c r="Q565" s="9">
        <v>19.053000000000001</v>
      </c>
      <c r="R565" s="9"/>
      <c r="S565" s="11"/>
    </row>
    <row r="566" spans="1:19" ht="15.75">
      <c r="A566" s="13">
        <v>58379</v>
      </c>
      <c r="B566" s="8">
        <f>CHOOSE( CONTROL!$C$32, 15.5669, 15.5667) * CHOOSE(CONTROL!$C$15, $D$11, 100%, $F$11)</f>
        <v>15.5669</v>
      </c>
      <c r="C566" s="8">
        <f>CHOOSE( CONTROL!$C$32, 15.5723, 15.572) * CHOOSE(CONTROL!$C$15, $D$11, 100%, $F$11)</f>
        <v>15.5723</v>
      </c>
      <c r="D566" s="8">
        <f>CHOOSE( CONTROL!$C$32, 15.5725, 15.5722) * CHOOSE( CONTROL!$C$15, $D$11, 100%, $F$11)</f>
        <v>15.5725</v>
      </c>
      <c r="E566" s="12">
        <f>CHOOSE( CONTROL!$C$32, 15.5719, 15.5716) * CHOOSE( CONTROL!$C$15, $D$11, 100%, $F$11)</f>
        <v>15.571899999999999</v>
      </c>
      <c r="F566" s="4">
        <f>CHOOSE( CONTROL!$C$32, 16.2756, 16.2753) * CHOOSE(CONTROL!$C$15, $D$11, 100%, $F$11)</f>
        <v>16.275600000000001</v>
      </c>
      <c r="G566" s="8">
        <f>CHOOSE( CONTROL!$C$32, 15.3927, 15.3924) * CHOOSE( CONTROL!$C$15, $D$11, 100%, $F$11)</f>
        <v>15.3927</v>
      </c>
      <c r="H566" s="4">
        <f>CHOOSE( CONTROL!$C$32, 16.3316, 16.3314) * CHOOSE(CONTROL!$C$15, $D$11, 100%, $F$11)</f>
        <v>16.331600000000002</v>
      </c>
      <c r="I566" s="8">
        <f>CHOOSE( CONTROL!$C$32, 15.1897, 15.1894) * CHOOSE(CONTROL!$C$15, $D$11, 100%, $F$11)</f>
        <v>15.1897</v>
      </c>
      <c r="J566" s="4">
        <f>CHOOSE( CONTROL!$C$32, 15.0986, 15.0983) * CHOOSE(CONTROL!$C$15, $D$11, 100%, $F$11)</f>
        <v>15.098599999999999</v>
      </c>
      <c r="K566" s="4"/>
      <c r="L566" s="9">
        <v>31.095300000000002</v>
      </c>
      <c r="M566" s="9">
        <v>12.063700000000001</v>
      </c>
      <c r="N566" s="9">
        <v>4.9444999999999997</v>
      </c>
      <c r="O566" s="9">
        <v>0.37409999999999999</v>
      </c>
      <c r="P566" s="9">
        <v>1.2927</v>
      </c>
      <c r="Q566" s="9">
        <v>19.688099999999999</v>
      </c>
      <c r="R566" s="9"/>
      <c r="S566" s="11"/>
    </row>
    <row r="567" spans="1:19" ht="15.75">
      <c r="A567" s="13">
        <v>58409</v>
      </c>
      <c r="B567" s="8">
        <f>CHOOSE( CONTROL!$C$32, 16.7879, 16.7876) * CHOOSE(CONTROL!$C$15, $D$11, 100%, $F$11)</f>
        <v>16.7879</v>
      </c>
      <c r="C567" s="8">
        <f>CHOOSE( CONTROL!$C$32, 16.793, 16.7927) * CHOOSE(CONTROL!$C$15, $D$11, 100%, $F$11)</f>
        <v>16.792999999999999</v>
      </c>
      <c r="D567" s="8">
        <f>CHOOSE( CONTROL!$C$32, 16.7609, 16.7606) * CHOOSE( CONTROL!$C$15, $D$11, 100%, $F$11)</f>
        <v>16.760899999999999</v>
      </c>
      <c r="E567" s="12">
        <f>CHOOSE( CONTROL!$C$32, 16.7721, 16.7718) * CHOOSE( CONTROL!$C$15, $D$11, 100%, $F$11)</f>
        <v>16.772099999999998</v>
      </c>
      <c r="F567" s="4">
        <f>CHOOSE( CONTROL!$C$32, 17.4532, 17.4529) * CHOOSE(CONTROL!$C$15, $D$11, 100%, $F$11)</f>
        <v>17.453199999999999</v>
      </c>
      <c r="G567" s="8">
        <f>CHOOSE( CONTROL!$C$32, 16.5887, 16.5884) * CHOOSE( CONTROL!$C$15, $D$11, 100%, $F$11)</f>
        <v>16.588699999999999</v>
      </c>
      <c r="H567" s="4">
        <f>CHOOSE( CONTROL!$C$32, 17.4954, 17.4952) * CHOOSE(CONTROL!$C$15, $D$11, 100%, $F$11)</f>
        <v>17.4954</v>
      </c>
      <c r="I567" s="8">
        <f>CHOOSE( CONTROL!$C$32, 16.4264, 16.4262) * CHOOSE(CONTROL!$C$15, $D$11, 100%, $F$11)</f>
        <v>16.426400000000001</v>
      </c>
      <c r="J567" s="4">
        <f>CHOOSE( CONTROL!$C$32, 16.2839, 16.2837) * CHOOSE(CONTROL!$C$15, $D$11, 100%, $F$11)</f>
        <v>16.283899999999999</v>
      </c>
      <c r="K567" s="4"/>
      <c r="L567" s="9">
        <v>28.360600000000002</v>
      </c>
      <c r="M567" s="9">
        <v>11.6745</v>
      </c>
      <c r="N567" s="9">
        <v>4.7850000000000001</v>
      </c>
      <c r="O567" s="9">
        <v>0.36199999999999999</v>
      </c>
      <c r="P567" s="9">
        <v>1.2509999999999999</v>
      </c>
      <c r="Q567" s="9">
        <v>19.053000000000001</v>
      </c>
      <c r="R567" s="9"/>
      <c r="S567" s="11"/>
    </row>
    <row r="568" spans="1:19" ht="15.75">
      <c r="A568" s="13">
        <v>58440</v>
      </c>
      <c r="B568" s="8">
        <f>CHOOSE( CONTROL!$C$32, 16.7574, 16.7571) * CHOOSE(CONTROL!$C$15, $D$11, 100%, $F$11)</f>
        <v>16.757400000000001</v>
      </c>
      <c r="C568" s="8">
        <f>CHOOSE( CONTROL!$C$32, 16.7625, 16.7622) * CHOOSE(CONTROL!$C$15, $D$11, 100%, $F$11)</f>
        <v>16.762499999999999</v>
      </c>
      <c r="D568" s="8">
        <f>CHOOSE( CONTROL!$C$32, 16.7322, 16.7319) * CHOOSE( CONTROL!$C$15, $D$11, 100%, $F$11)</f>
        <v>16.732199999999999</v>
      </c>
      <c r="E568" s="12">
        <f>CHOOSE( CONTROL!$C$32, 16.7427, 16.7424) * CHOOSE( CONTROL!$C$15, $D$11, 100%, $F$11)</f>
        <v>16.742699999999999</v>
      </c>
      <c r="F568" s="4">
        <f>CHOOSE( CONTROL!$C$32, 17.4227, 17.4224) * CHOOSE(CONTROL!$C$15, $D$11, 100%, $F$11)</f>
        <v>17.422699999999999</v>
      </c>
      <c r="G568" s="8">
        <f>CHOOSE( CONTROL!$C$32, 16.5598, 16.5596) * CHOOSE( CONTROL!$C$15, $D$11, 100%, $F$11)</f>
        <v>16.559799999999999</v>
      </c>
      <c r="H568" s="4">
        <f>CHOOSE( CONTROL!$C$32, 17.4653, 17.465) * CHOOSE(CONTROL!$C$15, $D$11, 100%, $F$11)</f>
        <v>17.465299999999999</v>
      </c>
      <c r="I568" s="8">
        <f>CHOOSE( CONTROL!$C$32, 16.4025, 16.4022) * CHOOSE(CONTROL!$C$15, $D$11, 100%, $F$11)</f>
        <v>16.4025</v>
      </c>
      <c r="J568" s="4">
        <f>CHOOSE( CONTROL!$C$32, 16.2543, 16.254) * CHOOSE(CONTROL!$C$15, $D$11, 100%, $F$11)</f>
        <v>16.254300000000001</v>
      </c>
      <c r="K568" s="4"/>
      <c r="L568" s="9">
        <v>29.306000000000001</v>
      </c>
      <c r="M568" s="9">
        <v>12.063700000000001</v>
      </c>
      <c r="N568" s="9">
        <v>4.9444999999999997</v>
      </c>
      <c r="O568" s="9">
        <v>0.37409999999999999</v>
      </c>
      <c r="P568" s="9">
        <v>1.2927</v>
      </c>
      <c r="Q568" s="9">
        <v>19.688099999999999</v>
      </c>
      <c r="R568" s="9"/>
      <c r="S568" s="11"/>
    </row>
    <row r="569" spans="1:19" ht="15.75">
      <c r="A569" s="13">
        <v>58471</v>
      </c>
      <c r="B569" s="8">
        <f>CHOOSE( CONTROL!$C$32, 17.2514, 17.2511) * CHOOSE(CONTROL!$C$15, $D$11, 100%, $F$11)</f>
        <v>17.2514</v>
      </c>
      <c r="C569" s="8">
        <f>CHOOSE( CONTROL!$C$32, 17.2565, 17.2562) * CHOOSE(CONTROL!$C$15, $D$11, 100%, $F$11)</f>
        <v>17.256499999999999</v>
      </c>
      <c r="D569" s="8">
        <f>CHOOSE( CONTROL!$C$32, 17.2541, 17.2538) * CHOOSE( CONTROL!$C$15, $D$11, 100%, $F$11)</f>
        <v>17.254100000000001</v>
      </c>
      <c r="E569" s="12">
        <f>CHOOSE( CONTROL!$C$32, 17.2544, 17.2541) * CHOOSE( CONTROL!$C$15, $D$11, 100%, $F$11)</f>
        <v>17.2544</v>
      </c>
      <c r="F569" s="4">
        <f>CHOOSE( CONTROL!$C$32, 17.9167, 17.9164) * CHOOSE(CONTROL!$C$15, $D$11, 100%, $F$11)</f>
        <v>17.916699999999999</v>
      </c>
      <c r="G569" s="8">
        <f>CHOOSE( CONTROL!$C$32, 17.0642, 17.0639) * CHOOSE( CONTROL!$C$15, $D$11, 100%, $F$11)</f>
        <v>17.0642</v>
      </c>
      <c r="H569" s="4">
        <f>CHOOSE( CONTROL!$C$32, 17.9535, 17.9532) * CHOOSE(CONTROL!$C$15, $D$11, 100%, $F$11)</f>
        <v>17.953499999999998</v>
      </c>
      <c r="I569" s="8">
        <f>CHOOSE( CONTROL!$C$32, 16.8557, 16.8555) * CHOOSE(CONTROL!$C$15, $D$11, 100%, $F$11)</f>
        <v>16.855699999999999</v>
      </c>
      <c r="J569" s="4">
        <f>CHOOSE( CONTROL!$C$32, 16.7337, 16.7335) * CHOOSE(CONTROL!$C$15, $D$11, 100%, $F$11)</f>
        <v>16.733699999999999</v>
      </c>
      <c r="K569" s="4"/>
      <c r="L569" s="9">
        <v>29.306000000000001</v>
      </c>
      <c r="M569" s="9">
        <v>12.063700000000001</v>
      </c>
      <c r="N569" s="9">
        <v>4.9444999999999997</v>
      </c>
      <c r="O569" s="9">
        <v>0.37409999999999999</v>
      </c>
      <c r="P569" s="9">
        <v>1.2927</v>
      </c>
      <c r="Q569" s="9">
        <v>19.688099999999999</v>
      </c>
      <c r="R569" s="9"/>
      <c r="S569" s="11"/>
    </row>
    <row r="570" spans="1:19" ht="15.75">
      <c r="A570" s="13">
        <v>58499</v>
      </c>
      <c r="B570" s="8">
        <f>CHOOSE( CONTROL!$C$32, 16.1367, 16.1365) * CHOOSE(CONTROL!$C$15, $D$11, 100%, $F$11)</f>
        <v>16.136700000000001</v>
      </c>
      <c r="C570" s="8">
        <f>CHOOSE( CONTROL!$C$32, 16.1418, 16.1415) * CHOOSE(CONTROL!$C$15, $D$11, 100%, $F$11)</f>
        <v>16.1418</v>
      </c>
      <c r="D570" s="8">
        <f>CHOOSE( CONTROL!$C$32, 16.1218, 16.1215) * CHOOSE( CONTROL!$C$15, $D$11, 100%, $F$11)</f>
        <v>16.1218</v>
      </c>
      <c r="E570" s="12">
        <f>CHOOSE( CONTROL!$C$32, 16.1286, 16.1283) * CHOOSE( CONTROL!$C$15, $D$11, 100%, $F$11)</f>
        <v>16.128599999999999</v>
      </c>
      <c r="F570" s="4">
        <f>CHOOSE( CONTROL!$C$32, 16.802, 16.8017) * CHOOSE(CONTROL!$C$15, $D$11, 100%, $F$11)</f>
        <v>16.802</v>
      </c>
      <c r="G570" s="8">
        <f>CHOOSE( CONTROL!$C$32, 15.9515, 15.9512) * CHOOSE( CONTROL!$C$15, $D$11, 100%, $F$11)</f>
        <v>15.951499999999999</v>
      </c>
      <c r="H570" s="4">
        <f>CHOOSE( CONTROL!$C$32, 16.8519, 16.8516) * CHOOSE(CONTROL!$C$15, $D$11, 100%, $F$11)</f>
        <v>16.851900000000001</v>
      </c>
      <c r="I570" s="8">
        <f>CHOOSE( CONTROL!$C$32, 15.7738, 15.7735) * CHOOSE(CONTROL!$C$15, $D$11, 100%, $F$11)</f>
        <v>15.7738</v>
      </c>
      <c r="J570" s="4">
        <f>CHOOSE( CONTROL!$C$32, 15.652, 15.6517) * CHOOSE(CONTROL!$C$15, $D$11, 100%, $F$11)</f>
        <v>15.651999999999999</v>
      </c>
      <c r="K570" s="4"/>
      <c r="L570" s="9">
        <v>27.415299999999998</v>
      </c>
      <c r="M570" s="9">
        <v>11.285299999999999</v>
      </c>
      <c r="N570" s="9">
        <v>4.6254999999999997</v>
      </c>
      <c r="O570" s="9">
        <v>0.34989999999999999</v>
      </c>
      <c r="P570" s="9">
        <v>1.2093</v>
      </c>
      <c r="Q570" s="9">
        <v>18.417899999999999</v>
      </c>
      <c r="R570" s="9"/>
      <c r="S570" s="11"/>
    </row>
    <row r="571" spans="1:19" ht="15.75">
      <c r="A571" s="13">
        <v>58531</v>
      </c>
      <c r="B571" s="8">
        <f>CHOOSE( CONTROL!$C$32, 15.7934, 15.7932) * CHOOSE(CONTROL!$C$15, $D$11, 100%, $F$11)</f>
        <v>15.7934</v>
      </c>
      <c r="C571" s="8">
        <f>CHOOSE( CONTROL!$C$32, 15.7985, 15.7982) * CHOOSE(CONTROL!$C$15, $D$11, 100%, $F$11)</f>
        <v>15.798500000000001</v>
      </c>
      <c r="D571" s="8">
        <f>CHOOSE( CONTROL!$C$32, 15.7685, 15.7682) * CHOOSE( CONTROL!$C$15, $D$11, 100%, $F$11)</f>
        <v>15.7685</v>
      </c>
      <c r="E571" s="12">
        <f>CHOOSE( CONTROL!$C$32, 15.7789, 15.7786) * CHOOSE( CONTROL!$C$15, $D$11, 100%, $F$11)</f>
        <v>15.7789</v>
      </c>
      <c r="F571" s="4">
        <f>CHOOSE( CONTROL!$C$32, 16.4587, 16.4584) * CHOOSE(CONTROL!$C$15, $D$11, 100%, $F$11)</f>
        <v>16.4587</v>
      </c>
      <c r="G571" s="8">
        <f>CHOOSE( CONTROL!$C$32, 15.5989, 15.5986) * CHOOSE( CONTROL!$C$15, $D$11, 100%, $F$11)</f>
        <v>15.5989</v>
      </c>
      <c r="H571" s="4">
        <f>CHOOSE( CONTROL!$C$32, 16.5126, 16.5123) * CHOOSE(CONTROL!$C$15, $D$11, 100%, $F$11)</f>
        <v>16.512599999999999</v>
      </c>
      <c r="I571" s="8">
        <f>CHOOSE( CONTROL!$C$32, 15.4052, 15.405) * CHOOSE(CONTROL!$C$15, $D$11, 100%, $F$11)</f>
        <v>15.405200000000001</v>
      </c>
      <c r="J571" s="4">
        <f>CHOOSE( CONTROL!$C$32, 15.3188, 15.3185) * CHOOSE(CONTROL!$C$15, $D$11, 100%, $F$11)</f>
        <v>15.3188</v>
      </c>
      <c r="K571" s="4"/>
      <c r="L571" s="9">
        <v>29.306000000000001</v>
      </c>
      <c r="M571" s="9">
        <v>12.063700000000001</v>
      </c>
      <c r="N571" s="9">
        <v>4.9444999999999997</v>
      </c>
      <c r="O571" s="9">
        <v>0.37409999999999999</v>
      </c>
      <c r="P571" s="9">
        <v>1.2927</v>
      </c>
      <c r="Q571" s="9">
        <v>19.688099999999999</v>
      </c>
      <c r="R571" s="9"/>
      <c r="S571" s="11"/>
    </row>
    <row r="572" spans="1:19" ht="15.75">
      <c r="A572" s="13">
        <v>58561</v>
      </c>
      <c r="B572" s="8">
        <f>CHOOSE( CONTROL!$C$32, 16.0341, 16.0338) * CHOOSE(CONTROL!$C$15, $D$11, 100%, $F$11)</f>
        <v>16.034099999999999</v>
      </c>
      <c r="C572" s="8">
        <f>CHOOSE( CONTROL!$C$32, 16.0386, 16.0383) * CHOOSE(CONTROL!$C$15, $D$11, 100%, $F$11)</f>
        <v>16.038599999999999</v>
      </c>
      <c r="D572" s="8">
        <f>CHOOSE( CONTROL!$C$32, 16.0381, 16.0378) * CHOOSE( CONTROL!$C$15, $D$11, 100%, $F$11)</f>
        <v>16.0381</v>
      </c>
      <c r="E572" s="12">
        <f>CHOOSE( CONTROL!$C$32, 16.0378, 16.0375) * CHOOSE( CONTROL!$C$15, $D$11, 100%, $F$11)</f>
        <v>16.037800000000001</v>
      </c>
      <c r="F572" s="4">
        <f>CHOOSE( CONTROL!$C$32, 16.7424, 16.7421) * CHOOSE(CONTROL!$C$15, $D$11, 100%, $F$11)</f>
        <v>16.7424</v>
      </c>
      <c r="G572" s="8">
        <f>CHOOSE( CONTROL!$C$32, 15.853, 15.8527) * CHOOSE( CONTROL!$C$15, $D$11, 100%, $F$11)</f>
        <v>15.853</v>
      </c>
      <c r="H572" s="4">
        <f>CHOOSE( CONTROL!$C$32, 16.793, 16.7927) * CHOOSE(CONTROL!$C$15, $D$11, 100%, $F$11)</f>
        <v>16.792999999999999</v>
      </c>
      <c r="I572" s="8">
        <f>CHOOSE( CONTROL!$C$32, 15.6387, 15.6385) * CHOOSE(CONTROL!$C$15, $D$11, 100%, $F$11)</f>
        <v>15.6387</v>
      </c>
      <c r="J572" s="4">
        <f>CHOOSE( CONTROL!$C$32, 15.5516, 15.5513) * CHOOSE(CONTROL!$C$15, $D$11, 100%, $F$11)</f>
        <v>15.551600000000001</v>
      </c>
      <c r="K572" s="4"/>
      <c r="L572" s="9">
        <v>30.092199999999998</v>
      </c>
      <c r="M572" s="9">
        <v>11.6745</v>
      </c>
      <c r="N572" s="9">
        <v>4.7850000000000001</v>
      </c>
      <c r="O572" s="9">
        <v>0.36199999999999999</v>
      </c>
      <c r="P572" s="9">
        <v>1.2509999999999999</v>
      </c>
      <c r="Q572" s="9">
        <v>19.053000000000001</v>
      </c>
      <c r="R572" s="9"/>
      <c r="S572" s="11"/>
    </row>
    <row r="573" spans="1:19" ht="15.75">
      <c r="A573" s="13">
        <v>58592</v>
      </c>
      <c r="B573" s="8">
        <f>CHOOSE( CONTROL!$C$32, 16.4626, 16.4622) * CHOOSE(CONTROL!$C$15, $D$11, 100%, $F$11)</f>
        <v>16.462599999999998</v>
      </c>
      <c r="C573" s="8">
        <f>CHOOSE( CONTROL!$C$32, 16.4706, 16.4701) * CHOOSE(CONTROL!$C$15, $D$11, 100%, $F$11)</f>
        <v>16.470600000000001</v>
      </c>
      <c r="D573" s="8">
        <f>CHOOSE( CONTROL!$C$32, 16.4649, 16.4644) * CHOOSE( CONTROL!$C$15, $D$11, 100%, $F$11)</f>
        <v>16.4649</v>
      </c>
      <c r="E573" s="12">
        <f>CHOOSE( CONTROL!$C$32, 16.4657, 16.4653) * CHOOSE( CONTROL!$C$15, $D$11, 100%, $F$11)</f>
        <v>16.465699999999998</v>
      </c>
      <c r="F573" s="4">
        <f>CHOOSE( CONTROL!$C$32, 17.1695, 17.1691) * CHOOSE(CONTROL!$C$15, $D$11, 100%, $F$11)</f>
        <v>17.169499999999999</v>
      </c>
      <c r="G573" s="8">
        <f>CHOOSE( CONTROL!$C$32, 16.2755, 16.2751) * CHOOSE( CONTROL!$C$15, $D$11, 100%, $F$11)</f>
        <v>16.275500000000001</v>
      </c>
      <c r="H573" s="4">
        <f>CHOOSE( CONTROL!$C$32, 17.2151, 17.2147) * CHOOSE(CONTROL!$C$15, $D$11, 100%, $F$11)</f>
        <v>17.2151</v>
      </c>
      <c r="I573" s="8">
        <f>CHOOSE( CONTROL!$C$32, 16.0541, 16.0536) * CHOOSE(CONTROL!$C$15, $D$11, 100%, $F$11)</f>
        <v>16.054099999999998</v>
      </c>
      <c r="J573" s="4">
        <f>CHOOSE( CONTROL!$C$32, 15.9661, 15.9657) * CHOOSE(CONTROL!$C$15, $D$11, 100%, $F$11)</f>
        <v>15.966100000000001</v>
      </c>
      <c r="K573" s="4"/>
      <c r="L573" s="9">
        <v>30.7165</v>
      </c>
      <c r="M573" s="9">
        <v>12.063700000000001</v>
      </c>
      <c r="N573" s="9">
        <v>4.9444999999999997</v>
      </c>
      <c r="O573" s="9">
        <v>0.37409999999999999</v>
      </c>
      <c r="P573" s="9">
        <v>1.2927</v>
      </c>
      <c r="Q573" s="9">
        <v>19.688099999999999</v>
      </c>
      <c r="R573" s="9"/>
      <c r="S573" s="11"/>
    </row>
    <row r="574" spans="1:19" ht="15.75">
      <c r="A574" s="13">
        <v>58622</v>
      </c>
      <c r="B574" s="8">
        <f>CHOOSE( CONTROL!$C$32, 16.1981, 16.1977) * CHOOSE(CONTROL!$C$15, $D$11, 100%, $F$11)</f>
        <v>16.1981</v>
      </c>
      <c r="C574" s="8">
        <f>CHOOSE( CONTROL!$C$32, 16.2061, 16.2056) * CHOOSE(CONTROL!$C$15, $D$11, 100%, $F$11)</f>
        <v>16.206099999999999</v>
      </c>
      <c r="D574" s="8">
        <f>CHOOSE( CONTROL!$C$32, 16.2008, 16.2003) * CHOOSE( CONTROL!$C$15, $D$11, 100%, $F$11)</f>
        <v>16.200800000000001</v>
      </c>
      <c r="E574" s="12">
        <f>CHOOSE( CONTROL!$C$32, 16.2015, 16.201) * CHOOSE( CONTROL!$C$15, $D$11, 100%, $F$11)</f>
        <v>16.201499999999999</v>
      </c>
      <c r="F574" s="4">
        <f>CHOOSE( CONTROL!$C$32, 16.9051, 16.9046) * CHOOSE(CONTROL!$C$15, $D$11, 100%, $F$11)</f>
        <v>16.905100000000001</v>
      </c>
      <c r="G574" s="8">
        <f>CHOOSE( CONTROL!$C$32, 16.0144, 16.014) * CHOOSE( CONTROL!$C$15, $D$11, 100%, $F$11)</f>
        <v>16.014399999999998</v>
      </c>
      <c r="H574" s="4">
        <f>CHOOSE( CONTROL!$C$32, 16.9537, 16.9533) * CHOOSE(CONTROL!$C$15, $D$11, 100%, $F$11)</f>
        <v>16.953700000000001</v>
      </c>
      <c r="I574" s="8">
        <f>CHOOSE( CONTROL!$C$32, 15.7987, 15.7982) * CHOOSE(CONTROL!$C$15, $D$11, 100%, $F$11)</f>
        <v>15.7987</v>
      </c>
      <c r="J574" s="4">
        <f>CHOOSE( CONTROL!$C$32, 15.7094, 15.709) * CHOOSE(CONTROL!$C$15, $D$11, 100%, $F$11)</f>
        <v>15.7094</v>
      </c>
      <c r="K574" s="4"/>
      <c r="L574" s="9">
        <v>29.7257</v>
      </c>
      <c r="M574" s="9">
        <v>11.6745</v>
      </c>
      <c r="N574" s="9">
        <v>4.7850000000000001</v>
      </c>
      <c r="O574" s="9">
        <v>0.36199999999999999</v>
      </c>
      <c r="P574" s="9">
        <v>1.2509999999999999</v>
      </c>
      <c r="Q574" s="9">
        <v>19.053000000000001</v>
      </c>
      <c r="R574" s="9"/>
      <c r="S574" s="11"/>
    </row>
    <row r="575" spans="1:19" ht="15.75">
      <c r="A575" s="13">
        <v>58653</v>
      </c>
      <c r="B575" s="8">
        <f>CHOOSE( CONTROL!$C$32, 16.8946, 16.8942) * CHOOSE(CONTROL!$C$15, $D$11, 100%, $F$11)</f>
        <v>16.894600000000001</v>
      </c>
      <c r="C575" s="8">
        <f>CHOOSE( CONTROL!$C$32, 16.9026, 16.9021) * CHOOSE(CONTROL!$C$15, $D$11, 100%, $F$11)</f>
        <v>16.9026</v>
      </c>
      <c r="D575" s="8">
        <f>CHOOSE( CONTROL!$C$32, 16.8978, 16.8973) * CHOOSE( CONTROL!$C$15, $D$11, 100%, $F$11)</f>
        <v>16.8978</v>
      </c>
      <c r="E575" s="12">
        <f>CHOOSE( CONTROL!$C$32, 16.8983, 16.8978) * CHOOSE( CONTROL!$C$15, $D$11, 100%, $F$11)</f>
        <v>16.898299999999999</v>
      </c>
      <c r="F575" s="4">
        <f>CHOOSE( CONTROL!$C$32, 17.6016, 17.6011) * CHOOSE(CONTROL!$C$15, $D$11, 100%, $F$11)</f>
        <v>17.601600000000001</v>
      </c>
      <c r="G575" s="8">
        <f>CHOOSE( CONTROL!$C$32, 16.7032, 16.7027) * CHOOSE( CONTROL!$C$15, $D$11, 100%, $F$11)</f>
        <v>16.703199999999999</v>
      </c>
      <c r="H575" s="4">
        <f>CHOOSE( CONTROL!$C$32, 17.6421, 17.6416) * CHOOSE(CONTROL!$C$15, $D$11, 100%, $F$11)</f>
        <v>17.642099999999999</v>
      </c>
      <c r="I575" s="8">
        <f>CHOOSE( CONTROL!$C$32, 16.4765, 16.4761) * CHOOSE(CONTROL!$C$15, $D$11, 100%, $F$11)</f>
        <v>16.476500000000001</v>
      </c>
      <c r="J575" s="4">
        <f>CHOOSE( CONTROL!$C$32, 16.3854, 16.385) * CHOOSE(CONTROL!$C$15, $D$11, 100%, $F$11)</f>
        <v>16.385400000000001</v>
      </c>
      <c r="K575" s="4"/>
      <c r="L575" s="9">
        <v>30.7165</v>
      </c>
      <c r="M575" s="9">
        <v>12.063700000000001</v>
      </c>
      <c r="N575" s="9">
        <v>4.9444999999999997</v>
      </c>
      <c r="O575" s="9">
        <v>0.37409999999999999</v>
      </c>
      <c r="P575" s="9">
        <v>1.2927</v>
      </c>
      <c r="Q575" s="9">
        <v>19.688099999999999</v>
      </c>
      <c r="R575" s="9"/>
      <c r="S575" s="11"/>
    </row>
    <row r="576" spans="1:19" ht="15.75">
      <c r="A576" s="13">
        <v>58684</v>
      </c>
      <c r="B576" s="8">
        <f>CHOOSE( CONTROL!$C$32, 15.5914, 15.5909) * CHOOSE(CONTROL!$C$15, $D$11, 100%, $F$11)</f>
        <v>15.5914</v>
      </c>
      <c r="C576" s="8">
        <f>CHOOSE( CONTROL!$C$32, 15.5994, 15.5989) * CHOOSE(CONTROL!$C$15, $D$11, 100%, $F$11)</f>
        <v>15.599399999999999</v>
      </c>
      <c r="D576" s="8">
        <f>CHOOSE( CONTROL!$C$32, 15.5946, 15.5942) * CHOOSE( CONTROL!$C$15, $D$11, 100%, $F$11)</f>
        <v>15.5946</v>
      </c>
      <c r="E576" s="12">
        <f>CHOOSE( CONTROL!$C$32, 15.5951, 15.5947) * CHOOSE( CONTROL!$C$15, $D$11, 100%, $F$11)</f>
        <v>15.5951</v>
      </c>
      <c r="F576" s="4">
        <f>CHOOSE( CONTROL!$C$32, 16.2983, 16.2979) * CHOOSE(CONTROL!$C$15, $D$11, 100%, $F$11)</f>
        <v>16.298300000000001</v>
      </c>
      <c r="G576" s="8">
        <f>CHOOSE( CONTROL!$C$32, 15.4153, 15.4148) * CHOOSE( CONTROL!$C$15, $D$11, 100%, $F$11)</f>
        <v>15.4153</v>
      </c>
      <c r="H576" s="4">
        <f>CHOOSE( CONTROL!$C$32, 16.3541, 16.3536) * CHOOSE(CONTROL!$C$15, $D$11, 100%, $F$11)</f>
        <v>16.354099999999999</v>
      </c>
      <c r="I576" s="8">
        <f>CHOOSE( CONTROL!$C$32, 15.2115, 15.2111) * CHOOSE(CONTROL!$C$15, $D$11, 100%, $F$11)</f>
        <v>15.211499999999999</v>
      </c>
      <c r="J576" s="4">
        <f>CHOOSE( CONTROL!$C$32, 15.1206, 15.1202) * CHOOSE(CONTROL!$C$15, $D$11, 100%, $F$11)</f>
        <v>15.1206</v>
      </c>
      <c r="K576" s="4"/>
      <c r="L576" s="9">
        <v>30.7165</v>
      </c>
      <c r="M576" s="9">
        <v>12.063700000000001</v>
      </c>
      <c r="N576" s="9">
        <v>4.9444999999999997</v>
      </c>
      <c r="O576" s="9">
        <v>0.37409999999999999</v>
      </c>
      <c r="P576" s="9">
        <v>1.2927</v>
      </c>
      <c r="Q576" s="9">
        <v>19.688099999999999</v>
      </c>
      <c r="R576" s="9"/>
      <c r="S576" s="11"/>
    </row>
    <row r="577" spans="1:19" ht="15.75">
      <c r="A577" s="13">
        <v>58714</v>
      </c>
      <c r="B577" s="8">
        <f>CHOOSE( CONTROL!$C$32, 15.265, 15.2646) * CHOOSE(CONTROL!$C$15, $D$11, 100%, $F$11)</f>
        <v>15.265000000000001</v>
      </c>
      <c r="C577" s="8">
        <f>CHOOSE( CONTROL!$C$32, 15.273, 15.2726) * CHOOSE(CONTROL!$C$15, $D$11, 100%, $F$11)</f>
        <v>15.273</v>
      </c>
      <c r="D577" s="8">
        <f>CHOOSE( CONTROL!$C$32, 15.2681, 15.2677) * CHOOSE( CONTROL!$C$15, $D$11, 100%, $F$11)</f>
        <v>15.2681</v>
      </c>
      <c r="E577" s="12">
        <f>CHOOSE( CONTROL!$C$32, 15.2687, 15.2683) * CHOOSE( CONTROL!$C$15, $D$11, 100%, $F$11)</f>
        <v>15.268700000000001</v>
      </c>
      <c r="F577" s="4">
        <f>CHOOSE( CONTROL!$C$32, 15.972, 15.9715) * CHOOSE(CONTROL!$C$15, $D$11, 100%, $F$11)</f>
        <v>15.972</v>
      </c>
      <c r="G577" s="8">
        <f>CHOOSE( CONTROL!$C$32, 15.0926, 15.0922) * CHOOSE( CONTROL!$C$15, $D$11, 100%, $F$11)</f>
        <v>15.092599999999999</v>
      </c>
      <c r="H577" s="4">
        <f>CHOOSE( CONTROL!$C$32, 16.0316, 16.0311) * CHOOSE(CONTROL!$C$15, $D$11, 100%, $F$11)</f>
        <v>16.031600000000001</v>
      </c>
      <c r="I577" s="8">
        <f>CHOOSE( CONTROL!$C$32, 14.8941, 14.8937) * CHOOSE(CONTROL!$C$15, $D$11, 100%, $F$11)</f>
        <v>14.8941</v>
      </c>
      <c r="J577" s="4">
        <f>CHOOSE( CONTROL!$C$32, 14.8039, 14.8035) * CHOOSE(CONTROL!$C$15, $D$11, 100%, $F$11)</f>
        <v>14.803900000000001</v>
      </c>
      <c r="K577" s="4"/>
      <c r="L577" s="9">
        <v>29.7257</v>
      </c>
      <c r="M577" s="9">
        <v>11.6745</v>
      </c>
      <c r="N577" s="9">
        <v>4.7850000000000001</v>
      </c>
      <c r="O577" s="9">
        <v>0.36199999999999999</v>
      </c>
      <c r="P577" s="9">
        <v>1.2509999999999999</v>
      </c>
      <c r="Q577" s="9">
        <v>19.053000000000001</v>
      </c>
      <c r="R577" s="9"/>
      <c r="S577" s="11"/>
    </row>
    <row r="578" spans="1:19" ht="15.75">
      <c r="A578" s="13">
        <v>58745</v>
      </c>
      <c r="B578" s="8">
        <f>CHOOSE( CONTROL!$C$32, 15.9407, 15.9405) * CHOOSE(CONTROL!$C$15, $D$11, 100%, $F$11)</f>
        <v>15.9407</v>
      </c>
      <c r="C578" s="8">
        <f>CHOOSE( CONTROL!$C$32, 15.9461, 15.9458) * CHOOSE(CONTROL!$C$15, $D$11, 100%, $F$11)</f>
        <v>15.946099999999999</v>
      </c>
      <c r="D578" s="8">
        <f>CHOOSE( CONTROL!$C$32, 15.9463, 15.946) * CHOOSE( CONTROL!$C$15, $D$11, 100%, $F$11)</f>
        <v>15.946300000000001</v>
      </c>
      <c r="E578" s="12">
        <f>CHOOSE( CONTROL!$C$32, 15.9457, 15.9454) * CHOOSE( CONTROL!$C$15, $D$11, 100%, $F$11)</f>
        <v>15.9457</v>
      </c>
      <c r="F578" s="4">
        <f>CHOOSE( CONTROL!$C$32, 16.6494, 16.6491) * CHOOSE(CONTROL!$C$15, $D$11, 100%, $F$11)</f>
        <v>16.6494</v>
      </c>
      <c r="G578" s="8">
        <f>CHOOSE( CONTROL!$C$32, 15.7621, 15.7618) * CHOOSE( CONTROL!$C$15, $D$11, 100%, $F$11)</f>
        <v>15.7621</v>
      </c>
      <c r="H578" s="4">
        <f>CHOOSE( CONTROL!$C$32, 16.7011, 16.7008) * CHOOSE(CONTROL!$C$15, $D$11, 100%, $F$11)</f>
        <v>16.7011</v>
      </c>
      <c r="I578" s="8">
        <f>CHOOSE( CONTROL!$C$32, 15.5526, 15.5523) * CHOOSE(CONTROL!$C$15, $D$11, 100%, $F$11)</f>
        <v>15.5526</v>
      </c>
      <c r="J578" s="4">
        <f>CHOOSE( CONTROL!$C$32, 15.4613, 15.4611) * CHOOSE(CONTROL!$C$15, $D$11, 100%, $F$11)</f>
        <v>15.4613</v>
      </c>
      <c r="K578" s="4"/>
      <c r="L578" s="9">
        <v>31.095300000000002</v>
      </c>
      <c r="M578" s="9">
        <v>12.063700000000001</v>
      </c>
      <c r="N578" s="9">
        <v>4.9444999999999997</v>
      </c>
      <c r="O578" s="9">
        <v>0.37409999999999999</v>
      </c>
      <c r="P578" s="9">
        <v>1.2927</v>
      </c>
      <c r="Q578" s="9">
        <v>19.688099999999999</v>
      </c>
      <c r="R578" s="9"/>
      <c r="S578" s="11"/>
    </row>
    <row r="579" spans="1:19" ht="15.75">
      <c r="A579" s="13">
        <v>58775</v>
      </c>
      <c r="B579" s="8">
        <f>CHOOSE( CONTROL!$C$32, 17.1911, 17.1908) * CHOOSE(CONTROL!$C$15, $D$11, 100%, $F$11)</f>
        <v>17.191099999999999</v>
      </c>
      <c r="C579" s="8">
        <f>CHOOSE( CONTROL!$C$32, 17.1961, 17.1959) * CHOOSE(CONTROL!$C$15, $D$11, 100%, $F$11)</f>
        <v>17.196100000000001</v>
      </c>
      <c r="D579" s="8">
        <f>CHOOSE( CONTROL!$C$32, 17.164, 17.1637) * CHOOSE( CONTROL!$C$15, $D$11, 100%, $F$11)</f>
        <v>17.164000000000001</v>
      </c>
      <c r="E579" s="12">
        <f>CHOOSE( CONTROL!$C$32, 17.1752, 17.1749) * CHOOSE( CONTROL!$C$15, $D$11, 100%, $F$11)</f>
        <v>17.1752</v>
      </c>
      <c r="F579" s="4">
        <f>CHOOSE( CONTROL!$C$32, 17.8563, 17.8561) * CHOOSE(CONTROL!$C$15, $D$11, 100%, $F$11)</f>
        <v>17.856300000000001</v>
      </c>
      <c r="G579" s="8">
        <f>CHOOSE( CONTROL!$C$32, 16.9871, 16.9868) * CHOOSE( CONTROL!$C$15, $D$11, 100%, $F$11)</f>
        <v>16.987100000000002</v>
      </c>
      <c r="H579" s="4">
        <f>CHOOSE( CONTROL!$C$32, 17.8939, 17.8936) * CHOOSE(CONTROL!$C$15, $D$11, 100%, $F$11)</f>
        <v>17.893899999999999</v>
      </c>
      <c r="I579" s="8">
        <f>CHOOSE( CONTROL!$C$32, 16.8179, 16.8176) * CHOOSE(CONTROL!$C$15, $D$11, 100%, $F$11)</f>
        <v>16.817900000000002</v>
      </c>
      <c r="J579" s="4">
        <f>CHOOSE( CONTROL!$C$32, 16.6752, 16.6749) * CHOOSE(CONTROL!$C$15, $D$11, 100%, $F$11)</f>
        <v>16.6752</v>
      </c>
      <c r="K579" s="4"/>
      <c r="L579" s="9">
        <v>28.360600000000002</v>
      </c>
      <c r="M579" s="9">
        <v>11.6745</v>
      </c>
      <c r="N579" s="9">
        <v>4.7850000000000001</v>
      </c>
      <c r="O579" s="9">
        <v>0.36199999999999999</v>
      </c>
      <c r="P579" s="9">
        <v>1.2509999999999999</v>
      </c>
      <c r="Q579" s="9">
        <v>19.053000000000001</v>
      </c>
      <c r="R579" s="9"/>
      <c r="S579" s="11"/>
    </row>
    <row r="580" spans="1:19" ht="15.75">
      <c r="A580" s="13">
        <v>58806</v>
      </c>
      <c r="B580" s="8">
        <f>CHOOSE( CONTROL!$C$32, 17.1598, 17.1595) * CHOOSE(CONTROL!$C$15, $D$11, 100%, $F$11)</f>
        <v>17.159800000000001</v>
      </c>
      <c r="C580" s="8">
        <f>CHOOSE( CONTROL!$C$32, 17.1649, 17.1646) * CHOOSE(CONTROL!$C$15, $D$11, 100%, $F$11)</f>
        <v>17.164899999999999</v>
      </c>
      <c r="D580" s="8">
        <f>CHOOSE( CONTROL!$C$32, 17.1346, 17.1343) * CHOOSE( CONTROL!$C$15, $D$11, 100%, $F$11)</f>
        <v>17.134599999999999</v>
      </c>
      <c r="E580" s="12">
        <f>CHOOSE( CONTROL!$C$32, 17.1451, 17.1448) * CHOOSE( CONTROL!$C$15, $D$11, 100%, $F$11)</f>
        <v>17.145099999999999</v>
      </c>
      <c r="F580" s="4">
        <f>CHOOSE( CONTROL!$C$32, 17.8251, 17.8248) * CHOOSE(CONTROL!$C$15, $D$11, 100%, $F$11)</f>
        <v>17.825099999999999</v>
      </c>
      <c r="G580" s="8">
        <f>CHOOSE( CONTROL!$C$32, 16.9575, 16.9573) * CHOOSE( CONTROL!$C$15, $D$11, 100%, $F$11)</f>
        <v>16.9575</v>
      </c>
      <c r="H580" s="4">
        <f>CHOOSE( CONTROL!$C$32, 17.863, 17.8627) * CHOOSE(CONTROL!$C$15, $D$11, 100%, $F$11)</f>
        <v>17.863</v>
      </c>
      <c r="I580" s="8">
        <f>CHOOSE( CONTROL!$C$32, 16.7932, 16.793) * CHOOSE(CONTROL!$C$15, $D$11, 100%, $F$11)</f>
        <v>16.793199999999999</v>
      </c>
      <c r="J580" s="4">
        <f>CHOOSE( CONTROL!$C$32, 16.6448, 16.6446) * CHOOSE(CONTROL!$C$15, $D$11, 100%, $F$11)</f>
        <v>16.6448</v>
      </c>
      <c r="K580" s="4"/>
      <c r="L580" s="9">
        <v>29.306000000000001</v>
      </c>
      <c r="M580" s="9">
        <v>12.063700000000001</v>
      </c>
      <c r="N580" s="9">
        <v>4.9444999999999997</v>
      </c>
      <c r="O580" s="9">
        <v>0.37409999999999999</v>
      </c>
      <c r="P580" s="9">
        <v>1.2927</v>
      </c>
      <c r="Q580" s="9">
        <v>19.688099999999999</v>
      </c>
      <c r="R580" s="9"/>
      <c r="S580" s="11"/>
    </row>
    <row r="581" spans="1:19" ht="15.75">
      <c r="A581" s="13">
        <v>58837</v>
      </c>
      <c r="B581" s="8">
        <f>CHOOSE( CONTROL!$C$32, 17.6657, 17.6654) * CHOOSE(CONTROL!$C$15, $D$11, 100%, $F$11)</f>
        <v>17.665700000000001</v>
      </c>
      <c r="C581" s="8">
        <f>CHOOSE( CONTROL!$C$32, 17.6708, 17.6705) * CHOOSE(CONTROL!$C$15, $D$11, 100%, $F$11)</f>
        <v>17.6708</v>
      </c>
      <c r="D581" s="8">
        <f>CHOOSE( CONTROL!$C$32, 17.6684, 17.6681) * CHOOSE( CONTROL!$C$15, $D$11, 100%, $F$11)</f>
        <v>17.668399999999998</v>
      </c>
      <c r="E581" s="12">
        <f>CHOOSE( CONTROL!$C$32, 17.6687, 17.6684) * CHOOSE( CONTROL!$C$15, $D$11, 100%, $F$11)</f>
        <v>17.668700000000001</v>
      </c>
      <c r="F581" s="4">
        <f>CHOOSE( CONTROL!$C$32, 18.331, 18.3307) * CHOOSE(CONTROL!$C$15, $D$11, 100%, $F$11)</f>
        <v>18.331</v>
      </c>
      <c r="G581" s="8">
        <f>CHOOSE( CONTROL!$C$32, 17.4736, 17.4734) * CHOOSE( CONTROL!$C$15, $D$11, 100%, $F$11)</f>
        <v>17.473600000000001</v>
      </c>
      <c r="H581" s="4">
        <f>CHOOSE( CONTROL!$C$32, 18.363, 18.3627) * CHOOSE(CONTROL!$C$15, $D$11, 100%, $F$11)</f>
        <v>18.363</v>
      </c>
      <c r="I581" s="8">
        <f>CHOOSE( CONTROL!$C$32, 17.258, 17.2577) * CHOOSE(CONTROL!$C$15, $D$11, 100%, $F$11)</f>
        <v>17.257999999999999</v>
      </c>
      <c r="J581" s="4">
        <f>CHOOSE( CONTROL!$C$32, 17.1358, 17.1355) * CHOOSE(CONTROL!$C$15, $D$11, 100%, $F$11)</f>
        <v>17.1358</v>
      </c>
      <c r="K581" s="4"/>
      <c r="L581" s="9">
        <v>29.306000000000001</v>
      </c>
      <c r="M581" s="9">
        <v>12.063700000000001</v>
      </c>
      <c r="N581" s="9">
        <v>4.9444999999999997</v>
      </c>
      <c r="O581" s="9">
        <v>0.37409999999999999</v>
      </c>
      <c r="P581" s="9">
        <v>1.2927</v>
      </c>
      <c r="Q581" s="9">
        <v>19.688099999999999</v>
      </c>
      <c r="R581" s="9"/>
      <c r="S581" s="11"/>
    </row>
    <row r="582" spans="1:19" ht="15.75">
      <c r="A582" s="13">
        <v>58865</v>
      </c>
      <c r="B582" s="8">
        <f>CHOOSE( CONTROL!$C$32, 16.5242, 16.524) * CHOOSE(CONTROL!$C$15, $D$11, 100%, $F$11)</f>
        <v>16.5242</v>
      </c>
      <c r="C582" s="8">
        <f>CHOOSE( CONTROL!$C$32, 16.5293, 16.529) * CHOOSE(CONTROL!$C$15, $D$11, 100%, $F$11)</f>
        <v>16.529299999999999</v>
      </c>
      <c r="D582" s="8">
        <f>CHOOSE( CONTROL!$C$32, 16.5093, 16.509) * CHOOSE( CONTROL!$C$15, $D$11, 100%, $F$11)</f>
        <v>16.5093</v>
      </c>
      <c r="E582" s="12">
        <f>CHOOSE( CONTROL!$C$32, 16.5161, 16.5158) * CHOOSE( CONTROL!$C$15, $D$11, 100%, $F$11)</f>
        <v>16.516100000000002</v>
      </c>
      <c r="F582" s="4">
        <f>CHOOSE( CONTROL!$C$32, 17.1895, 17.1892) * CHOOSE(CONTROL!$C$15, $D$11, 100%, $F$11)</f>
        <v>17.189499999999999</v>
      </c>
      <c r="G582" s="8">
        <f>CHOOSE( CONTROL!$C$32, 16.3344, 16.3341) * CHOOSE( CONTROL!$C$15, $D$11, 100%, $F$11)</f>
        <v>16.334399999999999</v>
      </c>
      <c r="H582" s="4">
        <f>CHOOSE( CONTROL!$C$32, 17.2349, 17.2346) * CHOOSE(CONTROL!$C$15, $D$11, 100%, $F$11)</f>
        <v>17.2349</v>
      </c>
      <c r="I582" s="8">
        <f>CHOOSE( CONTROL!$C$32, 16.1501, 16.1498) * CHOOSE(CONTROL!$C$15, $D$11, 100%, $F$11)</f>
        <v>16.150099999999998</v>
      </c>
      <c r="J582" s="4">
        <f>CHOOSE( CONTROL!$C$32, 16.028, 16.0278) * CHOOSE(CONTROL!$C$15, $D$11, 100%, $F$11)</f>
        <v>16.027999999999999</v>
      </c>
      <c r="K582" s="4"/>
      <c r="L582" s="9">
        <v>26.469899999999999</v>
      </c>
      <c r="M582" s="9">
        <v>10.8962</v>
      </c>
      <c r="N582" s="9">
        <v>4.4660000000000002</v>
      </c>
      <c r="O582" s="9">
        <v>0.33789999999999998</v>
      </c>
      <c r="P582" s="9">
        <v>1.1676</v>
      </c>
      <c r="Q582" s="9">
        <v>17.782800000000002</v>
      </c>
      <c r="R582" s="9"/>
      <c r="S582" s="11"/>
    </row>
    <row r="583" spans="1:19" ht="15.75">
      <c r="A583" s="13">
        <v>58893</v>
      </c>
      <c r="B583" s="8">
        <f>CHOOSE( CONTROL!$C$32, 16.1727, 16.1724) * CHOOSE(CONTROL!$C$15, $D$11, 100%, $F$11)</f>
        <v>16.172699999999999</v>
      </c>
      <c r="C583" s="8">
        <f>CHOOSE( CONTROL!$C$32, 16.1778, 16.1775) * CHOOSE(CONTROL!$C$15, $D$11, 100%, $F$11)</f>
        <v>16.177800000000001</v>
      </c>
      <c r="D583" s="8">
        <f>CHOOSE( CONTROL!$C$32, 16.1478, 16.1475) * CHOOSE( CONTROL!$C$15, $D$11, 100%, $F$11)</f>
        <v>16.1478</v>
      </c>
      <c r="E583" s="12">
        <f>CHOOSE( CONTROL!$C$32, 16.1582, 16.1579) * CHOOSE( CONTROL!$C$15, $D$11, 100%, $F$11)</f>
        <v>16.158200000000001</v>
      </c>
      <c r="F583" s="4">
        <f>CHOOSE( CONTROL!$C$32, 16.838, 16.8377) * CHOOSE(CONTROL!$C$15, $D$11, 100%, $F$11)</f>
        <v>16.838000000000001</v>
      </c>
      <c r="G583" s="8">
        <f>CHOOSE( CONTROL!$C$32, 15.9737, 15.9735) * CHOOSE( CONTROL!$C$15, $D$11, 100%, $F$11)</f>
        <v>15.973699999999999</v>
      </c>
      <c r="H583" s="4">
        <f>CHOOSE( CONTROL!$C$32, 16.8874, 16.8871) * CHOOSE(CONTROL!$C$15, $D$11, 100%, $F$11)</f>
        <v>16.8874</v>
      </c>
      <c r="I583" s="8">
        <f>CHOOSE( CONTROL!$C$32, 15.7735, 15.7732) * CHOOSE(CONTROL!$C$15, $D$11, 100%, $F$11)</f>
        <v>15.7735</v>
      </c>
      <c r="J583" s="4">
        <f>CHOOSE( CONTROL!$C$32, 15.6868, 15.6866) * CHOOSE(CONTROL!$C$15, $D$11, 100%, $F$11)</f>
        <v>15.6868</v>
      </c>
      <c r="K583" s="4"/>
      <c r="L583" s="9">
        <v>29.306000000000001</v>
      </c>
      <c r="M583" s="9">
        <v>12.063700000000001</v>
      </c>
      <c r="N583" s="9">
        <v>4.9444999999999997</v>
      </c>
      <c r="O583" s="9">
        <v>0.37409999999999999</v>
      </c>
      <c r="P583" s="9">
        <v>1.2927</v>
      </c>
      <c r="Q583" s="9">
        <v>19.688099999999999</v>
      </c>
      <c r="R583" s="9"/>
      <c r="S583" s="11"/>
    </row>
    <row r="584" spans="1:19" ht="15.75">
      <c r="A584" s="13">
        <v>58926</v>
      </c>
      <c r="B584" s="8">
        <f>CHOOSE( CONTROL!$C$32, 16.4191, 16.4188) * CHOOSE(CONTROL!$C$15, $D$11, 100%, $F$11)</f>
        <v>16.4191</v>
      </c>
      <c r="C584" s="8">
        <f>CHOOSE( CONTROL!$C$32, 16.4236, 16.4233) * CHOOSE(CONTROL!$C$15, $D$11, 100%, $F$11)</f>
        <v>16.4236</v>
      </c>
      <c r="D584" s="8">
        <f>CHOOSE( CONTROL!$C$32, 16.4231, 16.4228) * CHOOSE( CONTROL!$C$15, $D$11, 100%, $F$11)</f>
        <v>16.423100000000002</v>
      </c>
      <c r="E584" s="12">
        <f>CHOOSE( CONTROL!$C$32, 16.4228, 16.4225) * CHOOSE( CONTROL!$C$15, $D$11, 100%, $F$11)</f>
        <v>16.422799999999999</v>
      </c>
      <c r="F584" s="4">
        <f>CHOOSE( CONTROL!$C$32, 17.1274, 17.1271) * CHOOSE(CONTROL!$C$15, $D$11, 100%, $F$11)</f>
        <v>17.127400000000002</v>
      </c>
      <c r="G584" s="8">
        <f>CHOOSE( CONTROL!$C$32, 16.2335, 16.2333) * CHOOSE( CONTROL!$C$15, $D$11, 100%, $F$11)</f>
        <v>16.233499999999999</v>
      </c>
      <c r="H584" s="4">
        <f>CHOOSE( CONTROL!$C$32, 17.1735, 17.1732) * CHOOSE(CONTROL!$C$15, $D$11, 100%, $F$11)</f>
        <v>17.173500000000001</v>
      </c>
      <c r="I584" s="8">
        <f>CHOOSE( CONTROL!$C$32, 16.0126, 16.0123) * CHOOSE(CONTROL!$C$15, $D$11, 100%, $F$11)</f>
        <v>16.012599999999999</v>
      </c>
      <c r="J584" s="4">
        <f>CHOOSE( CONTROL!$C$32, 15.9252, 15.925) * CHOOSE(CONTROL!$C$15, $D$11, 100%, $F$11)</f>
        <v>15.9252</v>
      </c>
      <c r="K584" s="4"/>
      <c r="L584" s="9">
        <v>30.092199999999998</v>
      </c>
      <c r="M584" s="9">
        <v>11.6745</v>
      </c>
      <c r="N584" s="9">
        <v>4.7850000000000001</v>
      </c>
      <c r="O584" s="9">
        <v>0.36199999999999999</v>
      </c>
      <c r="P584" s="9">
        <v>1.2509999999999999</v>
      </c>
      <c r="Q584" s="9">
        <v>19.053000000000001</v>
      </c>
      <c r="R584" s="9"/>
      <c r="S584" s="11"/>
    </row>
    <row r="585" spans="1:19" ht="15.75">
      <c r="A585" s="13">
        <v>58957</v>
      </c>
      <c r="B585" s="8">
        <f>CHOOSE( CONTROL!$C$32, 16.8579, 16.8574) * CHOOSE(CONTROL!$C$15, $D$11, 100%, $F$11)</f>
        <v>16.857900000000001</v>
      </c>
      <c r="C585" s="8">
        <f>CHOOSE( CONTROL!$C$32, 16.8659, 16.8654) * CHOOSE(CONTROL!$C$15, $D$11, 100%, $F$11)</f>
        <v>16.8659</v>
      </c>
      <c r="D585" s="8">
        <f>CHOOSE( CONTROL!$C$32, 16.8602, 16.8597) * CHOOSE( CONTROL!$C$15, $D$11, 100%, $F$11)</f>
        <v>16.860199999999999</v>
      </c>
      <c r="E585" s="12">
        <f>CHOOSE( CONTROL!$C$32, 16.861, 16.8605) * CHOOSE( CONTROL!$C$15, $D$11, 100%, $F$11)</f>
        <v>16.861000000000001</v>
      </c>
      <c r="F585" s="4">
        <f>CHOOSE( CONTROL!$C$32, 17.5648, 17.5644) * CHOOSE(CONTROL!$C$15, $D$11, 100%, $F$11)</f>
        <v>17.564800000000002</v>
      </c>
      <c r="G585" s="8">
        <f>CHOOSE( CONTROL!$C$32, 16.6662, 16.6657) * CHOOSE( CONTROL!$C$15, $D$11, 100%, $F$11)</f>
        <v>16.6662</v>
      </c>
      <c r="H585" s="4">
        <f>CHOOSE( CONTROL!$C$32, 17.6058, 17.6053) * CHOOSE(CONTROL!$C$15, $D$11, 100%, $F$11)</f>
        <v>17.605799999999999</v>
      </c>
      <c r="I585" s="8">
        <f>CHOOSE( CONTROL!$C$32, 16.4379, 16.4374) * CHOOSE(CONTROL!$C$15, $D$11, 100%, $F$11)</f>
        <v>16.437899999999999</v>
      </c>
      <c r="J585" s="4">
        <f>CHOOSE( CONTROL!$C$32, 16.3498, 16.3493) * CHOOSE(CONTROL!$C$15, $D$11, 100%, $F$11)</f>
        <v>16.349799999999998</v>
      </c>
      <c r="K585" s="4"/>
      <c r="L585" s="9">
        <v>30.7165</v>
      </c>
      <c r="M585" s="9">
        <v>12.063700000000001</v>
      </c>
      <c r="N585" s="9">
        <v>4.9444999999999997</v>
      </c>
      <c r="O585" s="9">
        <v>0.37409999999999999</v>
      </c>
      <c r="P585" s="9">
        <v>1.2927</v>
      </c>
      <c r="Q585" s="9">
        <v>19.688099999999999</v>
      </c>
      <c r="R585" s="9"/>
      <c r="S585" s="11"/>
    </row>
    <row r="586" spans="1:19" ht="15.75">
      <c r="A586" s="13">
        <v>58987</v>
      </c>
      <c r="B586" s="8">
        <f>CHOOSE( CONTROL!$C$32, 16.587, 16.5866) * CHOOSE(CONTROL!$C$15, $D$11, 100%, $F$11)</f>
        <v>16.587</v>
      </c>
      <c r="C586" s="8">
        <f>CHOOSE( CONTROL!$C$32, 16.595, 16.5946) * CHOOSE(CONTROL!$C$15, $D$11, 100%, $F$11)</f>
        <v>16.594999999999999</v>
      </c>
      <c r="D586" s="8">
        <f>CHOOSE( CONTROL!$C$32, 16.5897, 16.5893) * CHOOSE( CONTROL!$C$15, $D$11, 100%, $F$11)</f>
        <v>16.589700000000001</v>
      </c>
      <c r="E586" s="12">
        <f>CHOOSE( CONTROL!$C$32, 16.5904, 16.59) * CHOOSE( CONTROL!$C$15, $D$11, 100%, $F$11)</f>
        <v>16.590399999999999</v>
      </c>
      <c r="F586" s="4">
        <f>CHOOSE( CONTROL!$C$32, 17.294, 17.2935) * CHOOSE(CONTROL!$C$15, $D$11, 100%, $F$11)</f>
        <v>17.294</v>
      </c>
      <c r="G586" s="8">
        <f>CHOOSE( CONTROL!$C$32, 16.3988, 16.3984) * CHOOSE( CONTROL!$C$15, $D$11, 100%, $F$11)</f>
        <v>16.398800000000001</v>
      </c>
      <c r="H586" s="4">
        <f>CHOOSE( CONTROL!$C$32, 17.3381, 17.3376) * CHOOSE(CONTROL!$C$15, $D$11, 100%, $F$11)</f>
        <v>17.338100000000001</v>
      </c>
      <c r="I586" s="8">
        <f>CHOOSE( CONTROL!$C$32, 16.1763, 16.1758) * CHOOSE(CONTROL!$C$15, $D$11, 100%, $F$11)</f>
        <v>16.176300000000001</v>
      </c>
      <c r="J586" s="4">
        <f>CHOOSE( CONTROL!$C$32, 16.0869, 16.0865) * CHOOSE(CONTROL!$C$15, $D$11, 100%, $F$11)</f>
        <v>16.0869</v>
      </c>
      <c r="K586" s="4"/>
      <c r="L586" s="9">
        <v>29.7257</v>
      </c>
      <c r="M586" s="9">
        <v>11.6745</v>
      </c>
      <c r="N586" s="9">
        <v>4.7850000000000001</v>
      </c>
      <c r="O586" s="9">
        <v>0.36199999999999999</v>
      </c>
      <c r="P586" s="9">
        <v>1.2509999999999999</v>
      </c>
      <c r="Q586" s="9">
        <v>19.053000000000001</v>
      </c>
      <c r="R586" s="9"/>
      <c r="S586" s="11"/>
    </row>
    <row r="587" spans="1:19" ht="15.75">
      <c r="A587" s="13">
        <v>59018</v>
      </c>
      <c r="B587" s="8">
        <f>CHOOSE( CONTROL!$C$32, 17.3003, 17.2998) * CHOOSE(CONTROL!$C$15, $D$11, 100%, $F$11)</f>
        <v>17.3003</v>
      </c>
      <c r="C587" s="8">
        <f>CHOOSE( CONTROL!$C$32, 17.3083, 17.3078) * CHOOSE(CONTROL!$C$15, $D$11, 100%, $F$11)</f>
        <v>17.308299999999999</v>
      </c>
      <c r="D587" s="8">
        <f>CHOOSE( CONTROL!$C$32, 17.3034, 17.303) * CHOOSE( CONTROL!$C$15, $D$11, 100%, $F$11)</f>
        <v>17.3034</v>
      </c>
      <c r="E587" s="12">
        <f>CHOOSE( CONTROL!$C$32, 17.304, 17.3035) * CHOOSE( CONTROL!$C$15, $D$11, 100%, $F$11)</f>
        <v>17.303999999999998</v>
      </c>
      <c r="F587" s="4">
        <f>CHOOSE( CONTROL!$C$32, 18.0072, 18.0068) * CHOOSE(CONTROL!$C$15, $D$11, 100%, $F$11)</f>
        <v>18.007200000000001</v>
      </c>
      <c r="G587" s="8">
        <f>CHOOSE( CONTROL!$C$32, 17.1041, 17.1036) * CHOOSE( CONTROL!$C$15, $D$11, 100%, $F$11)</f>
        <v>17.104099999999999</v>
      </c>
      <c r="H587" s="4">
        <f>CHOOSE( CONTROL!$C$32, 18.043, 18.0425) * CHOOSE(CONTROL!$C$15, $D$11, 100%, $F$11)</f>
        <v>18.042999999999999</v>
      </c>
      <c r="I587" s="8">
        <f>CHOOSE( CONTROL!$C$32, 16.8704, 16.87) * CHOOSE(CONTROL!$C$15, $D$11, 100%, $F$11)</f>
        <v>16.8704</v>
      </c>
      <c r="J587" s="4">
        <f>CHOOSE( CONTROL!$C$32, 16.7791, 16.7787) * CHOOSE(CONTROL!$C$15, $D$11, 100%, $F$11)</f>
        <v>16.7791</v>
      </c>
      <c r="K587" s="4"/>
      <c r="L587" s="9">
        <v>30.7165</v>
      </c>
      <c r="M587" s="9">
        <v>12.063700000000001</v>
      </c>
      <c r="N587" s="9">
        <v>4.9444999999999997</v>
      </c>
      <c r="O587" s="9">
        <v>0.37409999999999999</v>
      </c>
      <c r="P587" s="9">
        <v>1.2927</v>
      </c>
      <c r="Q587" s="9">
        <v>19.688099999999999</v>
      </c>
      <c r="R587" s="9"/>
      <c r="S587" s="11"/>
    </row>
    <row r="588" spans="1:19" ht="15.75">
      <c r="A588" s="13">
        <v>59049</v>
      </c>
      <c r="B588" s="8">
        <f>CHOOSE( CONTROL!$C$32, 15.9657, 15.9653) * CHOOSE(CONTROL!$C$15, $D$11, 100%, $F$11)</f>
        <v>15.9657</v>
      </c>
      <c r="C588" s="8">
        <f>CHOOSE( CONTROL!$C$32, 15.9737, 15.9732) * CHOOSE(CONTROL!$C$15, $D$11, 100%, $F$11)</f>
        <v>15.973699999999999</v>
      </c>
      <c r="D588" s="8">
        <f>CHOOSE( CONTROL!$C$32, 15.969, 15.9685) * CHOOSE( CONTROL!$C$15, $D$11, 100%, $F$11)</f>
        <v>15.968999999999999</v>
      </c>
      <c r="E588" s="12">
        <f>CHOOSE( CONTROL!$C$32, 15.9695, 15.969) * CHOOSE( CONTROL!$C$15, $D$11, 100%, $F$11)</f>
        <v>15.9695</v>
      </c>
      <c r="F588" s="4">
        <f>CHOOSE( CONTROL!$C$32, 16.6727, 16.6722) * CHOOSE(CONTROL!$C$15, $D$11, 100%, $F$11)</f>
        <v>16.672699999999999</v>
      </c>
      <c r="G588" s="8">
        <f>CHOOSE( CONTROL!$C$32, 15.7852, 15.7848) * CHOOSE( CONTROL!$C$15, $D$11, 100%, $F$11)</f>
        <v>15.7852</v>
      </c>
      <c r="H588" s="4">
        <f>CHOOSE( CONTROL!$C$32, 16.7241, 16.7236) * CHOOSE(CONTROL!$C$15, $D$11, 100%, $F$11)</f>
        <v>16.7241</v>
      </c>
      <c r="I588" s="8">
        <f>CHOOSE( CONTROL!$C$32, 15.575, 15.5746) * CHOOSE(CONTROL!$C$15, $D$11, 100%, $F$11)</f>
        <v>15.574999999999999</v>
      </c>
      <c r="J588" s="4">
        <f>CHOOSE( CONTROL!$C$32, 15.4839, 15.4835) * CHOOSE(CONTROL!$C$15, $D$11, 100%, $F$11)</f>
        <v>15.4839</v>
      </c>
      <c r="K588" s="4"/>
      <c r="L588" s="9">
        <v>30.7165</v>
      </c>
      <c r="M588" s="9">
        <v>12.063700000000001</v>
      </c>
      <c r="N588" s="9">
        <v>4.9444999999999997</v>
      </c>
      <c r="O588" s="9">
        <v>0.37409999999999999</v>
      </c>
      <c r="P588" s="9">
        <v>1.2927</v>
      </c>
      <c r="Q588" s="9">
        <v>19.688099999999999</v>
      </c>
      <c r="R588" s="9"/>
      <c r="S588" s="11"/>
    </row>
    <row r="589" spans="1:19" ht="15.75">
      <c r="A589" s="13">
        <v>59079</v>
      </c>
      <c r="B589" s="8">
        <f>CHOOSE( CONTROL!$C$32, 15.6315, 15.6311) * CHOOSE(CONTROL!$C$15, $D$11, 100%, $F$11)</f>
        <v>15.631500000000001</v>
      </c>
      <c r="C589" s="8">
        <f>CHOOSE( CONTROL!$C$32, 15.6395, 15.6391) * CHOOSE(CONTROL!$C$15, $D$11, 100%, $F$11)</f>
        <v>15.6395</v>
      </c>
      <c r="D589" s="8">
        <f>CHOOSE( CONTROL!$C$32, 15.6346, 15.6342) * CHOOSE( CONTROL!$C$15, $D$11, 100%, $F$11)</f>
        <v>15.634600000000001</v>
      </c>
      <c r="E589" s="12">
        <f>CHOOSE( CONTROL!$C$32, 15.6352, 15.6348) * CHOOSE( CONTROL!$C$15, $D$11, 100%, $F$11)</f>
        <v>15.635199999999999</v>
      </c>
      <c r="F589" s="4">
        <f>CHOOSE( CONTROL!$C$32, 16.3385, 16.338) * CHOOSE(CONTROL!$C$15, $D$11, 100%, $F$11)</f>
        <v>16.3385</v>
      </c>
      <c r="G589" s="8">
        <f>CHOOSE( CONTROL!$C$32, 15.4548, 15.4544) * CHOOSE( CONTROL!$C$15, $D$11, 100%, $F$11)</f>
        <v>15.454800000000001</v>
      </c>
      <c r="H589" s="4">
        <f>CHOOSE( CONTROL!$C$32, 16.3938, 16.3933) * CHOOSE(CONTROL!$C$15, $D$11, 100%, $F$11)</f>
        <v>16.393799999999999</v>
      </c>
      <c r="I589" s="8">
        <f>CHOOSE( CONTROL!$C$32, 15.25, 15.2496) * CHOOSE(CONTROL!$C$15, $D$11, 100%, $F$11)</f>
        <v>15.25</v>
      </c>
      <c r="J589" s="4">
        <f>CHOOSE( CONTROL!$C$32, 15.1596, 15.1591) * CHOOSE(CONTROL!$C$15, $D$11, 100%, $F$11)</f>
        <v>15.159599999999999</v>
      </c>
      <c r="K589" s="4"/>
      <c r="L589" s="9">
        <v>29.7257</v>
      </c>
      <c r="M589" s="9">
        <v>11.6745</v>
      </c>
      <c r="N589" s="9">
        <v>4.7850000000000001</v>
      </c>
      <c r="O589" s="9">
        <v>0.36199999999999999</v>
      </c>
      <c r="P589" s="9">
        <v>1.2509999999999999</v>
      </c>
      <c r="Q589" s="9">
        <v>19.053000000000001</v>
      </c>
      <c r="R589" s="9"/>
      <c r="S589" s="11"/>
    </row>
    <row r="590" spans="1:19" ht="15.75">
      <c r="A590" s="13">
        <v>59110</v>
      </c>
      <c r="B590" s="8">
        <f>CHOOSE( CONTROL!$C$32, 16.3235, 16.3232) * CHOOSE(CONTROL!$C$15, $D$11, 100%, $F$11)</f>
        <v>16.323499999999999</v>
      </c>
      <c r="C590" s="8">
        <f>CHOOSE( CONTROL!$C$32, 16.3288, 16.3286) * CHOOSE(CONTROL!$C$15, $D$11, 100%, $F$11)</f>
        <v>16.328800000000001</v>
      </c>
      <c r="D590" s="8">
        <f>CHOOSE( CONTROL!$C$32, 16.3291, 16.3288) * CHOOSE( CONTROL!$C$15, $D$11, 100%, $F$11)</f>
        <v>16.3291</v>
      </c>
      <c r="E590" s="12">
        <f>CHOOSE( CONTROL!$C$32, 16.3284, 16.3282) * CHOOSE( CONTROL!$C$15, $D$11, 100%, $F$11)</f>
        <v>16.328399999999998</v>
      </c>
      <c r="F590" s="4">
        <f>CHOOSE( CONTROL!$C$32, 17.0322, 17.0319) * CHOOSE(CONTROL!$C$15, $D$11, 100%, $F$11)</f>
        <v>17.0322</v>
      </c>
      <c r="G590" s="8">
        <f>CHOOSE( CONTROL!$C$32, 16.1404, 16.1401) * CHOOSE( CONTROL!$C$15, $D$11, 100%, $F$11)</f>
        <v>16.1404</v>
      </c>
      <c r="H590" s="4">
        <f>CHOOSE( CONTROL!$C$32, 17.0794, 17.0791) * CHOOSE(CONTROL!$C$15, $D$11, 100%, $F$11)</f>
        <v>17.0794</v>
      </c>
      <c r="I590" s="8">
        <f>CHOOSE( CONTROL!$C$32, 15.9243, 15.924) * CHOOSE(CONTROL!$C$15, $D$11, 100%, $F$11)</f>
        <v>15.924300000000001</v>
      </c>
      <c r="J590" s="4">
        <f>CHOOSE( CONTROL!$C$32, 15.8328, 15.8326) * CHOOSE(CONTROL!$C$15, $D$11, 100%, $F$11)</f>
        <v>15.832800000000001</v>
      </c>
      <c r="K590" s="4"/>
      <c r="L590" s="9">
        <v>31.095300000000002</v>
      </c>
      <c r="M590" s="9">
        <v>12.063700000000001</v>
      </c>
      <c r="N590" s="9">
        <v>4.9444999999999997</v>
      </c>
      <c r="O590" s="9">
        <v>0.37409999999999999</v>
      </c>
      <c r="P590" s="9">
        <v>1.2927</v>
      </c>
      <c r="Q590" s="9">
        <v>19.688099999999999</v>
      </c>
      <c r="R590" s="9"/>
      <c r="S590" s="11"/>
    </row>
    <row r="591" spans="1:19" ht="15.75">
      <c r="A591" s="13">
        <v>59140</v>
      </c>
      <c r="B591" s="8">
        <f>CHOOSE( CONTROL!$C$32, 17.6039, 17.6036) * CHOOSE(CONTROL!$C$15, $D$11, 100%, $F$11)</f>
        <v>17.603899999999999</v>
      </c>
      <c r="C591" s="8">
        <f>CHOOSE( CONTROL!$C$32, 17.609, 17.6087) * CHOOSE(CONTROL!$C$15, $D$11, 100%, $F$11)</f>
        <v>17.609000000000002</v>
      </c>
      <c r="D591" s="8">
        <f>CHOOSE( CONTROL!$C$32, 17.5768, 17.5766) * CHOOSE( CONTROL!$C$15, $D$11, 100%, $F$11)</f>
        <v>17.576799999999999</v>
      </c>
      <c r="E591" s="12">
        <f>CHOOSE( CONTROL!$C$32, 17.588, 17.5878) * CHOOSE( CONTROL!$C$15, $D$11, 100%, $F$11)</f>
        <v>17.588000000000001</v>
      </c>
      <c r="F591" s="4">
        <f>CHOOSE( CONTROL!$C$32, 18.2692, 18.2689) * CHOOSE(CONTROL!$C$15, $D$11, 100%, $F$11)</f>
        <v>18.269200000000001</v>
      </c>
      <c r="G591" s="8">
        <f>CHOOSE( CONTROL!$C$32, 17.3951, 17.3948) * CHOOSE( CONTROL!$C$15, $D$11, 100%, $F$11)</f>
        <v>17.395099999999999</v>
      </c>
      <c r="H591" s="4">
        <f>CHOOSE( CONTROL!$C$32, 18.3019, 18.3016) * CHOOSE(CONTROL!$C$15, $D$11, 100%, $F$11)</f>
        <v>18.3019</v>
      </c>
      <c r="I591" s="8">
        <f>CHOOSE( CONTROL!$C$32, 17.2187, 17.2185) * CHOOSE(CONTROL!$C$15, $D$11, 100%, $F$11)</f>
        <v>17.218699999999998</v>
      </c>
      <c r="J591" s="4">
        <f>CHOOSE( CONTROL!$C$32, 17.0758, 17.0756) * CHOOSE(CONTROL!$C$15, $D$11, 100%, $F$11)</f>
        <v>17.075800000000001</v>
      </c>
      <c r="K591" s="4"/>
      <c r="L591" s="9">
        <v>28.360600000000002</v>
      </c>
      <c r="M591" s="9">
        <v>11.6745</v>
      </c>
      <c r="N591" s="9">
        <v>4.7850000000000001</v>
      </c>
      <c r="O591" s="9">
        <v>0.36199999999999999</v>
      </c>
      <c r="P591" s="9">
        <v>1.2509999999999999</v>
      </c>
      <c r="Q591" s="9">
        <v>19.053000000000001</v>
      </c>
      <c r="R591" s="9"/>
      <c r="S591" s="11"/>
    </row>
    <row r="592" spans="1:19" ht="15.75">
      <c r="A592" s="13">
        <v>59171</v>
      </c>
      <c r="B592" s="8">
        <f>CHOOSE( CONTROL!$C$32, 17.5719, 17.5716) * CHOOSE(CONTROL!$C$15, $D$11, 100%, $F$11)</f>
        <v>17.571899999999999</v>
      </c>
      <c r="C592" s="8">
        <f>CHOOSE( CONTROL!$C$32, 17.577, 17.5767) * CHOOSE(CONTROL!$C$15, $D$11, 100%, $F$11)</f>
        <v>17.577000000000002</v>
      </c>
      <c r="D592" s="8">
        <f>CHOOSE( CONTROL!$C$32, 17.5467, 17.5464) * CHOOSE( CONTROL!$C$15, $D$11, 100%, $F$11)</f>
        <v>17.546700000000001</v>
      </c>
      <c r="E592" s="12">
        <f>CHOOSE( CONTROL!$C$32, 17.5572, 17.5569) * CHOOSE( CONTROL!$C$15, $D$11, 100%, $F$11)</f>
        <v>17.557200000000002</v>
      </c>
      <c r="F592" s="4">
        <f>CHOOSE( CONTROL!$C$32, 18.2372, 18.2369) * CHOOSE(CONTROL!$C$15, $D$11, 100%, $F$11)</f>
        <v>18.237200000000001</v>
      </c>
      <c r="G592" s="8">
        <f>CHOOSE( CONTROL!$C$32, 17.3648, 17.3645) * CHOOSE( CONTROL!$C$15, $D$11, 100%, $F$11)</f>
        <v>17.364799999999999</v>
      </c>
      <c r="H592" s="4">
        <f>CHOOSE( CONTROL!$C$32, 18.2702, 18.27) * CHOOSE(CONTROL!$C$15, $D$11, 100%, $F$11)</f>
        <v>18.270199999999999</v>
      </c>
      <c r="I592" s="8">
        <f>CHOOSE( CONTROL!$C$32, 17.1934, 17.1931) * CHOOSE(CONTROL!$C$15, $D$11, 100%, $F$11)</f>
        <v>17.1934</v>
      </c>
      <c r="J592" s="4">
        <f>CHOOSE( CONTROL!$C$32, 17.0448, 17.0445) * CHOOSE(CONTROL!$C$15, $D$11, 100%, $F$11)</f>
        <v>17.044799999999999</v>
      </c>
      <c r="K592" s="4"/>
      <c r="L592" s="9">
        <v>29.306000000000001</v>
      </c>
      <c r="M592" s="9">
        <v>12.063700000000001</v>
      </c>
      <c r="N592" s="9">
        <v>4.9444999999999997</v>
      </c>
      <c r="O592" s="9">
        <v>0.37409999999999999</v>
      </c>
      <c r="P592" s="9">
        <v>1.2927</v>
      </c>
      <c r="Q592" s="9">
        <v>19.688099999999999</v>
      </c>
      <c r="R592" s="9"/>
      <c r="S592" s="11"/>
    </row>
    <row r="593" spans="1:19" ht="15.75">
      <c r="A593" s="13">
        <v>59202</v>
      </c>
      <c r="B593" s="8">
        <f>CHOOSE( CONTROL!$C$32, 18.0899, 18.0897) * CHOOSE(CONTROL!$C$15, $D$11, 100%, $F$11)</f>
        <v>18.0899</v>
      </c>
      <c r="C593" s="8">
        <f>CHOOSE( CONTROL!$C$32, 18.095, 18.0947) * CHOOSE(CONTROL!$C$15, $D$11, 100%, $F$11)</f>
        <v>18.094999999999999</v>
      </c>
      <c r="D593" s="8">
        <f>CHOOSE( CONTROL!$C$32, 18.0926, 18.0924) * CHOOSE( CONTROL!$C$15, $D$11, 100%, $F$11)</f>
        <v>18.092600000000001</v>
      </c>
      <c r="E593" s="12">
        <f>CHOOSE( CONTROL!$C$32, 18.0929, 18.0927) * CHOOSE( CONTROL!$C$15, $D$11, 100%, $F$11)</f>
        <v>18.0929</v>
      </c>
      <c r="F593" s="4">
        <f>CHOOSE( CONTROL!$C$32, 18.7552, 18.7549) * CHOOSE(CONTROL!$C$15, $D$11, 100%, $F$11)</f>
        <v>18.755199999999999</v>
      </c>
      <c r="G593" s="8">
        <f>CHOOSE( CONTROL!$C$32, 17.8929, 17.8926) * CHOOSE( CONTROL!$C$15, $D$11, 100%, $F$11)</f>
        <v>17.892900000000001</v>
      </c>
      <c r="H593" s="4">
        <f>CHOOSE( CONTROL!$C$32, 18.7822, 18.782) * CHOOSE(CONTROL!$C$15, $D$11, 100%, $F$11)</f>
        <v>18.7822</v>
      </c>
      <c r="I593" s="8">
        <f>CHOOSE( CONTROL!$C$32, 17.6699, 17.6696) * CHOOSE(CONTROL!$C$15, $D$11, 100%, $F$11)</f>
        <v>17.669899999999998</v>
      </c>
      <c r="J593" s="4">
        <f>CHOOSE( CONTROL!$C$32, 17.5475, 17.5473) * CHOOSE(CONTROL!$C$15, $D$11, 100%, $F$11)</f>
        <v>17.547499999999999</v>
      </c>
      <c r="K593" s="4"/>
      <c r="L593" s="9">
        <v>29.306000000000001</v>
      </c>
      <c r="M593" s="9">
        <v>12.063700000000001</v>
      </c>
      <c r="N593" s="9">
        <v>4.9444999999999997</v>
      </c>
      <c r="O593" s="9">
        <v>0.37409999999999999</v>
      </c>
      <c r="P593" s="9">
        <v>1.2927</v>
      </c>
      <c r="Q593" s="9">
        <v>19.688099999999999</v>
      </c>
      <c r="R593" s="9"/>
      <c r="S593" s="11"/>
    </row>
    <row r="594" spans="1:19" ht="15.75">
      <c r="A594" s="13">
        <v>59230</v>
      </c>
      <c r="B594" s="8">
        <f>CHOOSE( CONTROL!$C$32, 16.9211, 16.9208) * CHOOSE(CONTROL!$C$15, $D$11, 100%, $F$11)</f>
        <v>16.921099999999999</v>
      </c>
      <c r="C594" s="8">
        <f>CHOOSE( CONTROL!$C$32, 16.9261, 16.9259) * CHOOSE(CONTROL!$C$15, $D$11, 100%, $F$11)</f>
        <v>16.926100000000002</v>
      </c>
      <c r="D594" s="8">
        <f>CHOOSE( CONTROL!$C$32, 16.9061, 16.9058) * CHOOSE( CONTROL!$C$15, $D$11, 100%, $F$11)</f>
        <v>16.906099999999999</v>
      </c>
      <c r="E594" s="12">
        <f>CHOOSE( CONTROL!$C$32, 16.9129, 16.9126) * CHOOSE( CONTROL!$C$15, $D$11, 100%, $F$11)</f>
        <v>16.9129</v>
      </c>
      <c r="F594" s="4">
        <f>CHOOSE( CONTROL!$C$32, 17.5863, 17.5861) * CHOOSE(CONTROL!$C$15, $D$11, 100%, $F$11)</f>
        <v>17.586300000000001</v>
      </c>
      <c r="G594" s="8">
        <f>CHOOSE( CONTROL!$C$32, 16.7266, 16.7263) * CHOOSE( CONTROL!$C$15, $D$11, 100%, $F$11)</f>
        <v>16.726600000000001</v>
      </c>
      <c r="H594" s="4">
        <f>CHOOSE( CONTROL!$C$32, 17.627, 17.6268) * CHOOSE(CONTROL!$C$15, $D$11, 100%, $F$11)</f>
        <v>17.626999999999999</v>
      </c>
      <c r="I594" s="8">
        <f>CHOOSE( CONTROL!$C$32, 16.5354, 16.5351) * CHOOSE(CONTROL!$C$15, $D$11, 100%, $F$11)</f>
        <v>16.535399999999999</v>
      </c>
      <c r="J594" s="4">
        <f>CHOOSE( CONTROL!$C$32, 16.4131, 16.4129) * CHOOSE(CONTROL!$C$15, $D$11, 100%, $F$11)</f>
        <v>16.4131</v>
      </c>
      <c r="K594" s="4"/>
      <c r="L594" s="9">
        <v>26.469899999999999</v>
      </c>
      <c r="M594" s="9">
        <v>10.8962</v>
      </c>
      <c r="N594" s="9">
        <v>4.4660000000000002</v>
      </c>
      <c r="O594" s="9">
        <v>0.33789999999999998</v>
      </c>
      <c r="P594" s="9">
        <v>1.1676</v>
      </c>
      <c r="Q594" s="9">
        <v>17.782800000000002</v>
      </c>
      <c r="R594" s="9"/>
      <c r="S594" s="11"/>
    </row>
    <row r="595" spans="1:19" ht="15.75">
      <c r="A595" s="13">
        <v>59261</v>
      </c>
      <c r="B595" s="8">
        <f>CHOOSE( CONTROL!$C$32, 16.561, 16.5608) * CHOOSE(CONTROL!$C$15, $D$11, 100%, $F$11)</f>
        <v>16.561</v>
      </c>
      <c r="C595" s="8">
        <f>CHOOSE( CONTROL!$C$32, 16.5661, 16.5658) * CHOOSE(CONTROL!$C$15, $D$11, 100%, $F$11)</f>
        <v>16.566099999999999</v>
      </c>
      <c r="D595" s="8">
        <f>CHOOSE( CONTROL!$C$32, 16.5361, 16.5359) * CHOOSE( CONTROL!$C$15, $D$11, 100%, $F$11)</f>
        <v>16.536100000000001</v>
      </c>
      <c r="E595" s="12">
        <f>CHOOSE( CONTROL!$C$32, 16.5465, 16.5463) * CHOOSE( CONTROL!$C$15, $D$11, 100%, $F$11)</f>
        <v>16.546500000000002</v>
      </c>
      <c r="F595" s="4">
        <f>CHOOSE( CONTROL!$C$32, 17.2263, 17.226) * CHOOSE(CONTROL!$C$15, $D$11, 100%, $F$11)</f>
        <v>17.226299999999998</v>
      </c>
      <c r="G595" s="8">
        <f>CHOOSE( CONTROL!$C$32, 16.3575, 16.3573) * CHOOSE( CONTROL!$C$15, $D$11, 100%, $F$11)</f>
        <v>16.357500000000002</v>
      </c>
      <c r="H595" s="4">
        <f>CHOOSE( CONTROL!$C$32, 17.2712, 17.271) * CHOOSE(CONTROL!$C$15, $D$11, 100%, $F$11)</f>
        <v>17.2712</v>
      </c>
      <c r="I595" s="8">
        <f>CHOOSE( CONTROL!$C$32, 16.1506, 16.1503) * CHOOSE(CONTROL!$C$15, $D$11, 100%, $F$11)</f>
        <v>16.150600000000001</v>
      </c>
      <c r="J595" s="4">
        <f>CHOOSE( CONTROL!$C$32, 16.0637, 16.0635) * CHOOSE(CONTROL!$C$15, $D$11, 100%, $F$11)</f>
        <v>16.063700000000001</v>
      </c>
      <c r="K595" s="4"/>
      <c r="L595" s="9">
        <v>29.306000000000001</v>
      </c>
      <c r="M595" s="9">
        <v>12.063700000000001</v>
      </c>
      <c r="N595" s="9">
        <v>4.9444999999999997</v>
      </c>
      <c r="O595" s="9">
        <v>0.37409999999999999</v>
      </c>
      <c r="P595" s="9">
        <v>1.2927</v>
      </c>
      <c r="Q595" s="9">
        <v>19.688099999999999</v>
      </c>
      <c r="R595" s="9"/>
      <c r="S595" s="11"/>
    </row>
    <row r="596" spans="1:19" ht="15.75">
      <c r="A596" s="13">
        <v>59291</v>
      </c>
      <c r="B596" s="8">
        <f>CHOOSE( CONTROL!$C$32, 16.8134, 16.8131) * CHOOSE(CONTROL!$C$15, $D$11, 100%, $F$11)</f>
        <v>16.813400000000001</v>
      </c>
      <c r="C596" s="8">
        <f>CHOOSE( CONTROL!$C$32, 16.8179, 16.8176) * CHOOSE(CONTROL!$C$15, $D$11, 100%, $F$11)</f>
        <v>16.817900000000002</v>
      </c>
      <c r="D596" s="8">
        <f>CHOOSE( CONTROL!$C$32, 16.8174, 16.8171) * CHOOSE( CONTROL!$C$15, $D$11, 100%, $F$11)</f>
        <v>16.817399999999999</v>
      </c>
      <c r="E596" s="12">
        <f>CHOOSE( CONTROL!$C$32, 16.8171, 16.8168) * CHOOSE( CONTROL!$C$15, $D$11, 100%, $F$11)</f>
        <v>16.8171</v>
      </c>
      <c r="F596" s="4">
        <f>CHOOSE( CONTROL!$C$32, 17.5217, 17.5214) * CHOOSE(CONTROL!$C$15, $D$11, 100%, $F$11)</f>
        <v>17.521699999999999</v>
      </c>
      <c r="G596" s="8">
        <f>CHOOSE( CONTROL!$C$32, 16.6232, 16.6229) * CHOOSE( CONTROL!$C$15, $D$11, 100%, $F$11)</f>
        <v>16.623200000000001</v>
      </c>
      <c r="H596" s="4">
        <f>CHOOSE( CONTROL!$C$32, 17.5631, 17.5629) * CHOOSE(CONTROL!$C$15, $D$11, 100%, $F$11)</f>
        <v>17.563099999999999</v>
      </c>
      <c r="I596" s="8">
        <f>CHOOSE( CONTROL!$C$32, 16.3954, 16.3951) * CHOOSE(CONTROL!$C$15, $D$11, 100%, $F$11)</f>
        <v>16.395399999999999</v>
      </c>
      <c r="J596" s="4">
        <f>CHOOSE( CONTROL!$C$32, 16.3079, 16.3076) * CHOOSE(CONTROL!$C$15, $D$11, 100%, $F$11)</f>
        <v>16.3079</v>
      </c>
      <c r="K596" s="4"/>
      <c r="L596" s="9">
        <v>30.092199999999998</v>
      </c>
      <c r="M596" s="9">
        <v>11.6745</v>
      </c>
      <c r="N596" s="9">
        <v>4.7850000000000001</v>
      </c>
      <c r="O596" s="9">
        <v>0.36199999999999999</v>
      </c>
      <c r="P596" s="9">
        <v>1.2509999999999999</v>
      </c>
      <c r="Q596" s="9">
        <v>19.053000000000001</v>
      </c>
      <c r="R596" s="9"/>
      <c r="S596" s="11"/>
    </row>
    <row r="597" spans="1:19" ht="15.75">
      <c r="A597" s="13">
        <v>59322</v>
      </c>
      <c r="B597" s="8">
        <f>CHOOSE( CONTROL!$C$32, 17.2627, 17.2622) * CHOOSE(CONTROL!$C$15, $D$11, 100%, $F$11)</f>
        <v>17.262699999999999</v>
      </c>
      <c r="C597" s="8">
        <f>CHOOSE( CONTROL!$C$32, 17.2706, 17.2702) * CHOOSE(CONTROL!$C$15, $D$11, 100%, $F$11)</f>
        <v>17.270600000000002</v>
      </c>
      <c r="D597" s="8">
        <f>CHOOSE( CONTROL!$C$32, 17.2649, 17.2645) * CHOOSE( CONTROL!$C$15, $D$11, 100%, $F$11)</f>
        <v>17.264900000000001</v>
      </c>
      <c r="E597" s="12">
        <f>CHOOSE( CONTROL!$C$32, 17.2658, 17.2653) * CHOOSE( CONTROL!$C$15, $D$11, 100%, $F$11)</f>
        <v>17.265799999999999</v>
      </c>
      <c r="F597" s="4">
        <f>CHOOSE( CONTROL!$C$32, 17.9696, 17.9691) * CHOOSE(CONTROL!$C$15, $D$11, 100%, $F$11)</f>
        <v>17.9696</v>
      </c>
      <c r="G597" s="8">
        <f>CHOOSE( CONTROL!$C$32, 17.0662, 17.0657) * CHOOSE( CONTROL!$C$15, $D$11, 100%, $F$11)</f>
        <v>17.066199999999998</v>
      </c>
      <c r="H597" s="4">
        <f>CHOOSE( CONTROL!$C$32, 18.0058, 18.0054) * CHOOSE(CONTROL!$C$15, $D$11, 100%, $F$11)</f>
        <v>18.005800000000001</v>
      </c>
      <c r="I597" s="8">
        <f>CHOOSE( CONTROL!$C$32, 16.8309, 16.8305) * CHOOSE(CONTROL!$C$15, $D$11, 100%, $F$11)</f>
        <v>16.8309</v>
      </c>
      <c r="J597" s="4">
        <f>CHOOSE( CONTROL!$C$32, 16.7426, 16.7421) * CHOOSE(CONTROL!$C$15, $D$11, 100%, $F$11)</f>
        <v>16.742599999999999</v>
      </c>
      <c r="K597" s="4"/>
      <c r="L597" s="9">
        <v>30.7165</v>
      </c>
      <c r="M597" s="9">
        <v>12.063700000000001</v>
      </c>
      <c r="N597" s="9">
        <v>4.9444999999999997</v>
      </c>
      <c r="O597" s="9">
        <v>0.37409999999999999</v>
      </c>
      <c r="P597" s="9">
        <v>1.2927</v>
      </c>
      <c r="Q597" s="9">
        <v>19.688099999999999</v>
      </c>
      <c r="R597" s="9"/>
      <c r="S597" s="11"/>
    </row>
    <row r="598" spans="1:19" ht="15.75">
      <c r="A598" s="13">
        <v>59352</v>
      </c>
      <c r="B598" s="8">
        <f>CHOOSE( CONTROL!$C$32, 16.9853, 16.9848) * CHOOSE(CONTROL!$C$15, $D$11, 100%, $F$11)</f>
        <v>16.985299999999999</v>
      </c>
      <c r="C598" s="8">
        <f>CHOOSE( CONTROL!$C$32, 16.9933, 16.9928) * CHOOSE(CONTROL!$C$15, $D$11, 100%, $F$11)</f>
        <v>16.993300000000001</v>
      </c>
      <c r="D598" s="8">
        <f>CHOOSE( CONTROL!$C$32, 16.988, 16.9875) * CHOOSE( CONTROL!$C$15, $D$11, 100%, $F$11)</f>
        <v>16.988</v>
      </c>
      <c r="E598" s="12">
        <f>CHOOSE( CONTROL!$C$32, 16.9887, 16.9882) * CHOOSE( CONTROL!$C$15, $D$11, 100%, $F$11)</f>
        <v>16.988700000000001</v>
      </c>
      <c r="F598" s="4">
        <f>CHOOSE( CONTROL!$C$32, 17.6922, 17.6918) * CHOOSE(CONTROL!$C$15, $D$11, 100%, $F$11)</f>
        <v>17.6922</v>
      </c>
      <c r="G598" s="8">
        <f>CHOOSE( CONTROL!$C$32, 16.7924, 16.792) * CHOOSE( CONTROL!$C$15, $D$11, 100%, $F$11)</f>
        <v>16.792400000000001</v>
      </c>
      <c r="H598" s="4">
        <f>CHOOSE( CONTROL!$C$32, 17.7317, 17.7312) * CHOOSE(CONTROL!$C$15, $D$11, 100%, $F$11)</f>
        <v>17.7317</v>
      </c>
      <c r="I598" s="8">
        <f>CHOOSE( CONTROL!$C$32, 16.563, 16.5626) * CHOOSE(CONTROL!$C$15, $D$11, 100%, $F$11)</f>
        <v>16.562999999999999</v>
      </c>
      <c r="J598" s="4">
        <f>CHOOSE( CONTROL!$C$32, 16.4734, 16.473) * CHOOSE(CONTROL!$C$15, $D$11, 100%, $F$11)</f>
        <v>16.473400000000002</v>
      </c>
      <c r="K598" s="4"/>
      <c r="L598" s="9">
        <v>29.7257</v>
      </c>
      <c r="M598" s="9">
        <v>11.6745</v>
      </c>
      <c r="N598" s="9">
        <v>4.7850000000000001</v>
      </c>
      <c r="O598" s="9">
        <v>0.36199999999999999</v>
      </c>
      <c r="P598" s="9">
        <v>1.2509999999999999</v>
      </c>
      <c r="Q598" s="9">
        <v>19.053000000000001</v>
      </c>
      <c r="R598" s="9"/>
      <c r="S598" s="11"/>
    </row>
    <row r="599" spans="1:19" ht="15.75">
      <c r="A599" s="13">
        <v>59383</v>
      </c>
      <c r="B599" s="8">
        <f>CHOOSE( CONTROL!$C$32, 17.7157, 17.7152) * CHOOSE(CONTROL!$C$15, $D$11, 100%, $F$11)</f>
        <v>17.715699999999998</v>
      </c>
      <c r="C599" s="8">
        <f>CHOOSE( CONTROL!$C$32, 17.7237, 17.7232) * CHOOSE(CONTROL!$C$15, $D$11, 100%, $F$11)</f>
        <v>17.723700000000001</v>
      </c>
      <c r="D599" s="8">
        <f>CHOOSE( CONTROL!$C$32, 17.7188, 17.7184) * CHOOSE( CONTROL!$C$15, $D$11, 100%, $F$11)</f>
        <v>17.718800000000002</v>
      </c>
      <c r="E599" s="12">
        <f>CHOOSE( CONTROL!$C$32, 17.7194, 17.7189) * CHOOSE( CONTROL!$C$15, $D$11, 100%, $F$11)</f>
        <v>17.7194</v>
      </c>
      <c r="F599" s="4">
        <f>CHOOSE( CONTROL!$C$32, 18.4226, 18.4222) * CHOOSE(CONTROL!$C$15, $D$11, 100%, $F$11)</f>
        <v>18.422599999999999</v>
      </c>
      <c r="G599" s="8">
        <f>CHOOSE( CONTROL!$C$32, 17.5146, 17.5141) * CHOOSE( CONTROL!$C$15, $D$11, 100%, $F$11)</f>
        <v>17.514600000000002</v>
      </c>
      <c r="H599" s="4">
        <f>CHOOSE( CONTROL!$C$32, 18.4535, 18.4531) * CHOOSE(CONTROL!$C$15, $D$11, 100%, $F$11)</f>
        <v>18.453499999999998</v>
      </c>
      <c r="I599" s="8">
        <f>CHOOSE( CONTROL!$C$32, 17.2737, 17.2733) * CHOOSE(CONTROL!$C$15, $D$11, 100%, $F$11)</f>
        <v>17.273700000000002</v>
      </c>
      <c r="J599" s="4">
        <f>CHOOSE( CONTROL!$C$32, 17.1823, 17.1818) * CHOOSE(CONTROL!$C$15, $D$11, 100%, $F$11)</f>
        <v>17.182300000000001</v>
      </c>
      <c r="K599" s="4"/>
      <c r="L599" s="9">
        <v>30.7165</v>
      </c>
      <c r="M599" s="9">
        <v>12.063700000000001</v>
      </c>
      <c r="N599" s="9">
        <v>4.9444999999999997</v>
      </c>
      <c r="O599" s="9">
        <v>0.37409999999999999</v>
      </c>
      <c r="P599" s="9">
        <v>1.2927</v>
      </c>
      <c r="Q599" s="9">
        <v>19.688099999999999</v>
      </c>
      <c r="R599" s="9"/>
      <c r="S599" s="11"/>
    </row>
    <row r="600" spans="1:19" ht="15.75">
      <c r="A600" s="13">
        <v>59414</v>
      </c>
      <c r="B600" s="8">
        <f>CHOOSE( CONTROL!$C$32, 16.3491, 16.3486) * CHOOSE(CONTROL!$C$15, $D$11, 100%, $F$11)</f>
        <v>16.3491</v>
      </c>
      <c r="C600" s="8">
        <f>CHOOSE( CONTROL!$C$32, 16.357, 16.3566) * CHOOSE(CONTROL!$C$15, $D$11, 100%, $F$11)</f>
        <v>16.356999999999999</v>
      </c>
      <c r="D600" s="8">
        <f>CHOOSE( CONTROL!$C$32, 16.3523, 16.3519) * CHOOSE( CONTROL!$C$15, $D$11, 100%, $F$11)</f>
        <v>16.3523</v>
      </c>
      <c r="E600" s="12">
        <f>CHOOSE( CONTROL!$C$32, 16.3528, 16.3524) * CHOOSE( CONTROL!$C$15, $D$11, 100%, $F$11)</f>
        <v>16.352799999999998</v>
      </c>
      <c r="F600" s="4">
        <f>CHOOSE( CONTROL!$C$32, 17.056, 17.0555) * CHOOSE(CONTROL!$C$15, $D$11, 100%, $F$11)</f>
        <v>17.056000000000001</v>
      </c>
      <c r="G600" s="8">
        <f>CHOOSE( CONTROL!$C$32, 16.1641, 16.1636) * CHOOSE( CONTROL!$C$15, $D$11, 100%, $F$11)</f>
        <v>16.164100000000001</v>
      </c>
      <c r="H600" s="4">
        <f>CHOOSE( CONTROL!$C$32, 17.1029, 17.1025) * CHOOSE(CONTROL!$C$15, $D$11, 100%, $F$11)</f>
        <v>17.102900000000002</v>
      </c>
      <c r="I600" s="8">
        <f>CHOOSE( CONTROL!$C$32, 15.9472, 15.9468) * CHOOSE(CONTROL!$C$15, $D$11, 100%, $F$11)</f>
        <v>15.9472</v>
      </c>
      <c r="J600" s="4">
        <f>CHOOSE( CONTROL!$C$32, 15.8559, 15.8555) * CHOOSE(CONTROL!$C$15, $D$11, 100%, $F$11)</f>
        <v>15.8559</v>
      </c>
      <c r="K600" s="4"/>
      <c r="L600" s="9">
        <v>30.7165</v>
      </c>
      <c r="M600" s="9">
        <v>12.063700000000001</v>
      </c>
      <c r="N600" s="9">
        <v>4.9444999999999997</v>
      </c>
      <c r="O600" s="9">
        <v>0.37409999999999999</v>
      </c>
      <c r="P600" s="9">
        <v>1.2927</v>
      </c>
      <c r="Q600" s="9">
        <v>19.688099999999999</v>
      </c>
      <c r="R600" s="9"/>
      <c r="S600" s="11"/>
    </row>
    <row r="601" spans="1:19" ht="15.75">
      <c r="A601" s="13">
        <v>59444</v>
      </c>
      <c r="B601" s="8">
        <f>CHOOSE( CONTROL!$C$32, 16.0068, 16.0064) * CHOOSE(CONTROL!$C$15, $D$11, 100%, $F$11)</f>
        <v>16.006799999999998</v>
      </c>
      <c r="C601" s="8">
        <f>CHOOSE( CONTROL!$C$32, 16.0148, 16.0144) * CHOOSE(CONTROL!$C$15, $D$11, 100%, $F$11)</f>
        <v>16.014800000000001</v>
      </c>
      <c r="D601" s="8">
        <f>CHOOSE( CONTROL!$C$32, 16.01, 16.0095) * CHOOSE( CONTROL!$C$15, $D$11, 100%, $F$11)</f>
        <v>16.010000000000002</v>
      </c>
      <c r="E601" s="12">
        <f>CHOOSE( CONTROL!$C$32, 16.0105, 16.0101) * CHOOSE( CONTROL!$C$15, $D$11, 100%, $F$11)</f>
        <v>16.0105</v>
      </c>
      <c r="F601" s="4">
        <f>CHOOSE( CONTROL!$C$32, 16.7138, 16.7133) * CHOOSE(CONTROL!$C$15, $D$11, 100%, $F$11)</f>
        <v>16.713799999999999</v>
      </c>
      <c r="G601" s="8">
        <f>CHOOSE( CONTROL!$C$32, 15.8258, 15.8253) * CHOOSE( CONTROL!$C$15, $D$11, 100%, $F$11)</f>
        <v>15.825799999999999</v>
      </c>
      <c r="H601" s="4">
        <f>CHOOSE( CONTROL!$C$32, 16.7647, 16.7642) * CHOOSE(CONTROL!$C$15, $D$11, 100%, $F$11)</f>
        <v>16.764700000000001</v>
      </c>
      <c r="I601" s="8">
        <f>CHOOSE( CONTROL!$C$32, 15.6144, 15.614) * CHOOSE(CONTROL!$C$15, $D$11, 100%, $F$11)</f>
        <v>15.6144</v>
      </c>
      <c r="J601" s="4">
        <f>CHOOSE( CONTROL!$C$32, 15.5238, 15.5234) * CHOOSE(CONTROL!$C$15, $D$11, 100%, $F$11)</f>
        <v>15.5238</v>
      </c>
      <c r="K601" s="4"/>
      <c r="L601" s="9">
        <v>29.7257</v>
      </c>
      <c r="M601" s="9">
        <v>11.6745</v>
      </c>
      <c r="N601" s="9">
        <v>4.7850000000000001</v>
      </c>
      <c r="O601" s="9">
        <v>0.36199999999999999</v>
      </c>
      <c r="P601" s="9">
        <v>1.2509999999999999</v>
      </c>
      <c r="Q601" s="9">
        <v>19.053000000000001</v>
      </c>
      <c r="R601" s="9"/>
      <c r="S601" s="11"/>
    </row>
    <row r="602" spans="1:19" ht="15.75">
      <c r="A602" s="13">
        <v>59475</v>
      </c>
      <c r="B602" s="8">
        <f>CHOOSE( CONTROL!$C$32, 16.7155, 16.7152) * CHOOSE(CONTROL!$C$15, $D$11, 100%, $F$11)</f>
        <v>16.715499999999999</v>
      </c>
      <c r="C602" s="8">
        <f>CHOOSE( CONTROL!$C$32, 16.7208, 16.7206) * CHOOSE(CONTROL!$C$15, $D$11, 100%, $F$11)</f>
        <v>16.720800000000001</v>
      </c>
      <c r="D602" s="8">
        <f>CHOOSE( CONTROL!$C$32, 16.721, 16.7208) * CHOOSE( CONTROL!$C$15, $D$11, 100%, $F$11)</f>
        <v>16.721</v>
      </c>
      <c r="E602" s="12">
        <f>CHOOSE( CONTROL!$C$32, 16.7204, 16.7202) * CHOOSE( CONTROL!$C$15, $D$11, 100%, $F$11)</f>
        <v>16.720400000000001</v>
      </c>
      <c r="F602" s="4">
        <f>CHOOSE( CONTROL!$C$32, 17.4242, 17.4239) * CHOOSE(CONTROL!$C$15, $D$11, 100%, $F$11)</f>
        <v>17.424199999999999</v>
      </c>
      <c r="G602" s="8">
        <f>CHOOSE( CONTROL!$C$32, 16.5278, 16.5275) * CHOOSE( CONTROL!$C$15, $D$11, 100%, $F$11)</f>
        <v>16.527799999999999</v>
      </c>
      <c r="H602" s="4">
        <f>CHOOSE( CONTROL!$C$32, 17.4668, 17.4665) * CHOOSE(CONTROL!$C$15, $D$11, 100%, $F$11)</f>
        <v>17.466799999999999</v>
      </c>
      <c r="I602" s="8">
        <f>CHOOSE( CONTROL!$C$32, 16.3049, 16.3046) * CHOOSE(CONTROL!$C$15, $D$11, 100%, $F$11)</f>
        <v>16.3049</v>
      </c>
      <c r="J602" s="4">
        <f>CHOOSE( CONTROL!$C$32, 16.2132, 16.213) * CHOOSE(CONTROL!$C$15, $D$11, 100%, $F$11)</f>
        <v>16.213200000000001</v>
      </c>
      <c r="K602" s="4"/>
      <c r="L602" s="9">
        <v>31.095300000000002</v>
      </c>
      <c r="M602" s="9">
        <v>12.063700000000001</v>
      </c>
      <c r="N602" s="9">
        <v>4.9444999999999997</v>
      </c>
      <c r="O602" s="9">
        <v>0.37409999999999999</v>
      </c>
      <c r="P602" s="9">
        <v>1.2927</v>
      </c>
      <c r="Q602" s="9">
        <v>19.688099999999999</v>
      </c>
      <c r="R602" s="9"/>
      <c r="S602" s="11"/>
    </row>
    <row r="603" spans="1:19" ht="15.75">
      <c r="A603" s="13">
        <v>59505</v>
      </c>
      <c r="B603" s="8">
        <f>CHOOSE( CONTROL!$C$32, 18.0266, 18.0264) * CHOOSE(CONTROL!$C$15, $D$11, 100%, $F$11)</f>
        <v>18.026599999999998</v>
      </c>
      <c r="C603" s="8">
        <f>CHOOSE( CONTROL!$C$32, 18.0317, 18.0315) * CHOOSE(CONTROL!$C$15, $D$11, 100%, $F$11)</f>
        <v>18.031700000000001</v>
      </c>
      <c r="D603" s="8">
        <f>CHOOSE( CONTROL!$C$32, 17.9996, 17.9993) * CHOOSE( CONTROL!$C$15, $D$11, 100%, $F$11)</f>
        <v>17.999600000000001</v>
      </c>
      <c r="E603" s="12">
        <f>CHOOSE( CONTROL!$C$32, 18.0108, 18.0105) * CHOOSE( CONTROL!$C$15, $D$11, 100%, $F$11)</f>
        <v>18.0108</v>
      </c>
      <c r="F603" s="4">
        <f>CHOOSE( CONTROL!$C$32, 18.6919, 18.6917) * CHOOSE(CONTROL!$C$15, $D$11, 100%, $F$11)</f>
        <v>18.6919</v>
      </c>
      <c r="G603" s="8">
        <f>CHOOSE( CONTROL!$C$32, 17.8129, 17.8126) * CHOOSE( CONTROL!$C$15, $D$11, 100%, $F$11)</f>
        <v>17.812899999999999</v>
      </c>
      <c r="H603" s="4">
        <f>CHOOSE( CONTROL!$C$32, 18.7197, 18.7194) * CHOOSE(CONTROL!$C$15, $D$11, 100%, $F$11)</f>
        <v>18.7197</v>
      </c>
      <c r="I603" s="8">
        <f>CHOOSE( CONTROL!$C$32, 17.6292, 17.629) * CHOOSE(CONTROL!$C$15, $D$11, 100%, $F$11)</f>
        <v>17.629200000000001</v>
      </c>
      <c r="J603" s="4">
        <f>CHOOSE( CONTROL!$C$32, 17.4861, 17.4858) * CHOOSE(CONTROL!$C$15, $D$11, 100%, $F$11)</f>
        <v>17.4861</v>
      </c>
      <c r="K603" s="4"/>
      <c r="L603" s="9">
        <v>28.360600000000002</v>
      </c>
      <c r="M603" s="9">
        <v>11.6745</v>
      </c>
      <c r="N603" s="9">
        <v>4.7850000000000001</v>
      </c>
      <c r="O603" s="9">
        <v>0.36199999999999999</v>
      </c>
      <c r="P603" s="9">
        <v>1.2509999999999999</v>
      </c>
      <c r="Q603" s="9">
        <v>19.053000000000001</v>
      </c>
      <c r="R603" s="9"/>
      <c r="S603" s="11"/>
    </row>
    <row r="604" spans="1:19" ht="15.75">
      <c r="A604" s="13">
        <v>59536</v>
      </c>
      <c r="B604" s="8">
        <f>CHOOSE( CONTROL!$C$32, 17.9939, 17.9936) * CHOOSE(CONTROL!$C$15, $D$11, 100%, $F$11)</f>
        <v>17.9939</v>
      </c>
      <c r="C604" s="8">
        <f>CHOOSE( CONTROL!$C$32, 17.999, 17.9987) * CHOOSE(CONTROL!$C$15, $D$11, 100%, $F$11)</f>
        <v>17.998999999999999</v>
      </c>
      <c r="D604" s="8">
        <f>CHOOSE( CONTROL!$C$32, 17.9687, 17.9684) * CHOOSE( CONTROL!$C$15, $D$11, 100%, $F$11)</f>
        <v>17.968699999999998</v>
      </c>
      <c r="E604" s="12">
        <f>CHOOSE( CONTROL!$C$32, 17.9792, 17.9789) * CHOOSE( CONTROL!$C$15, $D$11, 100%, $F$11)</f>
        <v>17.979199999999999</v>
      </c>
      <c r="F604" s="4">
        <f>CHOOSE( CONTROL!$C$32, 18.6592, 18.6589) * CHOOSE(CONTROL!$C$15, $D$11, 100%, $F$11)</f>
        <v>18.659199999999998</v>
      </c>
      <c r="G604" s="8">
        <f>CHOOSE( CONTROL!$C$32, 17.7818, 17.7816) * CHOOSE( CONTROL!$C$15, $D$11, 100%, $F$11)</f>
        <v>17.7818</v>
      </c>
      <c r="H604" s="4">
        <f>CHOOSE( CONTROL!$C$32, 18.6873, 18.687) * CHOOSE(CONTROL!$C$15, $D$11, 100%, $F$11)</f>
        <v>18.6873</v>
      </c>
      <c r="I604" s="8">
        <f>CHOOSE( CONTROL!$C$32, 17.6031, 17.6029) * CHOOSE(CONTROL!$C$15, $D$11, 100%, $F$11)</f>
        <v>17.603100000000001</v>
      </c>
      <c r="J604" s="4">
        <f>CHOOSE( CONTROL!$C$32, 17.4543, 17.454) * CHOOSE(CONTROL!$C$15, $D$11, 100%, $F$11)</f>
        <v>17.4543</v>
      </c>
      <c r="K604" s="4"/>
      <c r="L604" s="9">
        <v>29.306000000000001</v>
      </c>
      <c r="M604" s="9">
        <v>12.063700000000001</v>
      </c>
      <c r="N604" s="9">
        <v>4.9444999999999997</v>
      </c>
      <c r="O604" s="9">
        <v>0.37409999999999999</v>
      </c>
      <c r="P604" s="9">
        <v>1.2927</v>
      </c>
      <c r="Q604" s="9">
        <v>19.688099999999999</v>
      </c>
      <c r="R604" s="9"/>
      <c r="S604" s="11"/>
    </row>
    <row r="605" spans="1:19" ht="15.75">
      <c r="A605" s="13">
        <v>59567</v>
      </c>
      <c r="B605" s="8">
        <f>CHOOSE( CONTROL!$C$32, 18.5244, 18.5241) * CHOOSE(CONTROL!$C$15, $D$11, 100%, $F$11)</f>
        <v>18.5244</v>
      </c>
      <c r="C605" s="8">
        <f>CHOOSE( CONTROL!$C$32, 18.5294, 18.5292) * CHOOSE(CONTROL!$C$15, $D$11, 100%, $F$11)</f>
        <v>18.529399999999999</v>
      </c>
      <c r="D605" s="8">
        <f>CHOOSE( CONTROL!$C$32, 18.5271, 18.5268) * CHOOSE( CONTROL!$C$15, $D$11, 100%, $F$11)</f>
        <v>18.527100000000001</v>
      </c>
      <c r="E605" s="12">
        <f>CHOOSE( CONTROL!$C$32, 18.5274, 18.5271) * CHOOSE( CONTROL!$C$15, $D$11, 100%, $F$11)</f>
        <v>18.5274</v>
      </c>
      <c r="F605" s="4">
        <f>CHOOSE( CONTROL!$C$32, 19.1896, 19.1894) * CHOOSE(CONTROL!$C$15, $D$11, 100%, $F$11)</f>
        <v>19.189599999999999</v>
      </c>
      <c r="G605" s="8">
        <f>CHOOSE( CONTROL!$C$32, 18.3223, 18.322) * CHOOSE( CONTROL!$C$15, $D$11, 100%, $F$11)</f>
        <v>18.322299999999998</v>
      </c>
      <c r="H605" s="4">
        <f>CHOOSE( CONTROL!$C$32, 19.2116, 19.2113) * CHOOSE(CONTROL!$C$15, $D$11, 100%, $F$11)</f>
        <v>19.211600000000001</v>
      </c>
      <c r="I605" s="8">
        <f>CHOOSE( CONTROL!$C$32, 18.0917, 18.0915) * CHOOSE(CONTROL!$C$15, $D$11, 100%, $F$11)</f>
        <v>18.091699999999999</v>
      </c>
      <c r="J605" s="4">
        <f>CHOOSE( CONTROL!$C$32, 17.9691, 17.9689) * CHOOSE(CONTROL!$C$15, $D$11, 100%, $F$11)</f>
        <v>17.969100000000001</v>
      </c>
      <c r="K605" s="4"/>
      <c r="L605" s="9">
        <v>29.306000000000001</v>
      </c>
      <c r="M605" s="9">
        <v>12.063700000000001</v>
      </c>
      <c r="N605" s="9">
        <v>4.9444999999999997</v>
      </c>
      <c r="O605" s="9">
        <v>0.37409999999999999</v>
      </c>
      <c r="P605" s="9">
        <v>1.2927</v>
      </c>
      <c r="Q605" s="9">
        <v>19.688099999999999</v>
      </c>
      <c r="R605" s="9"/>
      <c r="S605" s="11"/>
    </row>
    <row r="606" spans="1:19" ht="15.75">
      <c r="A606" s="13">
        <v>59595</v>
      </c>
      <c r="B606" s="8">
        <f>CHOOSE( CONTROL!$C$32, 17.3274, 17.3271) * CHOOSE(CONTROL!$C$15, $D$11, 100%, $F$11)</f>
        <v>17.327400000000001</v>
      </c>
      <c r="C606" s="8">
        <f>CHOOSE( CONTROL!$C$32, 17.3325, 17.3322) * CHOOSE(CONTROL!$C$15, $D$11, 100%, $F$11)</f>
        <v>17.3325</v>
      </c>
      <c r="D606" s="8">
        <f>CHOOSE( CONTROL!$C$32, 17.3124, 17.3122) * CHOOSE( CONTROL!$C$15, $D$11, 100%, $F$11)</f>
        <v>17.3124</v>
      </c>
      <c r="E606" s="12">
        <f>CHOOSE( CONTROL!$C$32, 17.3192, 17.319) * CHOOSE( CONTROL!$C$15, $D$11, 100%, $F$11)</f>
        <v>17.319199999999999</v>
      </c>
      <c r="F606" s="4">
        <f>CHOOSE( CONTROL!$C$32, 17.9927, 17.9924) * CHOOSE(CONTROL!$C$15, $D$11, 100%, $F$11)</f>
        <v>17.992699999999999</v>
      </c>
      <c r="G606" s="8">
        <f>CHOOSE( CONTROL!$C$32, 17.1282, 17.1279) * CHOOSE( CONTROL!$C$15, $D$11, 100%, $F$11)</f>
        <v>17.1282</v>
      </c>
      <c r="H606" s="4">
        <f>CHOOSE( CONTROL!$C$32, 18.0286, 18.0283) * CHOOSE(CONTROL!$C$15, $D$11, 100%, $F$11)</f>
        <v>18.028600000000001</v>
      </c>
      <c r="I606" s="8">
        <f>CHOOSE( CONTROL!$C$32, 16.9299, 16.9297) * CHOOSE(CONTROL!$C$15, $D$11, 100%, $F$11)</f>
        <v>16.9299</v>
      </c>
      <c r="J606" s="4">
        <f>CHOOSE( CONTROL!$C$32, 16.8075, 16.8072) * CHOOSE(CONTROL!$C$15, $D$11, 100%, $F$11)</f>
        <v>16.807500000000001</v>
      </c>
      <c r="K606" s="4"/>
      <c r="L606" s="9">
        <v>26.469899999999999</v>
      </c>
      <c r="M606" s="9">
        <v>10.8962</v>
      </c>
      <c r="N606" s="9">
        <v>4.4660000000000002</v>
      </c>
      <c r="O606" s="9">
        <v>0.33789999999999998</v>
      </c>
      <c r="P606" s="9">
        <v>1.1676</v>
      </c>
      <c r="Q606" s="9">
        <v>17.782800000000002</v>
      </c>
      <c r="R606" s="9"/>
      <c r="S606" s="11"/>
    </row>
    <row r="607" spans="1:19" ht="15.75">
      <c r="A607" s="13">
        <v>59626</v>
      </c>
      <c r="B607" s="8">
        <f>CHOOSE( CONTROL!$C$32, 16.9587, 16.9585) * CHOOSE(CONTROL!$C$15, $D$11, 100%, $F$11)</f>
        <v>16.9587</v>
      </c>
      <c r="C607" s="8">
        <f>CHOOSE( CONTROL!$C$32, 16.9638, 16.9635) * CHOOSE(CONTROL!$C$15, $D$11, 100%, $F$11)</f>
        <v>16.963799999999999</v>
      </c>
      <c r="D607" s="8">
        <f>CHOOSE( CONTROL!$C$32, 16.9338, 16.9336) * CHOOSE( CONTROL!$C$15, $D$11, 100%, $F$11)</f>
        <v>16.933800000000002</v>
      </c>
      <c r="E607" s="12">
        <f>CHOOSE( CONTROL!$C$32, 16.9442, 16.944) * CHOOSE( CONTROL!$C$15, $D$11, 100%, $F$11)</f>
        <v>16.944199999999999</v>
      </c>
      <c r="F607" s="4">
        <f>CHOOSE( CONTROL!$C$32, 17.624, 17.6237) * CHOOSE(CONTROL!$C$15, $D$11, 100%, $F$11)</f>
        <v>17.623999999999999</v>
      </c>
      <c r="G607" s="8">
        <f>CHOOSE( CONTROL!$C$32, 16.7506, 16.7503) * CHOOSE( CONTROL!$C$15, $D$11, 100%, $F$11)</f>
        <v>16.750599999999999</v>
      </c>
      <c r="H607" s="4">
        <f>CHOOSE( CONTROL!$C$32, 17.6643, 17.664) * CHOOSE(CONTROL!$C$15, $D$11, 100%, $F$11)</f>
        <v>17.664300000000001</v>
      </c>
      <c r="I607" s="8">
        <f>CHOOSE( CONTROL!$C$32, 16.5368, 16.5365) * CHOOSE(CONTROL!$C$15, $D$11, 100%, $F$11)</f>
        <v>16.536799999999999</v>
      </c>
      <c r="J607" s="4">
        <f>CHOOSE( CONTROL!$C$32, 16.4497, 16.4494) * CHOOSE(CONTROL!$C$15, $D$11, 100%, $F$11)</f>
        <v>16.4497</v>
      </c>
      <c r="K607" s="4"/>
      <c r="L607" s="9">
        <v>29.306000000000001</v>
      </c>
      <c r="M607" s="9">
        <v>12.063700000000001</v>
      </c>
      <c r="N607" s="9">
        <v>4.9444999999999997</v>
      </c>
      <c r="O607" s="9">
        <v>0.37409999999999999</v>
      </c>
      <c r="P607" s="9">
        <v>1.2927</v>
      </c>
      <c r="Q607" s="9">
        <v>19.688099999999999</v>
      </c>
      <c r="R607" s="9"/>
      <c r="S607" s="11"/>
    </row>
    <row r="608" spans="1:19" ht="15.75">
      <c r="A608" s="13">
        <v>59656</v>
      </c>
      <c r="B608" s="8">
        <f>CHOOSE( CONTROL!$C$32, 17.2171, 17.2168) * CHOOSE(CONTROL!$C$15, $D$11, 100%, $F$11)</f>
        <v>17.217099999999999</v>
      </c>
      <c r="C608" s="8">
        <f>CHOOSE( CONTROL!$C$32, 17.2216, 17.2213) * CHOOSE(CONTROL!$C$15, $D$11, 100%, $F$11)</f>
        <v>17.221599999999999</v>
      </c>
      <c r="D608" s="8">
        <f>CHOOSE( CONTROL!$C$32, 17.2211, 17.2208) * CHOOSE( CONTROL!$C$15, $D$11, 100%, $F$11)</f>
        <v>17.2211</v>
      </c>
      <c r="E608" s="12">
        <f>CHOOSE( CONTROL!$C$32, 17.2208, 17.2205) * CHOOSE( CONTROL!$C$15, $D$11, 100%, $F$11)</f>
        <v>17.220800000000001</v>
      </c>
      <c r="F608" s="4">
        <f>CHOOSE( CONTROL!$C$32, 17.9254, 17.9252) * CHOOSE(CONTROL!$C$15, $D$11, 100%, $F$11)</f>
        <v>17.9254</v>
      </c>
      <c r="G608" s="8">
        <f>CHOOSE( CONTROL!$C$32, 17.0222, 17.0219) * CHOOSE( CONTROL!$C$15, $D$11, 100%, $F$11)</f>
        <v>17.022200000000002</v>
      </c>
      <c r="H608" s="4">
        <f>CHOOSE( CONTROL!$C$32, 17.9621, 17.9619) * CHOOSE(CONTROL!$C$15, $D$11, 100%, $F$11)</f>
        <v>17.9621</v>
      </c>
      <c r="I608" s="8">
        <f>CHOOSE( CONTROL!$C$32, 16.7874, 16.7872) * CHOOSE(CONTROL!$C$15, $D$11, 100%, $F$11)</f>
        <v>16.787400000000002</v>
      </c>
      <c r="J608" s="4">
        <f>CHOOSE( CONTROL!$C$32, 16.6997, 16.6995) * CHOOSE(CONTROL!$C$15, $D$11, 100%, $F$11)</f>
        <v>16.6997</v>
      </c>
      <c r="K608" s="4"/>
      <c r="L608" s="9">
        <v>30.092199999999998</v>
      </c>
      <c r="M608" s="9">
        <v>11.6745</v>
      </c>
      <c r="N608" s="9">
        <v>4.7850000000000001</v>
      </c>
      <c r="O608" s="9">
        <v>0.36199999999999999</v>
      </c>
      <c r="P608" s="9">
        <v>1.2509999999999999</v>
      </c>
      <c r="Q608" s="9">
        <v>19.053000000000001</v>
      </c>
      <c r="R608" s="9"/>
      <c r="S608" s="11"/>
    </row>
    <row r="609" spans="1:19" ht="15.75">
      <c r="A609" s="13">
        <v>59687</v>
      </c>
      <c r="B609" s="8">
        <f>CHOOSE( CONTROL!$C$32, 17.6772, 17.6767) * CHOOSE(CONTROL!$C$15, $D$11, 100%, $F$11)</f>
        <v>17.677199999999999</v>
      </c>
      <c r="C609" s="8">
        <f>CHOOSE( CONTROL!$C$32, 17.6851, 17.6847) * CHOOSE(CONTROL!$C$15, $D$11, 100%, $F$11)</f>
        <v>17.685099999999998</v>
      </c>
      <c r="D609" s="8">
        <f>CHOOSE( CONTROL!$C$32, 17.6794, 17.679) * CHOOSE( CONTROL!$C$15, $D$11, 100%, $F$11)</f>
        <v>17.679400000000001</v>
      </c>
      <c r="E609" s="12">
        <f>CHOOSE( CONTROL!$C$32, 17.6803, 17.6798) * CHOOSE( CONTROL!$C$15, $D$11, 100%, $F$11)</f>
        <v>17.680299999999999</v>
      </c>
      <c r="F609" s="4">
        <f>CHOOSE( CONTROL!$C$32, 18.3841, 18.3836) * CHOOSE(CONTROL!$C$15, $D$11, 100%, $F$11)</f>
        <v>18.3841</v>
      </c>
      <c r="G609" s="8">
        <f>CHOOSE( CONTROL!$C$32, 17.4758, 17.4754) * CHOOSE( CONTROL!$C$15, $D$11, 100%, $F$11)</f>
        <v>17.4758</v>
      </c>
      <c r="H609" s="4">
        <f>CHOOSE( CONTROL!$C$32, 18.4154, 18.415) * CHOOSE(CONTROL!$C$15, $D$11, 100%, $F$11)</f>
        <v>18.415400000000002</v>
      </c>
      <c r="I609" s="8">
        <f>CHOOSE( CONTROL!$C$32, 17.2334, 17.2329) * CHOOSE(CONTROL!$C$15, $D$11, 100%, $F$11)</f>
        <v>17.2334</v>
      </c>
      <c r="J609" s="4">
        <f>CHOOSE( CONTROL!$C$32, 17.1449, 17.1444) * CHOOSE(CONTROL!$C$15, $D$11, 100%, $F$11)</f>
        <v>17.1449</v>
      </c>
      <c r="K609" s="4"/>
      <c r="L609" s="9">
        <v>30.7165</v>
      </c>
      <c r="M609" s="9">
        <v>12.063700000000001</v>
      </c>
      <c r="N609" s="9">
        <v>4.9444999999999997</v>
      </c>
      <c r="O609" s="9">
        <v>0.37409999999999999</v>
      </c>
      <c r="P609" s="9">
        <v>1.2927</v>
      </c>
      <c r="Q609" s="9">
        <v>19.688099999999999</v>
      </c>
      <c r="R609" s="9"/>
      <c r="S609" s="11"/>
    </row>
    <row r="610" spans="1:19" ht="15.75">
      <c r="A610" s="13">
        <v>59717</v>
      </c>
      <c r="B610" s="8">
        <f>CHOOSE( CONTROL!$C$32, 17.3931, 17.3927) * CHOOSE(CONTROL!$C$15, $D$11, 100%, $F$11)</f>
        <v>17.3931</v>
      </c>
      <c r="C610" s="8">
        <f>CHOOSE( CONTROL!$C$32, 17.4011, 17.4007) * CHOOSE(CONTROL!$C$15, $D$11, 100%, $F$11)</f>
        <v>17.4011</v>
      </c>
      <c r="D610" s="8">
        <f>CHOOSE( CONTROL!$C$32, 17.3958, 17.3954) * CHOOSE( CONTROL!$C$15, $D$11, 100%, $F$11)</f>
        <v>17.395800000000001</v>
      </c>
      <c r="E610" s="12">
        <f>CHOOSE( CONTROL!$C$32, 17.3965, 17.3961) * CHOOSE( CONTROL!$C$15, $D$11, 100%, $F$11)</f>
        <v>17.3965</v>
      </c>
      <c r="F610" s="4">
        <f>CHOOSE( CONTROL!$C$32, 18.1001, 18.0996) * CHOOSE(CONTROL!$C$15, $D$11, 100%, $F$11)</f>
        <v>18.100100000000001</v>
      </c>
      <c r="G610" s="8">
        <f>CHOOSE( CONTROL!$C$32, 17.1955, 17.195) * CHOOSE( CONTROL!$C$15, $D$11, 100%, $F$11)</f>
        <v>17.195499999999999</v>
      </c>
      <c r="H610" s="4">
        <f>CHOOSE( CONTROL!$C$32, 18.1348, 18.1343) * CHOOSE(CONTROL!$C$15, $D$11, 100%, $F$11)</f>
        <v>18.134799999999998</v>
      </c>
      <c r="I610" s="8">
        <f>CHOOSE( CONTROL!$C$32, 16.959, 16.9586) * CHOOSE(CONTROL!$C$15, $D$11, 100%, $F$11)</f>
        <v>16.959</v>
      </c>
      <c r="J610" s="4">
        <f>CHOOSE( CONTROL!$C$32, 16.8692, 16.8688) * CHOOSE(CONTROL!$C$15, $D$11, 100%, $F$11)</f>
        <v>16.869199999999999</v>
      </c>
      <c r="K610" s="4"/>
      <c r="L610" s="9">
        <v>29.7257</v>
      </c>
      <c r="M610" s="9">
        <v>11.6745</v>
      </c>
      <c r="N610" s="9">
        <v>4.7850000000000001</v>
      </c>
      <c r="O610" s="9">
        <v>0.36199999999999999</v>
      </c>
      <c r="P610" s="9">
        <v>1.2509999999999999</v>
      </c>
      <c r="Q610" s="9">
        <v>19.053000000000001</v>
      </c>
      <c r="R610" s="9"/>
      <c r="S610" s="11"/>
    </row>
    <row r="611" spans="1:19" ht="15.75">
      <c r="A611" s="13">
        <v>59748</v>
      </c>
      <c r="B611" s="8">
        <f>CHOOSE( CONTROL!$C$32, 18.1411, 18.1406) * CHOOSE(CONTROL!$C$15, $D$11, 100%, $F$11)</f>
        <v>18.141100000000002</v>
      </c>
      <c r="C611" s="8">
        <f>CHOOSE( CONTROL!$C$32, 18.149, 18.1486) * CHOOSE(CONTROL!$C$15, $D$11, 100%, $F$11)</f>
        <v>18.149000000000001</v>
      </c>
      <c r="D611" s="8">
        <f>CHOOSE( CONTROL!$C$32, 18.1442, 18.1437) * CHOOSE( CONTROL!$C$15, $D$11, 100%, $F$11)</f>
        <v>18.144200000000001</v>
      </c>
      <c r="E611" s="12">
        <f>CHOOSE( CONTROL!$C$32, 18.1447, 18.1443) * CHOOSE( CONTROL!$C$15, $D$11, 100%, $F$11)</f>
        <v>18.1447</v>
      </c>
      <c r="F611" s="4">
        <f>CHOOSE( CONTROL!$C$32, 18.848, 18.8476) * CHOOSE(CONTROL!$C$15, $D$11, 100%, $F$11)</f>
        <v>18.847999999999999</v>
      </c>
      <c r="G611" s="8">
        <f>CHOOSE( CONTROL!$C$32, 17.935, 17.9345) * CHOOSE( CONTROL!$C$15, $D$11, 100%, $F$11)</f>
        <v>17.934999999999999</v>
      </c>
      <c r="H611" s="4">
        <f>CHOOSE( CONTROL!$C$32, 18.8739, 18.8735) * CHOOSE(CONTROL!$C$15, $D$11, 100%, $F$11)</f>
        <v>18.873899999999999</v>
      </c>
      <c r="I611" s="8">
        <f>CHOOSE( CONTROL!$C$32, 17.6868, 17.6863) * CHOOSE(CONTROL!$C$15, $D$11, 100%, $F$11)</f>
        <v>17.686800000000002</v>
      </c>
      <c r="J611" s="4">
        <f>CHOOSE( CONTROL!$C$32, 17.5951, 17.5946) * CHOOSE(CONTROL!$C$15, $D$11, 100%, $F$11)</f>
        <v>17.595099999999999</v>
      </c>
      <c r="K611" s="4"/>
      <c r="L611" s="9">
        <v>30.7165</v>
      </c>
      <c r="M611" s="9">
        <v>12.063700000000001</v>
      </c>
      <c r="N611" s="9">
        <v>4.9444999999999997</v>
      </c>
      <c r="O611" s="9">
        <v>0.37409999999999999</v>
      </c>
      <c r="P611" s="9">
        <v>1.2927</v>
      </c>
      <c r="Q611" s="9">
        <v>19.688099999999999</v>
      </c>
      <c r="R611" s="9"/>
      <c r="S611" s="11"/>
    </row>
    <row r="612" spans="1:19" ht="15.75">
      <c r="A612" s="13">
        <v>59779</v>
      </c>
      <c r="B612" s="8">
        <f>CHOOSE( CONTROL!$C$32, 16.7416, 16.7412) * CHOOSE(CONTROL!$C$15, $D$11, 100%, $F$11)</f>
        <v>16.741599999999998</v>
      </c>
      <c r="C612" s="8">
        <f>CHOOSE( CONTROL!$C$32, 16.7496, 16.7491) * CHOOSE(CONTROL!$C$15, $D$11, 100%, $F$11)</f>
        <v>16.749600000000001</v>
      </c>
      <c r="D612" s="8">
        <f>CHOOSE( CONTROL!$C$32, 16.7449, 16.7444) * CHOOSE( CONTROL!$C$15, $D$11, 100%, $F$11)</f>
        <v>16.744900000000001</v>
      </c>
      <c r="E612" s="12">
        <f>CHOOSE( CONTROL!$C$32, 16.7454, 16.7449) * CHOOSE( CONTROL!$C$15, $D$11, 100%, $F$11)</f>
        <v>16.7454</v>
      </c>
      <c r="F612" s="4">
        <f>CHOOSE( CONTROL!$C$32, 17.4485, 17.4481) * CHOOSE(CONTROL!$C$15, $D$11, 100%, $F$11)</f>
        <v>17.448499999999999</v>
      </c>
      <c r="G612" s="8">
        <f>CHOOSE( CONTROL!$C$32, 16.552, 16.5516) * CHOOSE( CONTROL!$C$15, $D$11, 100%, $F$11)</f>
        <v>16.552</v>
      </c>
      <c r="H612" s="4">
        <f>CHOOSE( CONTROL!$C$32, 17.4909, 17.4904) * CHOOSE(CONTROL!$C$15, $D$11, 100%, $F$11)</f>
        <v>17.4909</v>
      </c>
      <c r="I612" s="8">
        <f>CHOOSE( CONTROL!$C$32, 16.3284, 16.328) * CHOOSE(CONTROL!$C$15, $D$11, 100%, $F$11)</f>
        <v>16.328399999999998</v>
      </c>
      <c r="J612" s="4">
        <f>CHOOSE( CONTROL!$C$32, 16.2369, 16.2365) * CHOOSE(CONTROL!$C$15, $D$11, 100%, $F$11)</f>
        <v>16.236899999999999</v>
      </c>
      <c r="K612" s="4"/>
      <c r="L612" s="9">
        <v>30.7165</v>
      </c>
      <c r="M612" s="9">
        <v>12.063700000000001</v>
      </c>
      <c r="N612" s="9">
        <v>4.9444999999999997</v>
      </c>
      <c r="O612" s="9">
        <v>0.37409999999999999</v>
      </c>
      <c r="P612" s="9">
        <v>1.2927</v>
      </c>
      <c r="Q612" s="9">
        <v>19.688099999999999</v>
      </c>
      <c r="R612" s="9"/>
      <c r="S612" s="11"/>
    </row>
    <row r="613" spans="1:19" ht="15.75">
      <c r="A613" s="13">
        <v>59809</v>
      </c>
      <c r="B613" s="8">
        <f>CHOOSE( CONTROL!$C$32, 16.3912, 16.3907) * CHOOSE(CONTROL!$C$15, $D$11, 100%, $F$11)</f>
        <v>16.391200000000001</v>
      </c>
      <c r="C613" s="8">
        <f>CHOOSE( CONTROL!$C$32, 16.3991, 16.3987) * CHOOSE(CONTROL!$C$15, $D$11, 100%, $F$11)</f>
        <v>16.399100000000001</v>
      </c>
      <c r="D613" s="8">
        <f>CHOOSE( CONTROL!$C$32, 16.3943, 16.3938) * CHOOSE( CONTROL!$C$15, $D$11, 100%, $F$11)</f>
        <v>16.394300000000001</v>
      </c>
      <c r="E613" s="12">
        <f>CHOOSE( CONTROL!$C$32, 16.3948, 16.3944) * CHOOSE( CONTROL!$C$15, $D$11, 100%, $F$11)</f>
        <v>16.3948</v>
      </c>
      <c r="F613" s="4">
        <f>CHOOSE( CONTROL!$C$32, 17.0981, 17.0977) * CHOOSE(CONTROL!$C$15, $D$11, 100%, $F$11)</f>
        <v>17.098099999999999</v>
      </c>
      <c r="G613" s="8">
        <f>CHOOSE( CONTROL!$C$32, 16.2056, 16.2051) * CHOOSE( CONTROL!$C$15, $D$11, 100%, $F$11)</f>
        <v>16.2056</v>
      </c>
      <c r="H613" s="4">
        <f>CHOOSE( CONTROL!$C$32, 17.1445, 17.1441) * CHOOSE(CONTROL!$C$15, $D$11, 100%, $F$11)</f>
        <v>17.144500000000001</v>
      </c>
      <c r="I613" s="8">
        <f>CHOOSE( CONTROL!$C$32, 15.9876, 15.9872) * CHOOSE(CONTROL!$C$15, $D$11, 100%, $F$11)</f>
        <v>15.9876</v>
      </c>
      <c r="J613" s="4">
        <f>CHOOSE( CONTROL!$C$32, 15.8968, 15.8964) * CHOOSE(CONTROL!$C$15, $D$11, 100%, $F$11)</f>
        <v>15.896800000000001</v>
      </c>
      <c r="K613" s="4"/>
      <c r="L613" s="9">
        <v>29.7257</v>
      </c>
      <c r="M613" s="9">
        <v>11.6745</v>
      </c>
      <c r="N613" s="9">
        <v>4.7850000000000001</v>
      </c>
      <c r="O613" s="9">
        <v>0.36199999999999999</v>
      </c>
      <c r="P613" s="9">
        <v>1.2509999999999999</v>
      </c>
      <c r="Q613" s="9">
        <v>19.053000000000001</v>
      </c>
      <c r="R613" s="9"/>
      <c r="S613" s="11"/>
    </row>
    <row r="614" spans="1:19" ht="15.75">
      <c r="A614" s="13">
        <v>59840</v>
      </c>
      <c r="B614" s="8">
        <f>CHOOSE( CONTROL!$C$32, 17.1169, 17.1166) * CHOOSE(CONTROL!$C$15, $D$11, 100%, $F$11)</f>
        <v>17.116900000000001</v>
      </c>
      <c r="C614" s="8">
        <f>CHOOSE( CONTROL!$C$32, 17.1222, 17.122) * CHOOSE(CONTROL!$C$15, $D$11, 100%, $F$11)</f>
        <v>17.122199999999999</v>
      </c>
      <c r="D614" s="8">
        <f>CHOOSE( CONTROL!$C$32, 17.1224, 17.1222) * CHOOSE( CONTROL!$C$15, $D$11, 100%, $F$11)</f>
        <v>17.122399999999999</v>
      </c>
      <c r="E614" s="12">
        <f>CHOOSE( CONTROL!$C$32, 17.1218, 17.1216) * CHOOSE( CONTROL!$C$15, $D$11, 100%, $F$11)</f>
        <v>17.1218</v>
      </c>
      <c r="F614" s="4">
        <f>CHOOSE( CONTROL!$C$32, 17.8256, 17.8253) * CHOOSE(CONTROL!$C$15, $D$11, 100%, $F$11)</f>
        <v>17.825600000000001</v>
      </c>
      <c r="G614" s="8">
        <f>CHOOSE( CONTROL!$C$32, 16.9245, 16.9242) * CHOOSE( CONTROL!$C$15, $D$11, 100%, $F$11)</f>
        <v>16.924499999999998</v>
      </c>
      <c r="H614" s="4">
        <f>CHOOSE( CONTROL!$C$32, 17.8635, 17.8632) * CHOOSE(CONTROL!$C$15, $D$11, 100%, $F$11)</f>
        <v>17.863499999999998</v>
      </c>
      <c r="I614" s="8">
        <f>CHOOSE( CONTROL!$C$32, 16.6946, 16.6944) * CHOOSE(CONTROL!$C$15, $D$11, 100%, $F$11)</f>
        <v>16.694600000000001</v>
      </c>
      <c r="J614" s="4">
        <f>CHOOSE( CONTROL!$C$32, 16.6028, 16.6025) * CHOOSE(CONTROL!$C$15, $D$11, 100%, $F$11)</f>
        <v>16.602799999999998</v>
      </c>
      <c r="K614" s="4"/>
      <c r="L614" s="9">
        <v>31.095300000000002</v>
      </c>
      <c r="M614" s="9">
        <v>12.063700000000001</v>
      </c>
      <c r="N614" s="9">
        <v>4.9444999999999997</v>
      </c>
      <c r="O614" s="9">
        <v>0.37409999999999999</v>
      </c>
      <c r="P614" s="9">
        <v>1.2927</v>
      </c>
      <c r="Q614" s="9">
        <v>19.688099999999999</v>
      </c>
      <c r="R614" s="9"/>
      <c r="S614" s="11"/>
    </row>
    <row r="615" spans="1:19" ht="15.75">
      <c r="A615" s="13">
        <v>59870</v>
      </c>
      <c r="B615" s="8">
        <f>CHOOSE( CONTROL!$C$32, 18.4596, 18.4593) * CHOOSE(CONTROL!$C$15, $D$11, 100%, $F$11)</f>
        <v>18.459599999999998</v>
      </c>
      <c r="C615" s="8">
        <f>CHOOSE( CONTROL!$C$32, 18.4646, 18.4644) * CHOOSE(CONTROL!$C$15, $D$11, 100%, $F$11)</f>
        <v>18.464600000000001</v>
      </c>
      <c r="D615" s="8">
        <f>CHOOSE( CONTROL!$C$32, 18.4325, 18.4322) * CHOOSE( CONTROL!$C$15, $D$11, 100%, $F$11)</f>
        <v>18.432500000000001</v>
      </c>
      <c r="E615" s="12">
        <f>CHOOSE( CONTROL!$C$32, 18.4437, 18.4434) * CHOOSE( CONTROL!$C$15, $D$11, 100%, $F$11)</f>
        <v>18.4437</v>
      </c>
      <c r="F615" s="4">
        <f>CHOOSE( CONTROL!$C$32, 19.1248, 19.1246) * CHOOSE(CONTROL!$C$15, $D$11, 100%, $F$11)</f>
        <v>19.1248</v>
      </c>
      <c r="G615" s="8">
        <f>CHOOSE( CONTROL!$C$32, 18.2408, 18.2405) * CHOOSE( CONTROL!$C$15, $D$11, 100%, $F$11)</f>
        <v>18.2408</v>
      </c>
      <c r="H615" s="4">
        <f>CHOOSE( CONTROL!$C$32, 19.1475, 19.1472) * CHOOSE(CONTROL!$C$15, $D$11, 100%, $F$11)</f>
        <v>19.147500000000001</v>
      </c>
      <c r="I615" s="8">
        <f>CHOOSE( CONTROL!$C$32, 18.0496, 18.0493) * CHOOSE(CONTROL!$C$15, $D$11, 100%, $F$11)</f>
        <v>18.049600000000002</v>
      </c>
      <c r="J615" s="4">
        <f>CHOOSE( CONTROL!$C$32, 17.9063, 17.906) * CHOOSE(CONTROL!$C$15, $D$11, 100%, $F$11)</f>
        <v>17.906300000000002</v>
      </c>
      <c r="K615" s="4"/>
      <c r="L615" s="9">
        <v>28.360600000000002</v>
      </c>
      <c r="M615" s="9">
        <v>11.6745</v>
      </c>
      <c r="N615" s="9">
        <v>4.7850000000000001</v>
      </c>
      <c r="O615" s="9">
        <v>0.36199999999999999</v>
      </c>
      <c r="P615" s="9">
        <v>1.2509999999999999</v>
      </c>
      <c r="Q615" s="9">
        <v>19.053000000000001</v>
      </c>
      <c r="R615" s="9"/>
      <c r="S615" s="11"/>
    </row>
    <row r="616" spans="1:19" ht="15.75">
      <c r="A616" s="13">
        <v>59901</v>
      </c>
      <c r="B616" s="8">
        <f>CHOOSE( CONTROL!$C$32, 18.426, 18.4257) * CHOOSE(CONTROL!$C$15, $D$11, 100%, $F$11)</f>
        <v>18.425999999999998</v>
      </c>
      <c r="C616" s="8">
        <f>CHOOSE( CONTROL!$C$32, 18.4311, 18.4308) * CHOOSE(CONTROL!$C$15, $D$11, 100%, $F$11)</f>
        <v>18.431100000000001</v>
      </c>
      <c r="D616" s="8">
        <f>CHOOSE( CONTROL!$C$32, 18.4008, 18.4005) * CHOOSE( CONTROL!$C$15, $D$11, 100%, $F$11)</f>
        <v>18.4008</v>
      </c>
      <c r="E616" s="12">
        <f>CHOOSE( CONTROL!$C$32, 18.4113, 18.411) * CHOOSE( CONTROL!$C$15, $D$11, 100%, $F$11)</f>
        <v>18.411300000000001</v>
      </c>
      <c r="F616" s="4">
        <f>CHOOSE( CONTROL!$C$32, 19.0913, 19.091) * CHOOSE(CONTROL!$C$15, $D$11, 100%, $F$11)</f>
        <v>19.0913</v>
      </c>
      <c r="G616" s="8">
        <f>CHOOSE( CONTROL!$C$32, 18.2089, 18.2086) * CHOOSE( CONTROL!$C$15, $D$11, 100%, $F$11)</f>
        <v>18.2089</v>
      </c>
      <c r="H616" s="4">
        <f>CHOOSE( CONTROL!$C$32, 19.1144, 19.1141) * CHOOSE(CONTROL!$C$15, $D$11, 100%, $F$11)</f>
        <v>19.1144</v>
      </c>
      <c r="I616" s="8">
        <f>CHOOSE( CONTROL!$C$32, 18.0227, 18.0224) * CHOOSE(CONTROL!$C$15, $D$11, 100%, $F$11)</f>
        <v>18.0227</v>
      </c>
      <c r="J616" s="4">
        <f>CHOOSE( CONTROL!$C$32, 17.8737, 17.8734) * CHOOSE(CONTROL!$C$15, $D$11, 100%, $F$11)</f>
        <v>17.873699999999999</v>
      </c>
      <c r="K616" s="4"/>
      <c r="L616" s="9">
        <v>29.306000000000001</v>
      </c>
      <c r="M616" s="9">
        <v>12.063700000000001</v>
      </c>
      <c r="N616" s="9">
        <v>4.9444999999999997</v>
      </c>
      <c r="O616" s="9">
        <v>0.37409999999999999</v>
      </c>
      <c r="P616" s="9">
        <v>1.2927</v>
      </c>
      <c r="Q616" s="9">
        <v>19.688099999999999</v>
      </c>
      <c r="R616" s="9"/>
      <c r="S616" s="11"/>
    </row>
    <row r="617" spans="1:19" ht="15.75">
      <c r="A617" s="13">
        <v>59932</v>
      </c>
      <c r="B617" s="8">
        <f>CHOOSE( CONTROL!$C$32, 18.9692, 18.969) * CHOOSE(CONTROL!$C$15, $D$11, 100%, $F$11)</f>
        <v>18.969200000000001</v>
      </c>
      <c r="C617" s="8">
        <f>CHOOSE( CONTROL!$C$32, 18.9743, 18.974) * CHOOSE(CONTROL!$C$15, $D$11, 100%, $F$11)</f>
        <v>18.974299999999999</v>
      </c>
      <c r="D617" s="8">
        <f>CHOOSE( CONTROL!$C$32, 18.9719, 18.9717) * CHOOSE( CONTROL!$C$15, $D$11, 100%, $F$11)</f>
        <v>18.971900000000002</v>
      </c>
      <c r="E617" s="12">
        <f>CHOOSE( CONTROL!$C$32, 18.9722, 18.972) * CHOOSE( CONTROL!$C$15, $D$11, 100%, $F$11)</f>
        <v>18.972200000000001</v>
      </c>
      <c r="F617" s="4">
        <f>CHOOSE( CONTROL!$C$32, 19.6345, 19.6342) * CHOOSE(CONTROL!$C$15, $D$11, 100%, $F$11)</f>
        <v>19.634499999999999</v>
      </c>
      <c r="G617" s="8">
        <f>CHOOSE( CONTROL!$C$32, 18.7619, 18.7616) * CHOOSE( CONTROL!$C$15, $D$11, 100%, $F$11)</f>
        <v>18.761900000000001</v>
      </c>
      <c r="H617" s="4">
        <f>CHOOSE( CONTROL!$C$32, 19.6512, 19.651) * CHOOSE(CONTROL!$C$15, $D$11, 100%, $F$11)</f>
        <v>19.651199999999999</v>
      </c>
      <c r="I617" s="8">
        <f>CHOOSE( CONTROL!$C$32, 18.5237, 18.5234) * CHOOSE(CONTROL!$C$15, $D$11, 100%, $F$11)</f>
        <v>18.523700000000002</v>
      </c>
      <c r="J617" s="4">
        <f>CHOOSE( CONTROL!$C$32, 18.4009, 18.4006) * CHOOSE(CONTROL!$C$15, $D$11, 100%, $F$11)</f>
        <v>18.4009</v>
      </c>
      <c r="K617" s="4"/>
      <c r="L617" s="9">
        <v>29.306000000000001</v>
      </c>
      <c r="M617" s="9">
        <v>12.063700000000001</v>
      </c>
      <c r="N617" s="9">
        <v>4.9444999999999997</v>
      </c>
      <c r="O617" s="9">
        <v>0.37409999999999999</v>
      </c>
      <c r="P617" s="9">
        <v>1.2927</v>
      </c>
      <c r="Q617" s="9">
        <v>19.688099999999999</v>
      </c>
      <c r="R617" s="9"/>
      <c r="S617" s="11"/>
    </row>
    <row r="618" spans="1:19" ht="15.75">
      <c r="A618" s="13">
        <v>59961</v>
      </c>
      <c r="B618" s="8">
        <f>CHOOSE( CONTROL!$C$32, 17.7435, 17.7432) * CHOOSE(CONTROL!$C$15, $D$11, 100%, $F$11)</f>
        <v>17.743500000000001</v>
      </c>
      <c r="C618" s="8">
        <f>CHOOSE( CONTROL!$C$32, 17.7486, 17.7483) * CHOOSE(CONTROL!$C$15, $D$11, 100%, $F$11)</f>
        <v>17.7486</v>
      </c>
      <c r="D618" s="8">
        <f>CHOOSE( CONTROL!$C$32, 17.7285, 17.7283) * CHOOSE( CONTROL!$C$15, $D$11, 100%, $F$11)</f>
        <v>17.7285</v>
      </c>
      <c r="E618" s="12">
        <f>CHOOSE( CONTROL!$C$32, 17.7353, 17.7351) * CHOOSE( CONTROL!$C$15, $D$11, 100%, $F$11)</f>
        <v>17.735299999999999</v>
      </c>
      <c r="F618" s="4">
        <f>CHOOSE( CONTROL!$C$32, 18.4088, 18.4085) * CHOOSE(CONTROL!$C$15, $D$11, 100%, $F$11)</f>
        <v>18.408799999999999</v>
      </c>
      <c r="G618" s="8">
        <f>CHOOSE( CONTROL!$C$32, 17.5394, 17.5391) * CHOOSE( CONTROL!$C$15, $D$11, 100%, $F$11)</f>
        <v>17.539400000000001</v>
      </c>
      <c r="H618" s="4">
        <f>CHOOSE( CONTROL!$C$32, 18.4399, 18.4396) * CHOOSE(CONTROL!$C$15, $D$11, 100%, $F$11)</f>
        <v>18.439900000000002</v>
      </c>
      <c r="I618" s="8">
        <f>CHOOSE( CONTROL!$C$32, 17.334, 17.3337) * CHOOSE(CONTROL!$C$15, $D$11, 100%, $F$11)</f>
        <v>17.334</v>
      </c>
      <c r="J618" s="4">
        <f>CHOOSE( CONTROL!$C$32, 17.2113, 17.2111) * CHOOSE(CONTROL!$C$15, $D$11, 100%, $F$11)</f>
        <v>17.211300000000001</v>
      </c>
      <c r="K618" s="4"/>
      <c r="L618" s="9">
        <v>27.415299999999998</v>
      </c>
      <c r="M618" s="9">
        <v>11.285299999999999</v>
      </c>
      <c r="N618" s="9">
        <v>4.6254999999999997</v>
      </c>
      <c r="O618" s="9">
        <v>0.34989999999999999</v>
      </c>
      <c r="P618" s="9">
        <v>1.2093</v>
      </c>
      <c r="Q618" s="9">
        <v>18.417899999999999</v>
      </c>
      <c r="R618" s="9"/>
      <c r="S618" s="11"/>
    </row>
    <row r="619" spans="1:19" ht="15.75">
      <c r="A619" s="13">
        <v>59992</v>
      </c>
      <c r="B619" s="8">
        <f>CHOOSE( CONTROL!$C$32, 17.366, 17.3657) * CHOOSE(CONTROL!$C$15, $D$11, 100%, $F$11)</f>
        <v>17.366</v>
      </c>
      <c r="C619" s="8">
        <f>CHOOSE( CONTROL!$C$32, 17.3711, 17.3708) * CHOOSE(CONTROL!$C$15, $D$11, 100%, $F$11)</f>
        <v>17.371099999999998</v>
      </c>
      <c r="D619" s="8">
        <f>CHOOSE( CONTROL!$C$32, 17.3411, 17.3408) * CHOOSE( CONTROL!$C$15, $D$11, 100%, $F$11)</f>
        <v>17.341100000000001</v>
      </c>
      <c r="E619" s="12">
        <f>CHOOSE( CONTROL!$C$32, 17.3515, 17.3512) * CHOOSE( CONTROL!$C$15, $D$11, 100%, $F$11)</f>
        <v>17.351500000000001</v>
      </c>
      <c r="F619" s="4">
        <f>CHOOSE( CONTROL!$C$32, 18.0313, 18.031) * CHOOSE(CONTROL!$C$15, $D$11, 100%, $F$11)</f>
        <v>18.031300000000002</v>
      </c>
      <c r="G619" s="8">
        <f>CHOOSE( CONTROL!$C$32, 17.1531, 17.1528) * CHOOSE( CONTROL!$C$15, $D$11, 100%, $F$11)</f>
        <v>17.153099999999998</v>
      </c>
      <c r="H619" s="4">
        <f>CHOOSE( CONTROL!$C$32, 18.0668, 18.0665) * CHOOSE(CONTROL!$C$15, $D$11, 100%, $F$11)</f>
        <v>18.066800000000001</v>
      </c>
      <c r="I619" s="8">
        <f>CHOOSE( CONTROL!$C$32, 16.9322, 16.9319) * CHOOSE(CONTROL!$C$15, $D$11, 100%, $F$11)</f>
        <v>16.932200000000002</v>
      </c>
      <c r="J619" s="4">
        <f>CHOOSE( CONTROL!$C$32, 16.8449, 16.8447) * CHOOSE(CONTROL!$C$15, $D$11, 100%, $F$11)</f>
        <v>16.844899999999999</v>
      </c>
      <c r="K619" s="4"/>
      <c r="L619" s="9">
        <v>29.306000000000001</v>
      </c>
      <c r="M619" s="9">
        <v>12.063700000000001</v>
      </c>
      <c r="N619" s="9">
        <v>4.9444999999999997</v>
      </c>
      <c r="O619" s="9">
        <v>0.37409999999999999</v>
      </c>
      <c r="P619" s="9">
        <v>1.2927</v>
      </c>
      <c r="Q619" s="9">
        <v>19.688099999999999</v>
      </c>
      <c r="R619" s="9"/>
      <c r="S619" s="11"/>
    </row>
    <row r="620" spans="1:19" ht="15.75">
      <c r="A620" s="13">
        <v>60022</v>
      </c>
      <c r="B620" s="8">
        <f>CHOOSE( CONTROL!$C$32, 17.6306, 17.6303) * CHOOSE(CONTROL!$C$15, $D$11, 100%, $F$11)</f>
        <v>17.630600000000001</v>
      </c>
      <c r="C620" s="8">
        <f>CHOOSE( CONTROL!$C$32, 17.6351, 17.6348) * CHOOSE(CONTROL!$C$15, $D$11, 100%, $F$11)</f>
        <v>17.635100000000001</v>
      </c>
      <c r="D620" s="8">
        <f>CHOOSE( CONTROL!$C$32, 17.6346, 17.6343) * CHOOSE( CONTROL!$C$15, $D$11, 100%, $F$11)</f>
        <v>17.634599999999999</v>
      </c>
      <c r="E620" s="12">
        <f>CHOOSE( CONTROL!$C$32, 17.6343, 17.634) * CHOOSE( CONTROL!$C$15, $D$11, 100%, $F$11)</f>
        <v>17.6343</v>
      </c>
      <c r="F620" s="4">
        <f>CHOOSE( CONTROL!$C$32, 18.3389, 18.3386) * CHOOSE(CONTROL!$C$15, $D$11, 100%, $F$11)</f>
        <v>18.338899999999999</v>
      </c>
      <c r="G620" s="8">
        <f>CHOOSE( CONTROL!$C$32, 17.4308, 17.4305) * CHOOSE( CONTROL!$C$15, $D$11, 100%, $F$11)</f>
        <v>17.430800000000001</v>
      </c>
      <c r="H620" s="4">
        <f>CHOOSE( CONTROL!$C$32, 18.3707, 18.3705) * CHOOSE(CONTROL!$C$15, $D$11, 100%, $F$11)</f>
        <v>18.370699999999999</v>
      </c>
      <c r="I620" s="8">
        <f>CHOOSE( CONTROL!$C$32, 17.1889, 17.1886) * CHOOSE(CONTROL!$C$15, $D$11, 100%, $F$11)</f>
        <v>17.1889</v>
      </c>
      <c r="J620" s="4">
        <f>CHOOSE( CONTROL!$C$32, 17.101, 17.1007) * CHOOSE(CONTROL!$C$15, $D$11, 100%, $F$11)</f>
        <v>17.100999999999999</v>
      </c>
      <c r="K620" s="4"/>
      <c r="L620" s="9">
        <v>30.092199999999998</v>
      </c>
      <c r="M620" s="9">
        <v>11.6745</v>
      </c>
      <c r="N620" s="9">
        <v>4.7850000000000001</v>
      </c>
      <c r="O620" s="9">
        <v>0.36199999999999999</v>
      </c>
      <c r="P620" s="9">
        <v>1.2509999999999999</v>
      </c>
      <c r="Q620" s="9">
        <v>19.053000000000001</v>
      </c>
      <c r="R620" s="9"/>
      <c r="S620" s="11"/>
    </row>
    <row r="621" spans="1:19" ht="15.75">
      <c r="A621" s="13">
        <v>60053</v>
      </c>
      <c r="B621" s="8">
        <f>CHOOSE( CONTROL!$C$32, 18.1016, 18.1012) * CHOOSE(CONTROL!$C$15, $D$11, 100%, $F$11)</f>
        <v>18.101600000000001</v>
      </c>
      <c r="C621" s="8">
        <f>CHOOSE( CONTROL!$C$32, 18.1096, 18.1091) * CHOOSE(CONTROL!$C$15, $D$11, 100%, $F$11)</f>
        <v>18.1096</v>
      </c>
      <c r="D621" s="8">
        <f>CHOOSE( CONTROL!$C$32, 18.1039, 18.1034) * CHOOSE( CONTROL!$C$15, $D$11, 100%, $F$11)</f>
        <v>18.103899999999999</v>
      </c>
      <c r="E621" s="12">
        <f>CHOOSE( CONTROL!$C$32, 18.1047, 18.1043) * CHOOSE( CONTROL!$C$15, $D$11, 100%, $F$11)</f>
        <v>18.104700000000001</v>
      </c>
      <c r="F621" s="4">
        <f>CHOOSE( CONTROL!$C$32, 18.8086, 18.8081) * CHOOSE(CONTROL!$C$15, $D$11, 100%, $F$11)</f>
        <v>18.808599999999998</v>
      </c>
      <c r="G621" s="8">
        <f>CHOOSE( CONTROL!$C$32, 17.8953, 17.8949) * CHOOSE( CONTROL!$C$15, $D$11, 100%, $F$11)</f>
        <v>17.895299999999999</v>
      </c>
      <c r="H621" s="4">
        <f>CHOOSE( CONTROL!$C$32, 18.8349, 18.8345) * CHOOSE(CONTROL!$C$15, $D$11, 100%, $F$11)</f>
        <v>18.834900000000001</v>
      </c>
      <c r="I621" s="8">
        <f>CHOOSE( CONTROL!$C$32, 17.6455, 17.6451) * CHOOSE(CONTROL!$C$15, $D$11, 100%, $F$11)</f>
        <v>17.645499999999998</v>
      </c>
      <c r="J621" s="4">
        <f>CHOOSE( CONTROL!$C$32, 17.5568, 17.5564) * CHOOSE(CONTROL!$C$15, $D$11, 100%, $F$11)</f>
        <v>17.556799999999999</v>
      </c>
      <c r="K621" s="4"/>
      <c r="L621" s="9">
        <v>30.7165</v>
      </c>
      <c r="M621" s="9">
        <v>12.063700000000001</v>
      </c>
      <c r="N621" s="9">
        <v>4.9444999999999997</v>
      </c>
      <c r="O621" s="9">
        <v>0.37409999999999999</v>
      </c>
      <c r="P621" s="9">
        <v>1.2927</v>
      </c>
      <c r="Q621" s="9">
        <v>19.688099999999999</v>
      </c>
      <c r="R621" s="9"/>
      <c r="S621" s="11"/>
    </row>
    <row r="622" spans="1:19" ht="15.75">
      <c r="A622" s="13">
        <v>60083</v>
      </c>
      <c r="B622" s="8">
        <f>CHOOSE( CONTROL!$C$32, 17.8108, 17.8103) * CHOOSE(CONTROL!$C$15, $D$11, 100%, $F$11)</f>
        <v>17.8108</v>
      </c>
      <c r="C622" s="8">
        <f>CHOOSE( CONTROL!$C$32, 17.8187, 17.8183) * CHOOSE(CONTROL!$C$15, $D$11, 100%, $F$11)</f>
        <v>17.8187</v>
      </c>
      <c r="D622" s="8">
        <f>CHOOSE( CONTROL!$C$32, 17.8134, 17.813) * CHOOSE( CONTROL!$C$15, $D$11, 100%, $F$11)</f>
        <v>17.813400000000001</v>
      </c>
      <c r="E622" s="12">
        <f>CHOOSE( CONTROL!$C$32, 17.8141, 17.8137) * CHOOSE( CONTROL!$C$15, $D$11, 100%, $F$11)</f>
        <v>17.8141</v>
      </c>
      <c r="F622" s="4">
        <f>CHOOSE( CONTROL!$C$32, 18.5177, 18.5173) * CHOOSE(CONTROL!$C$15, $D$11, 100%, $F$11)</f>
        <v>18.517700000000001</v>
      </c>
      <c r="G622" s="8">
        <f>CHOOSE( CONTROL!$C$32, 17.6082, 17.6078) * CHOOSE( CONTROL!$C$15, $D$11, 100%, $F$11)</f>
        <v>17.6082</v>
      </c>
      <c r="H622" s="4">
        <f>CHOOSE( CONTROL!$C$32, 18.5475, 18.547) * CHOOSE(CONTROL!$C$15, $D$11, 100%, $F$11)</f>
        <v>18.547499999999999</v>
      </c>
      <c r="I622" s="8">
        <f>CHOOSE( CONTROL!$C$32, 17.3645, 17.3641) * CHOOSE(CONTROL!$C$15, $D$11, 100%, $F$11)</f>
        <v>17.3645</v>
      </c>
      <c r="J622" s="4">
        <f>CHOOSE( CONTROL!$C$32, 17.2745, 17.2741) * CHOOSE(CONTROL!$C$15, $D$11, 100%, $F$11)</f>
        <v>17.2745</v>
      </c>
      <c r="K622" s="4"/>
      <c r="L622" s="9">
        <v>29.7257</v>
      </c>
      <c r="M622" s="9">
        <v>11.6745</v>
      </c>
      <c r="N622" s="9">
        <v>4.7850000000000001</v>
      </c>
      <c r="O622" s="9">
        <v>0.36199999999999999</v>
      </c>
      <c r="P622" s="9">
        <v>1.2509999999999999</v>
      </c>
      <c r="Q622" s="9">
        <v>19.053000000000001</v>
      </c>
      <c r="R622" s="9"/>
      <c r="S622" s="11"/>
    </row>
    <row r="623" spans="1:19" ht="15.75">
      <c r="A623" s="13">
        <v>60114</v>
      </c>
      <c r="B623" s="8">
        <f>CHOOSE( CONTROL!$C$32, 18.5767, 18.5762) * CHOOSE(CONTROL!$C$15, $D$11, 100%, $F$11)</f>
        <v>18.576699999999999</v>
      </c>
      <c r="C623" s="8">
        <f>CHOOSE( CONTROL!$C$32, 18.5846, 18.5842) * CHOOSE(CONTROL!$C$15, $D$11, 100%, $F$11)</f>
        <v>18.584599999999998</v>
      </c>
      <c r="D623" s="8">
        <f>CHOOSE( CONTROL!$C$32, 18.5798, 18.5793) * CHOOSE( CONTROL!$C$15, $D$11, 100%, $F$11)</f>
        <v>18.579799999999999</v>
      </c>
      <c r="E623" s="12">
        <f>CHOOSE( CONTROL!$C$32, 18.5803, 18.5799) * CHOOSE( CONTROL!$C$15, $D$11, 100%, $F$11)</f>
        <v>18.580300000000001</v>
      </c>
      <c r="F623" s="4">
        <f>CHOOSE( CONTROL!$C$32, 19.2836, 19.2832) * CHOOSE(CONTROL!$C$15, $D$11, 100%, $F$11)</f>
        <v>19.2836</v>
      </c>
      <c r="G623" s="8">
        <f>CHOOSE( CONTROL!$C$32, 18.3655, 18.3651) * CHOOSE( CONTROL!$C$15, $D$11, 100%, $F$11)</f>
        <v>18.365500000000001</v>
      </c>
      <c r="H623" s="4">
        <f>CHOOSE( CONTROL!$C$32, 19.3044, 19.304) * CHOOSE(CONTROL!$C$15, $D$11, 100%, $F$11)</f>
        <v>19.304400000000001</v>
      </c>
      <c r="I623" s="8">
        <f>CHOOSE( CONTROL!$C$32, 18.1098, 18.1093) * CHOOSE(CONTROL!$C$15, $D$11, 100%, $F$11)</f>
        <v>18.1098</v>
      </c>
      <c r="J623" s="4">
        <f>CHOOSE( CONTROL!$C$32, 18.0178, 18.0174) * CHOOSE(CONTROL!$C$15, $D$11, 100%, $F$11)</f>
        <v>18.017800000000001</v>
      </c>
      <c r="K623" s="4"/>
      <c r="L623" s="9">
        <v>30.7165</v>
      </c>
      <c r="M623" s="9">
        <v>12.063700000000001</v>
      </c>
      <c r="N623" s="9">
        <v>4.9444999999999997</v>
      </c>
      <c r="O623" s="9">
        <v>0.37409999999999999</v>
      </c>
      <c r="P623" s="9">
        <v>1.2927</v>
      </c>
      <c r="Q623" s="9">
        <v>19.688099999999999</v>
      </c>
      <c r="R623" s="9"/>
      <c r="S623" s="11"/>
    </row>
    <row r="624" spans="1:19" ht="15.75">
      <c r="A624" s="13">
        <v>60145</v>
      </c>
      <c r="B624" s="8">
        <f>CHOOSE( CONTROL!$C$32, 17.1436, 17.1431) * CHOOSE(CONTROL!$C$15, $D$11, 100%, $F$11)</f>
        <v>17.143599999999999</v>
      </c>
      <c r="C624" s="8">
        <f>CHOOSE( CONTROL!$C$32, 17.1516, 17.1511) * CHOOSE(CONTROL!$C$15, $D$11, 100%, $F$11)</f>
        <v>17.151599999999998</v>
      </c>
      <c r="D624" s="8">
        <f>CHOOSE( CONTROL!$C$32, 17.1468, 17.1464) * CHOOSE( CONTROL!$C$15, $D$11, 100%, $F$11)</f>
        <v>17.146799999999999</v>
      </c>
      <c r="E624" s="12">
        <f>CHOOSE( CONTROL!$C$32, 17.1473, 17.1469) * CHOOSE( CONTROL!$C$15, $D$11, 100%, $F$11)</f>
        <v>17.147300000000001</v>
      </c>
      <c r="F624" s="4">
        <f>CHOOSE( CONTROL!$C$32, 17.8505, 17.8501) * CHOOSE(CONTROL!$C$15, $D$11, 100%, $F$11)</f>
        <v>17.8505</v>
      </c>
      <c r="G624" s="8">
        <f>CHOOSE( CONTROL!$C$32, 16.9493, 16.9489) * CHOOSE( CONTROL!$C$15, $D$11, 100%, $F$11)</f>
        <v>16.949300000000001</v>
      </c>
      <c r="H624" s="4">
        <f>CHOOSE( CONTROL!$C$32, 17.8881, 17.8877) * CHOOSE(CONTROL!$C$15, $D$11, 100%, $F$11)</f>
        <v>17.888100000000001</v>
      </c>
      <c r="I624" s="8">
        <f>CHOOSE( CONTROL!$C$32, 16.7187, 16.7183) * CHOOSE(CONTROL!$C$15, $D$11, 100%, $F$11)</f>
        <v>16.718699999999998</v>
      </c>
      <c r="J624" s="4">
        <f>CHOOSE( CONTROL!$C$32, 16.627, 16.6266) * CHOOSE(CONTROL!$C$15, $D$11, 100%, $F$11)</f>
        <v>16.626999999999999</v>
      </c>
      <c r="K624" s="4"/>
      <c r="L624" s="9">
        <v>30.7165</v>
      </c>
      <c r="M624" s="9">
        <v>12.063700000000001</v>
      </c>
      <c r="N624" s="9">
        <v>4.9444999999999997</v>
      </c>
      <c r="O624" s="9">
        <v>0.37409999999999999</v>
      </c>
      <c r="P624" s="9">
        <v>1.2927</v>
      </c>
      <c r="Q624" s="9">
        <v>19.688099999999999</v>
      </c>
      <c r="R624" s="9"/>
      <c r="S624" s="11"/>
    </row>
    <row r="625" spans="1:19" ht="15.75">
      <c r="A625" s="13">
        <v>60175</v>
      </c>
      <c r="B625" s="8">
        <f>CHOOSE( CONTROL!$C$32, 16.7847, 16.7843) * CHOOSE(CONTROL!$C$15, $D$11, 100%, $F$11)</f>
        <v>16.784700000000001</v>
      </c>
      <c r="C625" s="8">
        <f>CHOOSE( CONTROL!$C$32, 16.7927, 16.7922) * CHOOSE(CONTROL!$C$15, $D$11, 100%, $F$11)</f>
        <v>16.7927</v>
      </c>
      <c r="D625" s="8">
        <f>CHOOSE( CONTROL!$C$32, 16.7878, 16.7874) * CHOOSE( CONTROL!$C$15, $D$11, 100%, $F$11)</f>
        <v>16.787800000000001</v>
      </c>
      <c r="E625" s="12">
        <f>CHOOSE( CONTROL!$C$32, 16.7884, 16.7879) * CHOOSE( CONTROL!$C$15, $D$11, 100%, $F$11)</f>
        <v>16.788399999999999</v>
      </c>
      <c r="F625" s="4">
        <f>CHOOSE( CONTROL!$C$32, 17.4917, 17.4912) * CHOOSE(CONTROL!$C$15, $D$11, 100%, $F$11)</f>
        <v>17.491700000000002</v>
      </c>
      <c r="G625" s="8">
        <f>CHOOSE( CONTROL!$C$32, 16.5945, 16.5941) * CHOOSE( CONTROL!$C$15, $D$11, 100%, $F$11)</f>
        <v>16.5945</v>
      </c>
      <c r="H625" s="4">
        <f>CHOOSE( CONTROL!$C$32, 17.5335, 17.533) * CHOOSE(CONTROL!$C$15, $D$11, 100%, $F$11)</f>
        <v>17.5335</v>
      </c>
      <c r="I625" s="8">
        <f>CHOOSE( CONTROL!$C$32, 16.3697, 16.3693) * CHOOSE(CONTROL!$C$15, $D$11, 100%, $F$11)</f>
        <v>16.369700000000002</v>
      </c>
      <c r="J625" s="4">
        <f>CHOOSE( CONTROL!$C$32, 16.2788, 16.2783) * CHOOSE(CONTROL!$C$15, $D$11, 100%, $F$11)</f>
        <v>16.2788</v>
      </c>
      <c r="K625" s="4"/>
      <c r="L625" s="9">
        <v>29.7257</v>
      </c>
      <c r="M625" s="9">
        <v>11.6745</v>
      </c>
      <c r="N625" s="9">
        <v>4.7850000000000001</v>
      </c>
      <c r="O625" s="9">
        <v>0.36199999999999999</v>
      </c>
      <c r="P625" s="9">
        <v>1.2509999999999999</v>
      </c>
      <c r="Q625" s="9">
        <v>19.053000000000001</v>
      </c>
      <c r="R625" s="9"/>
      <c r="S625" s="11"/>
    </row>
    <row r="626" spans="1:19" ht="15.75">
      <c r="A626" s="13">
        <v>60206</v>
      </c>
      <c r="B626" s="8">
        <f>CHOOSE( CONTROL!$C$32, 17.5279, 17.5277) * CHOOSE(CONTROL!$C$15, $D$11, 100%, $F$11)</f>
        <v>17.527899999999999</v>
      </c>
      <c r="C626" s="8">
        <f>CHOOSE( CONTROL!$C$32, 17.5333, 17.533) * CHOOSE(CONTROL!$C$15, $D$11, 100%, $F$11)</f>
        <v>17.533300000000001</v>
      </c>
      <c r="D626" s="8">
        <f>CHOOSE( CONTROL!$C$32, 17.5335, 17.5332) * CHOOSE( CONTROL!$C$15, $D$11, 100%, $F$11)</f>
        <v>17.5335</v>
      </c>
      <c r="E626" s="12">
        <f>CHOOSE( CONTROL!$C$32, 17.5329, 17.5326) * CHOOSE( CONTROL!$C$15, $D$11, 100%, $F$11)</f>
        <v>17.532900000000001</v>
      </c>
      <c r="F626" s="4">
        <f>CHOOSE( CONTROL!$C$32, 18.2366, 18.2363) * CHOOSE(CONTROL!$C$15, $D$11, 100%, $F$11)</f>
        <v>18.236599999999999</v>
      </c>
      <c r="G626" s="8">
        <f>CHOOSE( CONTROL!$C$32, 17.3307, 17.3304) * CHOOSE( CONTROL!$C$15, $D$11, 100%, $F$11)</f>
        <v>17.3307</v>
      </c>
      <c r="H626" s="4">
        <f>CHOOSE( CONTROL!$C$32, 18.2697, 18.2694) * CHOOSE(CONTROL!$C$15, $D$11, 100%, $F$11)</f>
        <v>18.2697</v>
      </c>
      <c r="I626" s="8">
        <f>CHOOSE( CONTROL!$C$32, 17.0938, 17.0935) * CHOOSE(CONTROL!$C$15, $D$11, 100%, $F$11)</f>
        <v>17.093800000000002</v>
      </c>
      <c r="J626" s="4">
        <f>CHOOSE( CONTROL!$C$32, 17.0017, 17.0015) * CHOOSE(CONTROL!$C$15, $D$11, 100%, $F$11)</f>
        <v>17.0017</v>
      </c>
      <c r="K626" s="4"/>
      <c r="L626" s="9">
        <v>31.095300000000002</v>
      </c>
      <c r="M626" s="9">
        <v>12.063700000000001</v>
      </c>
      <c r="N626" s="9">
        <v>4.9444999999999997</v>
      </c>
      <c r="O626" s="9">
        <v>0.37409999999999999</v>
      </c>
      <c r="P626" s="9">
        <v>1.2927</v>
      </c>
      <c r="Q626" s="9">
        <v>19.688099999999999</v>
      </c>
      <c r="R626" s="9"/>
      <c r="S626" s="11"/>
    </row>
    <row r="627" spans="1:19" ht="15.75">
      <c r="A627" s="13">
        <v>60236</v>
      </c>
      <c r="B627" s="8">
        <f>CHOOSE( CONTROL!$C$32, 18.9029, 18.9026) * CHOOSE(CONTROL!$C$15, $D$11, 100%, $F$11)</f>
        <v>18.902899999999999</v>
      </c>
      <c r="C627" s="8">
        <f>CHOOSE( CONTROL!$C$32, 18.9079, 18.9077) * CHOOSE(CONTROL!$C$15, $D$11, 100%, $F$11)</f>
        <v>18.907900000000001</v>
      </c>
      <c r="D627" s="8">
        <f>CHOOSE( CONTROL!$C$32, 18.8758, 18.8755) * CHOOSE( CONTROL!$C$15, $D$11, 100%, $F$11)</f>
        <v>18.875800000000002</v>
      </c>
      <c r="E627" s="12">
        <f>CHOOSE( CONTROL!$C$32, 18.887, 18.8867) * CHOOSE( CONTROL!$C$15, $D$11, 100%, $F$11)</f>
        <v>18.887</v>
      </c>
      <c r="F627" s="4">
        <f>CHOOSE( CONTROL!$C$32, 19.5682, 19.5679) * CHOOSE(CONTROL!$C$15, $D$11, 100%, $F$11)</f>
        <v>19.568200000000001</v>
      </c>
      <c r="G627" s="8">
        <f>CHOOSE( CONTROL!$C$32, 18.6789, 18.6786) * CHOOSE( CONTROL!$C$15, $D$11, 100%, $F$11)</f>
        <v>18.678899999999999</v>
      </c>
      <c r="H627" s="4">
        <f>CHOOSE( CONTROL!$C$32, 19.5856, 19.5854) * CHOOSE(CONTROL!$C$15, $D$11, 100%, $F$11)</f>
        <v>19.585599999999999</v>
      </c>
      <c r="I627" s="8">
        <f>CHOOSE( CONTROL!$C$32, 18.48, 18.4798) * CHOOSE(CONTROL!$C$15, $D$11, 100%, $F$11)</f>
        <v>18.48</v>
      </c>
      <c r="J627" s="4">
        <f>CHOOSE( CONTROL!$C$32, 18.3365, 18.3362) * CHOOSE(CONTROL!$C$15, $D$11, 100%, $F$11)</f>
        <v>18.336500000000001</v>
      </c>
      <c r="K627" s="4"/>
      <c r="L627" s="9">
        <v>28.360600000000002</v>
      </c>
      <c r="M627" s="9">
        <v>11.6745</v>
      </c>
      <c r="N627" s="9">
        <v>4.7850000000000001</v>
      </c>
      <c r="O627" s="9">
        <v>0.36199999999999999</v>
      </c>
      <c r="P627" s="9">
        <v>1.2509999999999999</v>
      </c>
      <c r="Q627" s="9">
        <v>19.053000000000001</v>
      </c>
      <c r="R627" s="9"/>
      <c r="S627" s="11"/>
    </row>
    <row r="628" spans="1:19" ht="15.75">
      <c r="A628" s="13">
        <v>60267</v>
      </c>
      <c r="B628" s="8">
        <f>CHOOSE( CONTROL!$C$32, 18.8685, 18.8682) * CHOOSE(CONTROL!$C$15, $D$11, 100%, $F$11)</f>
        <v>18.868500000000001</v>
      </c>
      <c r="C628" s="8">
        <f>CHOOSE( CONTROL!$C$32, 18.8736, 18.8733) * CHOOSE(CONTROL!$C$15, $D$11, 100%, $F$11)</f>
        <v>18.8736</v>
      </c>
      <c r="D628" s="8">
        <f>CHOOSE( CONTROL!$C$32, 18.8433, 18.843) * CHOOSE( CONTROL!$C$15, $D$11, 100%, $F$11)</f>
        <v>18.843299999999999</v>
      </c>
      <c r="E628" s="12">
        <f>CHOOSE( CONTROL!$C$32, 18.8538, 18.8535) * CHOOSE( CONTROL!$C$15, $D$11, 100%, $F$11)</f>
        <v>18.8538</v>
      </c>
      <c r="F628" s="4">
        <f>CHOOSE( CONTROL!$C$32, 19.5338, 19.5335) * CHOOSE(CONTROL!$C$15, $D$11, 100%, $F$11)</f>
        <v>19.533799999999999</v>
      </c>
      <c r="G628" s="8">
        <f>CHOOSE( CONTROL!$C$32, 18.6462, 18.646) * CHOOSE( CONTROL!$C$15, $D$11, 100%, $F$11)</f>
        <v>18.6462</v>
      </c>
      <c r="H628" s="4">
        <f>CHOOSE( CONTROL!$C$32, 19.5517, 19.5514) * CHOOSE(CONTROL!$C$15, $D$11, 100%, $F$11)</f>
        <v>19.5517</v>
      </c>
      <c r="I628" s="8">
        <f>CHOOSE( CONTROL!$C$32, 18.4524, 18.4521) * CHOOSE(CONTROL!$C$15, $D$11, 100%, $F$11)</f>
        <v>18.452400000000001</v>
      </c>
      <c r="J628" s="4">
        <f>CHOOSE( CONTROL!$C$32, 18.3031, 18.3029) * CHOOSE(CONTROL!$C$15, $D$11, 100%, $F$11)</f>
        <v>18.303100000000001</v>
      </c>
      <c r="K628" s="4"/>
      <c r="L628" s="9">
        <v>29.306000000000001</v>
      </c>
      <c r="M628" s="9">
        <v>12.063700000000001</v>
      </c>
      <c r="N628" s="9">
        <v>4.9444999999999997</v>
      </c>
      <c r="O628" s="9">
        <v>0.37409999999999999</v>
      </c>
      <c r="P628" s="9">
        <v>1.2927</v>
      </c>
      <c r="Q628" s="9">
        <v>19.688099999999999</v>
      </c>
      <c r="R628" s="9"/>
      <c r="S628" s="11"/>
    </row>
    <row r="629" spans="1:19" ht="15.75">
      <c r="A629" s="13">
        <v>60298</v>
      </c>
      <c r="B629" s="8">
        <f>CHOOSE( CONTROL!$C$32, 19.4248, 19.4245) * CHOOSE(CONTROL!$C$15, $D$11, 100%, $F$11)</f>
        <v>19.424800000000001</v>
      </c>
      <c r="C629" s="8">
        <f>CHOOSE( CONTROL!$C$32, 19.4299, 19.4296) * CHOOSE(CONTROL!$C$15, $D$11, 100%, $F$11)</f>
        <v>19.4299</v>
      </c>
      <c r="D629" s="8">
        <f>CHOOSE( CONTROL!$C$32, 19.4275, 19.4272) * CHOOSE( CONTROL!$C$15, $D$11, 100%, $F$11)</f>
        <v>19.427499999999998</v>
      </c>
      <c r="E629" s="12">
        <f>CHOOSE( CONTROL!$C$32, 19.4278, 19.4275) * CHOOSE( CONTROL!$C$15, $D$11, 100%, $F$11)</f>
        <v>19.427800000000001</v>
      </c>
      <c r="F629" s="4">
        <f>CHOOSE( CONTROL!$C$32, 20.0901, 20.0898) * CHOOSE(CONTROL!$C$15, $D$11, 100%, $F$11)</f>
        <v>20.0901</v>
      </c>
      <c r="G629" s="8">
        <f>CHOOSE( CONTROL!$C$32, 19.2121, 19.2119) * CHOOSE( CONTROL!$C$15, $D$11, 100%, $F$11)</f>
        <v>19.2121</v>
      </c>
      <c r="H629" s="4">
        <f>CHOOSE( CONTROL!$C$32, 20.1014, 20.1012) * CHOOSE(CONTROL!$C$15, $D$11, 100%, $F$11)</f>
        <v>20.101400000000002</v>
      </c>
      <c r="I629" s="8">
        <f>CHOOSE( CONTROL!$C$32, 18.966, 18.9658) * CHOOSE(CONTROL!$C$15, $D$11, 100%, $F$11)</f>
        <v>18.966000000000001</v>
      </c>
      <c r="J629" s="4">
        <f>CHOOSE( CONTROL!$C$32, 18.843, 18.8427) * CHOOSE(CONTROL!$C$15, $D$11, 100%, $F$11)</f>
        <v>18.843</v>
      </c>
      <c r="K629" s="4"/>
      <c r="L629" s="9">
        <v>29.306000000000001</v>
      </c>
      <c r="M629" s="9">
        <v>12.063700000000001</v>
      </c>
      <c r="N629" s="9">
        <v>4.9444999999999997</v>
      </c>
      <c r="O629" s="9">
        <v>0.37409999999999999</v>
      </c>
      <c r="P629" s="9">
        <v>1.2927</v>
      </c>
      <c r="Q629" s="9">
        <v>19.688099999999999</v>
      </c>
      <c r="R629" s="9"/>
      <c r="S629" s="11"/>
    </row>
    <row r="630" spans="1:19" ht="15.75">
      <c r="A630" s="13">
        <v>60326</v>
      </c>
      <c r="B630" s="8">
        <f>CHOOSE( CONTROL!$C$32, 18.1696, 18.1693) * CHOOSE(CONTROL!$C$15, $D$11, 100%, $F$11)</f>
        <v>18.169599999999999</v>
      </c>
      <c r="C630" s="8">
        <f>CHOOSE( CONTROL!$C$32, 18.1747, 18.1744) * CHOOSE(CONTROL!$C$15, $D$11, 100%, $F$11)</f>
        <v>18.174700000000001</v>
      </c>
      <c r="D630" s="8">
        <f>CHOOSE( CONTROL!$C$32, 18.1547, 18.1544) * CHOOSE( CONTROL!$C$15, $D$11, 100%, $F$11)</f>
        <v>18.154699999999998</v>
      </c>
      <c r="E630" s="12">
        <f>CHOOSE( CONTROL!$C$32, 18.1615, 18.1612) * CHOOSE( CONTROL!$C$15, $D$11, 100%, $F$11)</f>
        <v>18.1615</v>
      </c>
      <c r="F630" s="4">
        <f>CHOOSE( CONTROL!$C$32, 18.8349, 18.8346) * CHOOSE(CONTROL!$C$15, $D$11, 100%, $F$11)</f>
        <v>18.834900000000001</v>
      </c>
      <c r="G630" s="8">
        <f>CHOOSE( CONTROL!$C$32, 17.9605, 17.9603) * CHOOSE( CONTROL!$C$15, $D$11, 100%, $F$11)</f>
        <v>17.9605</v>
      </c>
      <c r="H630" s="4">
        <f>CHOOSE( CONTROL!$C$32, 18.861, 18.8607) * CHOOSE(CONTROL!$C$15, $D$11, 100%, $F$11)</f>
        <v>18.861000000000001</v>
      </c>
      <c r="I630" s="8">
        <f>CHOOSE( CONTROL!$C$32, 17.7477, 17.7474) * CHOOSE(CONTROL!$C$15, $D$11, 100%, $F$11)</f>
        <v>17.747699999999998</v>
      </c>
      <c r="J630" s="4">
        <f>CHOOSE( CONTROL!$C$32, 17.6249, 17.6246) * CHOOSE(CONTROL!$C$15, $D$11, 100%, $F$11)</f>
        <v>17.6249</v>
      </c>
      <c r="K630" s="4"/>
      <c r="L630" s="9">
        <v>26.469899999999999</v>
      </c>
      <c r="M630" s="9">
        <v>10.8962</v>
      </c>
      <c r="N630" s="9">
        <v>4.4660000000000002</v>
      </c>
      <c r="O630" s="9">
        <v>0.33789999999999998</v>
      </c>
      <c r="P630" s="9">
        <v>1.1676</v>
      </c>
      <c r="Q630" s="9">
        <v>17.782800000000002</v>
      </c>
      <c r="R630" s="9"/>
      <c r="S630" s="11"/>
    </row>
    <row r="631" spans="1:19" ht="15.75">
      <c r="A631" s="13">
        <v>60357</v>
      </c>
      <c r="B631" s="8">
        <f>CHOOSE( CONTROL!$C$32, 17.783, 17.7828) * CHOOSE(CONTROL!$C$15, $D$11, 100%, $F$11)</f>
        <v>17.783000000000001</v>
      </c>
      <c r="C631" s="8">
        <f>CHOOSE( CONTROL!$C$32, 17.7881, 17.7878) * CHOOSE(CONTROL!$C$15, $D$11, 100%, $F$11)</f>
        <v>17.7881</v>
      </c>
      <c r="D631" s="8">
        <f>CHOOSE( CONTROL!$C$32, 17.7581, 17.7578) * CHOOSE( CONTROL!$C$15, $D$11, 100%, $F$11)</f>
        <v>17.758099999999999</v>
      </c>
      <c r="E631" s="12">
        <f>CHOOSE( CONTROL!$C$32, 17.7685, 17.7682) * CHOOSE( CONTROL!$C$15, $D$11, 100%, $F$11)</f>
        <v>17.7685</v>
      </c>
      <c r="F631" s="4">
        <f>CHOOSE( CONTROL!$C$32, 18.4483, 18.448) * CHOOSE(CONTROL!$C$15, $D$11, 100%, $F$11)</f>
        <v>18.4483</v>
      </c>
      <c r="G631" s="8">
        <f>CHOOSE( CONTROL!$C$32, 17.5652, 17.565) * CHOOSE( CONTROL!$C$15, $D$11, 100%, $F$11)</f>
        <v>17.565200000000001</v>
      </c>
      <c r="H631" s="4">
        <f>CHOOSE( CONTROL!$C$32, 18.4789, 18.4786) * CHOOSE(CONTROL!$C$15, $D$11, 100%, $F$11)</f>
        <v>18.478899999999999</v>
      </c>
      <c r="I631" s="8">
        <f>CHOOSE( CONTROL!$C$32, 17.3371, 17.3369) * CHOOSE(CONTROL!$C$15, $D$11, 100%, $F$11)</f>
        <v>17.3371</v>
      </c>
      <c r="J631" s="4">
        <f>CHOOSE( CONTROL!$C$32, 17.2497, 17.2494) * CHOOSE(CONTROL!$C$15, $D$11, 100%, $F$11)</f>
        <v>17.249700000000001</v>
      </c>
      <c r="K631" s="4"/>
      <c r="L631" s="9">
        <v>29.306000000000001</v>
      </c>
      <c r="M631" s="9">
        <v>12.063700000000001</v>
      </c>
      <c r="N631" s="9">
        <v>4.9444999999999997</v>
      </c>
      <c r="O631" s="9">
        <v>0.37409999999999999</v>
      </c>
      <c r="P631" s="9">
        <v>1.2927</v>
      </c>
      <c r="Q631" s="9">
        <v>19.688099999999999</v>
      </c>
      <c r="R631" s="9"/>
      <c r="S631" s="11"/>
    </row>
    <row r="632" spans="1:19" ht="15.75">
      <c r="A632" s="13">
        <v>60387</v>
      </c>
      <c r="B632" s="8">
        <f>CHOOSE( CONTROL!$C$32, 18.0539, 18.0537) * CHOOSE(CONTROL!$C$15, $D$11, 100%, $F$11)</f>
        <v>18.053899999999999</v>
      </c>
      <c r="C632" s="8">
        <f>CHOOSE( CONTROL!$C$32, 18.0584, 18.0582) * CHOOSE(CONTROL!$C$15, $D$11, 100%, $F$11)</f>
        <v>18.058399999999999</v>
      </c>
      <c r="D632" s="8">
        <f>CHOOSE( CONTROL!$C$32, 18.0579, 18.0577) * CHOOSE( CONTROL!$C$15, $D$11, 100%, $F$11)</f>
        <v>18.0579</v>
      </c>
      <c r="E632" s="12">
        <f>CHOOSE( CONTROL!$C$32, 18.0576, 18.0574) * CHOOSE( CONTROL!$C$15, $D$11, 100%, $F$11)</f>
        <v>18.057600000000001</v>
      </c>
      <c r="F632" s="4">
        <f>CHOOSE( CONTROL!$C$32, 18.7622, 18.762) * CHOOSE(CONTROL!$C$15, $D$11, 100%, $F$11)</f>
        <v>18.7622</v>
      </c>
      <c r="G632" s="8">
        <f>CHOOSE( CONTROL!$C$32, 17.8492, 17.8489) * CHOOSE( CONTROL!$C$15, $D$11, 100%, $F$11)</f>
        <v>17.8492</v>
      </c>
      <c r="H632" s="4">
        <f>CHOOSE( CONTROL!$C$32, 18.7892, 18.7889) * CHOOSE(CONTROL!$C$15, $D$11, 100%, $F$11)</f>
        <v>18.789200000000001</v>
      </c>
      <c r="I632" s="8">
        <f>CHOOSE( CONTROL!$C$32, 17.6, 17.5997) * CHOOSE(CONTROL!$C$15, $D$11, 100%, $F$11)</f>
        <v>17.600000000000001</v>
      </c>
      <c r="J632" s="4">
        <f>CHOOSE( CONTROL!$C$32, 17.5118, 17.5116) * CHOOSE(CONTROL!$C$15, $D$11, 100%, $F$11)</f>
        <v>17.511800000000001</v>
      </c>
      <c r="K632" s="4"/>
      <c r="L632" s="9">
        <v>30.092199999999998</v>
      </c>
      <c r="M632" s="9">
        <v>11.6745</v>
      </c>
      <c r="N632" s="9">
        <v>4.7850000000000001</v>
      </c>
      <c r="O632" s="9">
        <v>0.36199999999999999</v>
      </c>
      <c r="P632" s="9">
        <v>1.2509999999999999</v>
      </c>
      <c r="Q632" s="9">
        <v>19.053000000000001</v>
      </c>
      <c r="R632" s="9"/>
      <c r="S632" s="11"/>
    </row>
    <row r="633" spans="1:19" ht="15.75">
      <c r="A633" s="13">
        <v>60418</v>
      </c>
      <c r="B633" s="8">
        <f>CHOOSE( CONTROL!$C$32, 18.5363, 18.5358) * CHOOSE(CONTROL!$C$15, $D$11, 100%, $F$11)</f>
        <v>18.536300000000001</v>
      </c>
      <c r="C633" s="8">
        <f>CHOOSE( CONTROL!$C$32, 18.5442, 18.5438) * CHOOSE(CONTROL!$C$15, $D$11, 100%, $F$11)</f>
        <v>18.5442</v>
      </c>
      <c r="D633" s="8">
        <f>CHOOSE( CONTROL!$C$32, 18.5385, 18.5381) * CHOOSE( CONTROL!$C$15, $D$11, 100%, $F$11)</f>
        <v>18.538499999999999</v>
      </c>
      <c r="E633" s="12">
        <f>CHOOSE( CONTROL!$C$32, 18.5394, 18.5389) * CHOOSE( CONTROL!$C$15, $D$11, 100%, $F$11)</f>
        <v>18.539400000000001</v>
      </c>
      <c r="F633" s="4">
        <f>CHOOSE( CONTROL!$C$32, 19.2432, 19.2428) * CHOOSE(CONTROL!$C$15, $D$11, 100%, $F$11)</f>
        <v>19.243200000000002</v>
      </c>
      <c r="G633" s="8">
        <f>CHOOSE( CONTROL!$C$32, 18.3249, 18.3244) * CHOOSE( CONTROL!$C$15, $D$11, 100%, $F$11)</f>
        <v>18.3249</v>
      </c>
      <c r="H633" s="4">
        <f>CHOOSE( CONTROL!$C$32, 19.2645, 19.2641) * CHOOSE(CONTROL!$C$15, $D$11, 100%, $F$11)</f>
        <v>19.264500000000002</v>
      </c>
      <c r="I633" s="8">
        <f>CHOOSE( CONTROL!$C$32, 18.0676, 18.0671) * CHOOSE(CONTROL!$C$15, $D$11, 100%, $F$11)</f>
        <v>18.067599999999999</v>
      </c>
      <c r="J633" s="4">
        <f>CHOOSE( CONTROL!$C$32, 17.9786, 17.9782) * CHOOSE(CONTROL!$C$15, $D$11, 100%, $F$11)</f>
        <v>17.9786</v>
      </c>
      <c r="K633" s="4"/>
      <c r="L633" s="9">
        <v>30.7165</v>
      </c>
      <c r="M633" s="9">
        <v>12.063700000000001</v>
      </c>
      <c r="N633" s="9">
        <v>4.9444999999999997</v>
      </c>
      <c r="O633" s="9">
        <v>0.37409999999999999</v>
      </c>
      <c r="P633" s="9">
        <v>1.2927</v>
      </c>
      <c r="Q633" s="9">
        <v>19.688099999999999</v>
      </c>
      <c r="R633" s="9"/>
      <c r="S633" s="11"/>
    </row>
    <row r="634" spans="1:19" ht="15.75">
      <c r="A634" s="13">
        <v>60448</v>
      </c>
      <c r="B634" s="8">
        <f>CHOOSE( CONTROL!$C$32, 18.2384, 18.238) * CHOOSE(CONTROL!$C$15, $D$11, 100%, $F$11)</f>
        <v>18.238399999999999</v>
      </c>
      <c r="C634" s="8">
        <f>CHOOSE( CONTROL!$C$32, 18.2464, 18.246) * CHOOSE(CONTROL!$C$15, $D$11, 100%, $F$11)</f>
        <v>18.246400000000001</v>
      </c>
      <c r="D634" s="8">
        <f>CHOOSE( CONTROL!$C$32, 18.2411, 18.2407) * CHOOSE( CONTROL!$C$15, $D$11, 100%, $F$11)</f>
        <v>18.241099999999999</v>
      </c>
      <c r="E634" s="12">
        <f>CHOOSE( CONTROL!$C$32, 18.2418, 18.2414) * CHOOSE( CONTROL!$C$15, $D$11, 100%, $F$11)</f>
        <v>18.241800000000001</v>
      </c>
      <c r="F634" s="4">
        <f>CHOOSE( CONTROL!$C$32, 18.9454, 18.9449) * CHOOSE(CONTROL!$C$15, $D$11, 100%, $F$11)</f>
        <v>18.945399999999999</v>
      </c>
      <c r="G634" s="8">
        <f>CHOOSE( CONTROL!$C$32, 18.0309, 18.0304) * CHOOSE( CONTROL!$C$15, $D$11, 100%, $F$11)</f>
        <v>18.030899999999999</v>
      </c>
      <c r="H634" s="4">
        <f>CHOOSE( CONTROL!$C$32, 18.9702, 18.9697) * CHOOSE(CONTROL!$C$15, $D$11, 100%, $F$11)</f>
        <v>18.970199999999998</v>
      </c>
      <c r="I634" s="8">
        <f>CHOOSE( CONTROL!$C$32, 17.7798, 17.7793) * CHOOSE(CONTROL!$C$15, $D$11, 100%, $F$11)</f>
        <v>17.779800000000002</v>
      </c>
      <c r="J634" s="4">
        <f>CHOOSE( CONTROL!$C$32, 17.6896, 17.6891) * CHOOSE(CONTROL!$C$15, $D$11, 100%, $F$11)</f>
        <v>17.689599999999999</v>
      </c>
      <c r="K634" s="4"/>
      <c r="L634" s="9">
        <v>29.7257</v>
      </c>
      <c r="M634" s="9">
        <v>11.6745</v>
      </c>
      <c r="N634" s="9">
        <v>4.7850000000000001</v>
      </c>
      <c r="O634" s="9">
        <v>0.36199999999999999</v>
      </c>
      <c r="P634" s="9">
        <v>1.2509999999999999</v>
      </c>
      <c r="Q634" s="9">
        <v>19.053000000000001</v>
      </c>
      <c r="R634" s="9"/>
      <c r="S634" s="11"/>
    </row>
    <row r="635" spans="1:19" ht="15.75">
      <c r="A635" s="13">
        <v>60479</v>
      </c>
      <c r="B635" s="8">
        <f>CHOOSE( CONTROL!$C$32, 19.0227, 19.0223) * CHOOSE(CONTROL!$C$15, $D$11, 100%, $F$11)</f>
        <v>19.0227</v>
      </c>
      <c r="C635" s="8">
        <f>CHOOSE( CONTROL!$C$32, 19.0307, 19.0303) * CHOOSE(CONTROL!$C$15, $D$11, 100%, $F$11)</f>
        <v>19.0307</v>
      </c>
      <c r="D635" s="8">
        <f>CHOOSE( CONTROL!$C$32, 19.0259, 19.0254) * CHOOSE( CONTROL!$C$15, $D$11, 100%, $F$11)</f>
        <v>19.0259</v>
      </c>
      <c r="E635" s="12">
        <f>CHOOSE( CONTROL!$C$32, 19.0264, 19.026) * CHOOSE( CONTROL!$C$15, $D$11, 100%, $F$11)</f>
        <v>19.026399999999999</v>
      </c>
      <c r="F635" s="4">
        <f>CHOOSE( CONTROL!$C$32, 19.7297, 19.7292) * CHOOSE(CONTROL!$C$15, $D$11, 100%, $F$11)</f>
        <v>19.729700000000001</v>
      </c>
      <c r="G635" s="8">
        <f>CHOOSE( CONTROL!$C$32, 18.8063, 18.8059) * CHOOSE( CONTROL!$C$15, $D$11, 100%, $F$11)</f>
        <v>18.8063</v>
      </c>
      <c r="H635" s="4">
        <f>CHOOSE( CONTROL!$C$32, 19.7453, 19.7448) * CHOOSE(CONTROL!$C$15, $D$11, 100%, $F$11)</f>
        <v>19.7453</v>
      </c>
      <c r="I635" s="8">
        <f>CHOOSE( CONTROL!$C$32, 18.5429, 18.5424) * CHOOSE(CONTROL!$C$15, $D$11, 100%, $F$11)</f>
        <v>18.542899999999999</v>
      </c>
      <c r="J635" s="4">
        <f>CHOOSE( CONTROL!$C$32, 18.4508, 18.4503) * CHOOSE(CONTROL!$C$15, $D$11, 100%, $F$11)</f>
        <v>18.450800000000001</v>
      </c>
      <c r="K635" s="4"/>
      <c r="L635" s="9">
        <v>30.7165</v>
      </c>
      <c r="M635" s="9">
        <v>12.063700000000001</v>
      </c>
      <c r="N635" s="9">
        <v>4.9444999999999997</v>
      </c>
      <c r="O635" s="9">
        <v>0.37409999999999999</v>
      </c>
      <c r="P635" s="9">
        <v>1.2927</v>
      </c>
      <c r="Q635" s="9">
        <v>19.688099999999999</v>
      </c>
      <c r="R635" s="9"/>
      <c r="S635" s="11"/>
    </row>
    <row r="636" spans="1:19" ht="15.75">
      <c r="A636" s="13">
        <v>60510</v>
      </c>
      <c r="B636" s="8">
        <f>CHOOSE( CONTROL!$C$32, 17.5552, 17.5548) * CHOOSE(CONTROL!$C$15, $D$11, 100%, $F$11)</f>
        <v>17.555199999999999</v>
      </c>
      <c r="C636" s="8">
        <f>CHOOSE( CONTROL!$C$32, 17.5632, 17.5627) * CHOOSE(CONTROL!$C$15, $D$11, 100%, $F$11)</f>
        <v>17.563199999999998</v>
      </c>
      <c r="D636" s="8">
        <f>CHOOSE( CONTROL!$C$32, 17.5585, 17.558) * CHOOSE( CONTROL!$C$15, $D$11, 100%, $F$11)</f>
        <v>17.558499999999999</v>
      </c>
      <c r="E636" s="12">
        <f>CHOOSE( CONTROL!$C$32, 17.559, 17.5585) * CHOOSE( CONTROL!$C$15, $D$11, 100%, $F$11)</f>
        <v>17.559000000000001</v>
      </c>
      <c r="F636" s="4">
        <f>CHOOSE( CONTROL!$C$32, 18.2622, 18.2617) * CHOOSE(CONTROL!$C$15, $D$11, 100%, $F$11)</f>
        <v>18.2622</v>
      </c>
      <c r="G636" s="8">
        <f>CHOOSE( CONTROL!$C$32, 17.3561, 17.3557) * CHOOSE( CONTROL!$C$15, $D$11, 100%, $F$11)</f>
        <v>17.356100000000001</v>
      </c>
      <c r="H636" s="4">
        <f>CHOOSE( CONTROL!$C$32, 18.2949, 18.2945) * CHOOSE(CONTROL!$C$15, $D$11, 100%, $F$11)</f>
        <v>18.294899999999998</v>
      </c>
      <c r="I636" s="8">
        <f>CHOOSE( CONTROL!$C$32, 17.1184, 17.118) * CHOOSE(CONTROL!$C$15, $D$11, 100%, $F$11)</f>
        <v>17.118400000000001</v>
      </c>
      <c r="J636" s="4">
        <f>CHOOSE( CONTROL!$C$32, 17.0265, 17.0261) * CHOOSE(CONTROL!$C$15, $D$11, 100%, $F$11)</f>
        <v>17.026499999999999</v>
      </c>
      <c r="K636" s="4"/>
      <c r="L636" s="9">
        <v>30.7165</v>
      </c>
      <c r="M636" s="9">
        <v>12.063700000000001</v>
      </c>
      <c r="N636" s="9">
        <v>4.9444999999999997</v>
      </c>
      <c r="O636" s="9">
        <v>0.37409999999999999</v>
      </c>
      <c r="P636" s="9">
        <v>1.2927</v>
      </c>
      <c r="Q636" s="9">
        <v>19.688099999999999</v>
      </c>
      <c r="R636" s="9"/>
      <c r="S636" s="11"/>
    </row>
    <row r="637" spans="1:19" ht="15.75">
      <c r="A637" s="13">
        <v>60540</v>
      </c>
      <c r="B637" s="8">
        <f>CHOOSE( CONTROL!$C$32, 17.1877, 17.1873) * CHOOSE(CONTROL!$C$15, $D$11, 100%, $F$11)</f>
        <v>17.1877</v>
      </c>
      <c r="C637" s="8">
        <f>CHOOSE( CONTROL!$C$32, 17.1957, 17.1953) * CHOOSE(CONTROL!$C$15, $D$11, 100%, $F$11)</f>
        <v>17.195699999999999</v>
      </c>
      <c r="D637" s="8">
        <f>CHOOSE( CONTROL!$C$32, 17.1909, 17.1904) * CHOOSE( CONTROL!$C$15, $D$11, 100%, $F$11)</f>
        <v>17.190899999999999</v>
      </c>
      <c r="E637" s="12">
        <f>CHOOSE( CONTROL!$C$32, 17.1914, 17.191) * CHOOSE( CONTROL!$C$15, $D$11, 100%, $F$11)</f>
        <v>17.191400000000002</v>
      </c>
      <c r="F637" s="4">
        <f>CHOOSE( CONTROL!$C$32, 17.8947, 17.8942) * CHOOSE(CONTROL!$C$15, $D$11, 100%, $F$11)</f>
        <v>17.8947</v>
      </c>
      <c r="G637" s="8">
        <f>CHOOSE( CONTROL!$C$32, 16.9928, 16.9924) * CHOOSE( CONTROL!$C$15, $D$11, 100%, $F$11)</f>
        <v>16.992799999999999</v>
      </c>
      <c r="H637" s="4">
        <f>CHOOSE( CONTROL!$C$32, 17.9318, 17.9313) * CHOOSE(CONTROL!$C$15, $D$11, 100%, $F$11)</f>
        <v>17.931799999999999</v>
      </c>
      <c r="I637" s="8">
        <f>CHOOSE( CONTROL!$C$32, 16.7611, 16.7606) * CHOOSE(CONTROL!$C$15, $D$11, 100%, $F$11)</f>
        <v>16.761099999999999</v>
      </c>
      <c r="J637" s="4">
        <f>CHOOSE( CONTROL!$C$32, 16.6699, 16.6694) * CHOOSE(CONTROL!$C$15, $D$11, 100%, $F$11)</f>
        <v>16.669899999999998</v>
      </c>
      <c r="K637" s="4"/>
      <c r="L637" s="9">
        <v>29.7257</v>
      </c>
      <c r="M637" s="9">
        <v>11.6745</v>
      </c>
      <c r="N637" s="9">
        <v>4.7850000000000001</v>
      </c>
      <c r="O637" s="9">
        <v>0.36199999999999999</v>
      </c>
      <c r="P637" s="9">
        <v>1.2509999999999999</v>
      </c>
      <c r="Q637" s="9">
        <v>19.053000000000001</v>
      </c>
      <c r="R637" s="9"/>
      <c r="S637" s="11"/>
    </row>
    <row r="638" spans="1:19" ht="15.75">
      <c r="A638" s="13">
        <v>60571</v>
      </c>
      <c r="B638" s="8">
        <f>CHOOSE( CONTROL!$C$32, 17.9489, 17.9486) * CHOOSE(CONTROL!$C$15, $D$11, 100%, $F$11)</f>
        <v>17.948899999999998</v>
      </c>
      <c r="C638" s="8">
        <f>CHOOSE( CONTROL!$C$32, 17.9542, 17.9539) * CHOOSE(CONTROL!$C$15, $D$11, 100%, $F$11)</f>
        <v>17.9542</v>
      </c>
      <c r="D638" s="8">
        <f>CHOOSE( CONTROL!$C$32, 17.9544, 17.9541) * CHOOSE( CONTROL!$C$15, $D$11, 100%, $F$11)</f>
        <v>17.9544</v>
      </c>
      <c r="E638" s="12">
        <f>CHOOSE( CONTROL!$C$32, 17.9538, 17.9535) * CHOOSE( CONTROL!$C$15, $D$11, 100%, $F$11)</f>
        <v>17.953800000000001</v>
      </c>
      <c r="F638" s="4">
        <f>CHOOSE( CONTROL!$C$32, 18.6575, 18.6572) * CHOOSE(CONTROL!$C$15, $D$11, 100%, $F$11)</f>
        <v>18.657499999999999</v>
      </c>
      <c r="G638" s="8">
        <f>CHOOSE( CONTROL!$C$32, 17.7467, 17.7464) * CHOOSE( CONTROL!$C$15, $D$11, 100%, $F$11)</f>
        <v>17.746700000000001</v>
      </c>
      <c r="H638" s="4">
        <f>CHOOSE( CONTROL!$C$32, 18.6857, 18.6854) * CHOOSE(CONTROL!$C$15, $D$11, 100%, $F$11)</f>
        <v>18.685700000000001</v>
      </c>
      <c r="I638" s="8">
        <f>CHOOSE( CONTROL!$C$32, 17.5025, 17.5022) * CHOOSE(CONTROL!$C$15, $D$11, 100%, $F$11)</f>
        <v>17.502500000000001</v>
      </c>
      <c r="J638" s="4">
        <f>CHOOSE( CONTROL!$C$32, 17.4102, 17.41) * CHOOSE(CONTROL!$C$15, $D$11, 100%, $F$11)</f>
        <v>17.4102</v>
      </c>
      <c r="K638" s="4"/>
      <c r="L638" s="9">
        <v>31.095300000000002</v>
      </c>
      <c r="M638" s="9">
        <v>12.063700000000001</v>
      </c>
      <c r="N638" s="9">
        <v>4.9444999999999997</v>
      </c>
      <c r="O638" s="9">
        <v>0.37409999999999999</v>
      </c>
      <c r="P638" s="9">
        <v>1.2927</v>
      </c>
      <c r="Q638" s="9">
        <v>19.688099999999999</v>
      </c>
      <c r="R638" s="9"/>
      <c r="S638" s="11"/>
    </row>
    <row r="639" spans="1:19" ht="15.75">
      <c r="A639" s="13">
        <v>60601</v>
      </c>
      <c r="B639" s="8">
        <f>CHOOSE( CONTROL!$C$32, 19.3568, 19.3566) * CHOOSE(CONTROL!$C$15, $D$11, 100%, $F$11)</f>
        <v>19.3568</v>
      </c>
      <c r="C639" s="8">
        <f>CHOOSE( CONTROL!$C$32, 19.3619, 19.3616) * CHOOSE(CONTROL!$C$15, $D$11, 100%, $F$11)</f>
        <v>19.361899999999999</v>
      </c>
      <c r="D639" s="8">
        <f>CHOOSE( CONTROL!$C$32, 19.3298, 19.3295) * CHOOSE( CONTROL!$C$15, $D$11, 100%, $F$11)</f>
        <v>19.329799999999999</v>
      </c>
      <c r="E639" s="12">
        <f>CHOOSE( CONTROL!$C$32, 19.341, 19.3407) * CHOOSE( CONTROL!$C$15, $D$11, 100%, $F$11)</f>
        <v>19.341000000000001</v>
      </c>
      <c r="F639" s="4">
        <f>CHOOSE( CONTROL!$C$32, 20.0221, 20.0218) * CHOOSE(CONTROL!$C$15, $D$11, 100%, $F$11)</f>
        <v>20.022099999999998</v>
      </c>
      <c r="G639" s="8">
        <f>CHOOSE( CONTROL!$C$32, 19.1275, 19.1273) * CHOOSE( CONTROL!$C$15, $D$11, 100%, $F$11)</f>
        <v>19.127500000000001</v>
      </c>
      <c r="H639" s="4">
        <f>CHOOSE( CONTROL!$C$32, 20.0343, 20.034) * CHOOSE(CONTROL!$C$15, $D$11, 100%, $F$11)</f>
        <v>20.034300000000002</v>
      </c>
      <c r="I639" s="8">
        <f>CHOOSE( CONTROL!$C$32, 18.9208, 18.9206) * CHOOSE(CONTROL!$C$15, $D$11, 100%, $F$11)</f>
        <v>18.9208</v>
      </c>
      <c r="J639" s="4">
        <f>CHOOSE( CONTROL!$C$32, 18.7771, 18.7768) * CHOOSE(CONTROL!$C$15, $D$11, 100%, $F$11)</f>
        <v>18.777100000000001</v>
      </c>
      <c r="K639" s="4"/>
      <c r="L639" s="9">
        <v>28.360600000000002</v>
      </c>
      <c r="M639" s="9">
        <v>11.6745</v>
      </c>
      <c r="N639" s="9">
        <v>4.7850000000000001</v>
      </c>
      <c r="O639" s="9">
        <v>0.36199999999999999</v>
      </c>
      <c r="P639" s="9">
        <v>1.2509999999999999</v>
      </c>
      <c r="Q639" s="9">
        <v>19.053000000000001</v>
      </c>
      <c r="R639" s="9"/>
      <c r="S639" s="11"/>
    </row>
    <row r="640" spans="1:19" ht="15.75">
      <c r="A640" s="13">
        <v>60632</v>
      </c>
      <c r="B640" s="8">
        <f>CHOOSE( CONTROL!$C$32, 19.3216, 19.3214) * CHOOSE(CONTROL!$C$15, $D$11, 100%, $F$11)</f>
        <v>19.3216</v>
      </c>
      <c r="C640" s="8">
        <f>CHOOSE( CONTROL!$C$32, 19.3267, 19.3265) * CHOOSE(CONTROL!$C$15, $D$11, 100%, $F$11)</f>
        <v>19.326699999999999</v>
      </c>
      <c r="D640" s="8">
        <f>CHOOSE( CONTROL!$C$32, 19.2964, 19.2962) * CHOOSE( CONTROL!$C$15, $D$11, 100%, $F$11)</f>
        <v>19.296399999999998</v>
      </c>
      <c r="E640" s="12">
        <f>CHOOSE( CONTROL!$C$32, 19.3069, 19.3067) * CHOOSE( CONTROL!$C$15, $D$11, 100%, $F$11)</f>
        <v>19.306899999999999</v>
      </c>
      <c r="F640" s="4">
        <f>CHOOSE( CONTROL!$C$32, 19.9869, 19.9867) * CHOOSE(CONTROL!$C$15, $D$11, 100%, $F$11)</f>
        <v>19.986899999999999</v>
      </c>
      <c r="G640" s="8">
        <f>CHOOSE( CONTROL!$C$32, 19.0941, 19.0938) * CHOOSE( CONTROL!$C$15, $D$11, 100%, $F$11)</f>
        <v>19.094100000000001</v>
      </c>
      <c r="H640" s="4">
        <f>CHOOSE( CONTROL!$C$32, 19.9995, 19.9992) * CHOOSE(CONTROL!$C$15, $D$11, 100%, $F$11)</f>
        <v>19.999500000000001</v>
      </c>
      <c r="I640" s="8">
        <f>CHOOSE( CONTROL!$C$32, 18.8924, 18.8921) * CHOOSE(CONTROL!$C$15, $D$11, 100%, $F$11)</f>
        <v>18.892399999999999</v>
      </c>
      <c r="J640" s="4">
        <f>CHOOSE( CONTROL!$C$32, 18.7429, 18.7426) * CHOOSE(CONTROL!$C$15, $D$11, 100%, $F$11)</f>
        <v>18.742899999999999</v>
      </c>
      <c r="K640" s="4"/>
      <c r="L640" s="9">
        <v>29.306000000000001</v>
      </c>
      <c r="M640" s="9">
        <v>12.063700000000001</v>
      </c>
      <c r="N640" s="9">
        <v>4.9444999999999997</v>
      </c>
      <c r="O640" s="9">
        <v>0.37409999999999999</v>
      </c>
      <c r="P640" s="9">
        <v>1.2927</v>
      </c>
      <c r="Q640" s="9">
        <v>19.688099999999999</v>
      </c>
      <c r="R640" s="9"/>
      <c r="S640" s="11"/>
    </row>
    <row r="641" spans="1:19" ht="15.75">
      <c r="A641" s="13">
        <v>60663</v>
      </c>
      <c r="B641" s="8">
        <f>CHOOSE( CONTROL!$C$32, 19.8913, 19.891) * CHOOSE(CONTROL!$C$15, $D$11, 100%, $F$11)</f>
        <v>19.891300000000001</v>
      </c>
      <c r="C641" s="8">
        <f>CHOOSE( CONTROL!$C$32, 19.8964, 19.8961) * CHOOSE(CONTROL!$C$15, $D$11, 100%, $F$11)</f>
        <v>19.8964</v>
      </c>
      <c r="D641" s="8">
        <f>CHOOSE( CONTROL!$C$32, 19.894, 19.8937) * CHOOSE( CONTROL!$C$15, $D$11, 100%, $F$11)</f>
        <v>19.893999999999998</v>
      </c>
      <c r="E641" s="12">
        <f>CHOOSE( CONTROL!$C$32, 19.8943, 19.894) * CHOOSE( CONTROL!$C$15, $D$11, 100%, $F$11)</f>
        <v>19.894300000000001</v>
      </c>
      <c r="F641" s="4">
        <f>CHOOSE( CONTROL!$C$32, 20.5566, 20.5563) * CHOOSE(CONTROL!$C$15, $D$11, 100%, $F$11)</f>
        <v>20.5566</v>
      </c>
      <c r="G641" s="8">
        <f>CHOOSE( CONTROL!$C$32, 19.6732, 19.6729) * CHOOSE( CONTROL!$C$15, $D$11, 100%, $F$11)</f>
        <v>19.673200000000001</v>
      </c>
      <c r="H641" s="4">
        <f>CHOOSE( CONTROL!$C$32, 20.5625, 20.5622) * CHOOSE(CONTROL!$C$15, $D$11, 100%, $F$11)</f>
        <v>20.5625</v>
      </c>
      <c r="I641" s="8">
        <f>CHOOSE( CONTROL!$C$32, 19.419, 19.4187) * CHOOSE(CONTROL!$C$15, $D$11, 100%, $F$11)</f>
        <v>19.419</v>
      </c>
      <c r="J641" s="4">
        <f>CHOOSE( CONTROL!$C$32, 19.2958, 19.2955) * CHOOSE(CONTROL!$C$15, $D$11, 100%, $F$11)</f>
        <v>19.2958</v>
      </c>
      <c r="K641" s="4"/>
      <c r="L641" s="9">
        <v>29.306000000000001</v>
      </c>
      <c r="M641" s="9">
        <v>12.063700000000001</v>
      </c>
      <c r="N641" s="9">
        <v>4.9444999999999997</v>
      </c>
      <c r="O641" s="9">
        <v>0.37409999999999999</v>
      </c>
      <c r="P641" s="9">
        <v>1.2927</v>
      </c>
      <c r="Q641" s="9">
        <v>19.688099999999999</v>
      </c>
      <c r="R641" s="9"/>
      <c r="S641" s="11"/>
    </row>
    <row r="642" spans="1:19" ht="15.75">
      <c r="A642" s="13">
        <v>60691</v>
      </c>
      <c r="B642" s="8">
        <f>CHOOSE( CONTROL!$C$32, 18.606, 18.6057) * CHOOSE(CONTROL!$C$15, $D$11, 100%, $F$11)</f>
        <v>18.606000000000002</v>
      </c>
      <c r="C642" s="8">
        <f>CHOOSE( CONTROL!$C$32, 18.611, 18.6108) * CHOOSE(CONTROL!$C$15, $D$11, 100%, $F$11)</f>
        <v>18.611000000000001</v>
      </c>
      <c r="D642" s="8">
        <f>CHOOSE( CONTROL!$C$32, 18.591, 18.5907) * CHOOSE( CONTROL!$C$15, $D$11, 100%, $F$11)</f>
        <v>18.591000000000001</v>
      </c>
      <c r="E642" s="12">
        <f>CHOOSE( CONTROL!$C$32, 18.5978, 18.5975) * CHOOSE( CONTROL!$C$15, $D$11, 100%, $F$11)</f>
        <v>18.597799999999999</v>
      </c>
      <c r="F642" s="4">
        <f>CHOOSE( CONTROL!$C$32, 19.2712, 19.271) * CHOOSE(CONTROL!$C$15, $D$11, 100%, $F$11)</f>
        <v>19.2712</v>
      </c>
      <c r="G642" s="8">
        <f>CHOOSE( CONTROL!$C$32, 18.3918, 18.3915) * CHOOSE( CONTROL!$C$15, $D$11, 100%, $F$11)</f>
        <v>18.3918</v>
      </c>
      <c r="H642" s="4">
        <f>CHOOSE( CONTROL!$C$32, 19.2922, 19.2919) * CHOOSE(CONTROL!$C$15, $D$11, 100%, $F$11)</f>
        <v>19.292200000000001</v>
      </c>
      <c r="I642" s="8">
        <f>CHOOSE( CONTROL!$C$32, 18.1714, 18.1711) * CHOOSE(CONTROL!$C$15, $D$11, 100%, $F$11)</f>
        <v>18.171399999999998</v>
      </c>
      <c r="J642" s="4">
        <f>CHOOSE( CONTROL!$C$32, 18.0483, 18.0481) * CHOOSE(CONTROL!$C$15, $D$11, 100%, $F$11)</f>
        <v>18.048300000000001</v>
      </c>
      <c r="K642" s="4"/>
      <c r="L642" s="9">
        <v>26.469899999999999</v>
      </c>
      <c r="M642" s="9">
        <v>10.8962</v>
      </c>
      <c r="N642" s="9">
        <v>4.4660000000000002</v>
      </c>
      <c r="O642" s="9">
        <v>0.33789999999999998</v>
      </c>
      <c r="P642" s="9">
        <v>1.1676</v>
      </c>
      <c r="Q642" s="9">
        <v>17.782800000000002</v>
      </c>
      <c r="R642" s="9"/>
      <c r="S642" s="11"/>
    </row>
    <row r="643" spans="1:19" ht="15.75">
      <c r="A643" s="13">
        <v>60722</v>
      </c>
      <c r="B643" s="8">
        <f>CHOOSE( CONTROL!$C$32, 18.2101, 18.2098) * CHOOSE(CONTROL!$C$15, $D$11, 100%, $F$11)</f>
        <v>18.210100000000001</v>
      </c>
      <c r="C643" s="8">
        <f>CHOOSE( CONTROL!$C$32, 18.2152, 18.2149) * CHOOSE(CONTROL!$C$15, $D$11, 100%, $F$11)</f>
        <v>18.215199999999999</v>
      </c>
      <c r="D643" s="8">
        <f>CHOOSE( CONTROL!$C$32, 18.1852, 18.1849) * CHOOSE( CONTROL!$C$15, $D$11, 100%, $F$11)</f>
        <v>18.185199999999998</v>
      </c>
      <c r="E643" s="12">
        <f>CHOOSE( CONTROL!$C$32, 18.1956, 18.1953) * CHOOSE( CONTROL!$C$15, $D$11, 100%, $F$11)</f>
        <v>18.195599999999999</v>
      </c>
      <c r="F643" s="4">
        <f>CHOOSE( CONTROL!$C$32, 18.8754, 18.8751) * CHOOSE(CONTROL!$C$15, $D$11, 100%, $F$11)</f>
        <v>18.875399999999999</v>
      </c>
      <c r="G643" s="8">
        <f>CHOOSE( CONTROL!$C$32, 17.9873, 17.987) * CHOOSE( CONTROL!$C$15, $D$11, 100%, $F$11)</f>
        <v>17.987300000000001</v>
      </c>
      <c r="H643" s="4">
        <f>CHOOSE( CONTROL!$C$32, 18.901, 18.9007) * CHOOSE(CONTROL!$C$15, $D$11, 100%, $F$11)</f>
        <v>18.901</v>
      </c>
      <c r="I643" s="8">
        <f>CHOOSE( CONTROL!$C$32, 17.7518, 17.7515) * CHOOSE(CONTROL!$C$15, $D$11, 100%, $F$11)</f>
        <v>17.751799999999999</v>
      </c>
      <c r="J643" s="4">
        <f>CHOOSE( CONTROL!$C$32, 17.6641, 17.6639) * CHOOSE(CONTROL!$C$15, $D$11, 100%, $F$11)</f>
        <v>17.664100000000001</v>
      </c>
      <c r="K643" s="4"/>
      <c r="L643" s="9">
        <v>29.306000000000001</v>
      </c>
      <c r="M643" s="9">
        <v>12.063700000000001</v>
      </c>
      <c r="N643" s="9">
        <v>4.9444999999999997</v>
      </c>
      <c r="O643" s="9">
        <v>0.37409999999999999</v>
      </c>
      <c r="P643" s="9">
        <v>1.2927</v>
      </c>
      <c r="Q643" s="9">
        <v>19.688099999999999</v>
      </c>
      <c r="R643" s="9"/>
      <c r="S643" s="11"/>
    </row>
    <row r="644" spans="1:19" ht="15.75">
      <c r="A644" s="13">
        <v>60752</v>
      </c>
      <c r="B644" s="8">
        <f>CHOOSE( CONTROL!$C$32, 18.4875, 18.4872) * CHOOSE(CONTROL!$C$15, $D$11, 100%, $F$11)</f>
        <v>18.487500000000001</v>
      </c>
      <c r="C644" s="8">
        <f>CHOOSE( CONTROL!$C$32, 18.492, 18.4917) * CHOOSE(CONTROL!$C$15, $D$11, 100%, $F$11)</f>
        <v>18.492000000000001</v>
      </c>
      <c r="D644" s="8">
        <f>CHOOSE( CONTROL!$C$32, 18.4915, 18.4912) * CHOOSE( CONTROL!$C$15, $D$11, 100%, $F$11)</f>
        <v>18.491499999999998</v>
      </c>
      <c r="E644" s="12">
        <f>CHOOSE( CONTROL!$C$32, 18.4912, 18.4909) * CHOOSE( CONTROL!$C$15, $D$11, 100%, $F$11)</f>
        <v>18.491199999999999</v>
      </c>
      <c r="F644" s="4">
        <f>CHOOSE( CONTROL!$C$32, 19.1958, 19.1955) * CHOOSE(CONTROL!$C$15, $D$11, 100%, $F$11)</f>
        <v>19.195799999999998</v>
      </c>
      <c r="G644" s="8">
        <f>CHOOSE( CONTROL!$C$32, 18.2777, 18.2774) * CHOOSE( CONTROL!$C$15, $D$11, 100%, $F$11)</f>
        <v>18.277699999999999</v>
      </c>
      <c r="H644" s="4">
        <f>CHOOSE( CONTROL!$C$32, 19.2176, 19.2174) * CHOOSE(CONTROL!$C$15, $D$11, 100%, $F$11)</f>
        <v>19.217600000000001</v>
      </c>
      <c r="I644" s="8">
        <f>CHOOSE( CONTROL!$C$32, 18.0209, 18.0207) * CHOOSE(CONTROL!$C$15, $D$11, 100%, $F$11)</f>
        <v>18.020900000000001</v>
      </c>
      <c r="J644" s="4">
        <f>CHOOSE( CONTROL!$C$32, 17.9326, 17.9323) * CHOOSE(CONTROL!$C$15, $D$11, 100%, $F$11)</f>
        <v>17.932600000000001</v>
      </c>
      <c r="K644" s="4"/>
      <c r="L644" s="9">
        <v>30.092199999999998</v>
      </c>
      <c r="M644" s="9">
        <v>11.6745</v>
      </c>
      <c r="N644" s="9">
        <v>4.7850000000000001</v>
      </c>
      <c r="O644" s="9">
        <v>0.36199999999999999</v>
      </c>
      <c r="P644" s="9">
        <v>1.2509999999999999</v>
      </c>
      <c r="Q644" s="9">
        <v>19.053000000000001</v>
      </c>
      <c r="R644" s="9"/>
      <c r="S644" s="11"/>
    </row>
    <row r="645" spans="1:19" ht="15.75">
      <c r="A645" s="13">
        <v>60783</v>
      </c>
      <c r="B645" s="8">
        <f>CHOOSE( CONTROL!$C$32, 18.9814, 18.9809) * CHOOSE(CONTROL!$C$15, $D$11, 100%, $F$11)</f>
        <v>18.981400000000001</v>
      </c>
      <c r="C645" s="8">
        <f>CHOOSE( CONTROL!$C$32, 18.9893, 18.9889) * CHOOSE(CONTROL!$C$15, $D$11, 100%, $F$11)</f>
        <v>18.9893</v>
      </c>
      <c r="D645" s="8">
        <f>CHOOSE( CONTROL!$C$32, 18.9836, 18.9832) * CHOOSE( CONTROL!$C$15, $D$11, 100%, $F$11)</f>
        <v>18.983599999999999</v>
      </c>
      <c r="E645" s="12">
        <f>CHOOSE( CONTROL!$C$32, 18.9845, 18.984) * CHOOSE( CONTROL!$C$15, $D$11, 100%, $F$11)</f>
        <v>18.984500000000001</v>
      </c>
      <c r="F645" s="4">
        <f>CHOOSE( CONTROL!$C$32, 19.6883, 19.6879) * CHOOSE(CONTROL!$C$15, $D$11, 100%, $F$11)</f>
        <v>19.688300000000002</v>
      </c>
      <c r="G645" s="8">
        <f>CHOOSE( CONTROL!$C$32, 18.7648, 18.7643) * CHOOSE( CONTROL!$C$15, $D$11, 100%, $F$11)</f>
        <v>18.764800000000001</v>
      </c>
      <c r="H645" s="4">
        <f>CHOOSE( CONTROL!$C$32, 19.7044, 19.7039) * CHOOSE(CONTROL!$C$15, $D$11, 100%, $F$11)</f>
        <v>19.7044</v>
      </c>
      <c r="I645" s="8">
        <f>CHOOSE( CONTROL!$C$32, 18.4997, 18.4993) * CHOOSE(CONTROL!$C$15, $D$11, 100%, $F$11)</f>
        <v>18.499700000000001</v>
      </c>
      <c r="J645" s="4">
        <f>CHOOSE( CONTROL!$C$32, 18.4106, 18.4102) * CHOOSE(CONTROL!$C$15, $D$11, 100%, $F$11)</f>
        <v>18.410599999999999</v>
      </c>
      <c r="K645" s="4"/>
      <c r="L645" s="9">
        <v>30.7165</v>
      </c>
      <c r="M645" s="9">
        <v>12.063700000000001</v>
      </c>
      <c r="N645" s="9">
        <v>4.9444999999999997</v>
      </c>
      <c r="O645" s="9">
        <v>0.37409999999999999</v>
      </c>
      <c r="P645" s="9">
        <v>1.2927</v>
      </c>
      <c r="Q645" s="9">
        <v>19.688099999999999</v>
      </c>
      <c r="R645" s="9"/>
      <c r="S645" s="11"/>
    </row>
    <row r="646" spans="1:19" ht="15.75">
      <c r="A646" s="13">
        <v>60813</v>
      </c>
      <c r="B646" s="8">
        <f>CHOOSE( CONTROL!$C$32, 18.6764, 18.6759) * CHOOSE(CONTROL!$C$15, $D$11, 100%, $F$11)</f>
        <v>18.676400000000001</v>
      </c>
      <c r="C646" s="8">
        <f>CHOOSE( CONTROL!$C$32, 18.6844, 18.6839) * CHOOSE(CONTROL!$C$15, $D$11, 100%, $F$11)</f>
        <v>18.6844</v>
      </c>
      <c r="D646" s="8">
        <f>CHOOSE( CONTROL!$C$32, 18.6791, 18.6786) * CHOOSE( CONTROL!$C$15, $D$11, 100%, $F$11)</f>
        <v>18.679099999999998</v>
      </c>
      <c r="E646" s="12">
        <f>CHOOSE( CONTROL!$C$32, 18.6798, 18.6793) * CHOOSE( CONTROL!$C$15, $D$11, 100%, $F$11)</f>
        <v>18.6798</v>
      </c>
      <c r="F646" s="4">
        <f>CHOOSE( CONTROL!$C$32, 19.3833, 19.3829) * CHOOSE(CONTROL!$C$15, $D$11, 100%, $F$11)</f>
        <v>19.383299999999998</v>
      </c>
      <c r="G646" s="8">
        <f>CHOOSE( CONTROL!$C$32, 18.4637, 18.4632) * CHOOSE( CONTROL!$C$15, $D$11, 100%, $F$11)</f>
        <v>18.463699999999999</v>
      </c>
      <c r="H646" s="4">
        <f>CHOOSE( CONTROL!$C$32, 19.403, 19.4025) * CHOOSE(CONTROL!$C$15, $D$11, 100%, $F$11)</f>
        <v>19.402999999999999</v>
      </c>
      <c r="I646" s="8">
        <f>CHOOSE( CONTROL!$C$32, 18.205, 18.2046) * CHOOSE(CONTROL!$C$15, $D$11, 100%, $F$11)</f>
        <v>18.204999999999998</v>
      </c>
      <c r="J646" s="4">
        <f>CHOOSE( CONTROL!$C$32, 18.1146, 18.1142) * CHOOSE(CONTROL!$C$15, $D$11, 100%, $F$11)</f>
        <v>18.114599999999999</v>
      </c>
      <c r="K646" s="4"/>
      <c r="L646" s="9">
        <v>29.7257</v>
      </c>
      <c r="M646" s="9">
        <v>11.6745</v>
      </c>
      <c r="N646" s="9">
        <v>4.7850000000000001</v>
      </c>
      <c r="O646" s="9">
        <v>0.36199999999999999</v>
      </c>
      <c r="P646" s="9">
        <v>1.2509999999999999</v>
      </c>
      <c r="Q646" s="9">
        <v>19.053000000000001</v>
      </c>
      <c r="R646" s="9"/>
      <c r="S646" s="11"/>
    </row>
    <row r="647" spans="1:19" ht="15.75">
      <c r="A647" s="13">
        <v>60844</v>
      </c>
      <c r="B647" s="8">
        <f>CHOOSE( CONTROL!$C$32, 19.4795, 19.4791) * CHOOSE(CONTROL!$C$15, $D$11, 100%, $F$11)</f>
        <v>19.479500000000002</v>
      </c>
      <c r="C647" s="8">
        <f>CHOOSE( CONTROL!$C$32, 19.4875, 19.4871) * CHOOSE(CONTROL!$C$15, $D$11, 100%, $F$11)</f>
        <v>19.487500000000001</v>
      </c>
      <c r="D647" s="8">
        <f>CHOOSE( CONTROL!$C$32, 19.4827, 19.4822) * CHOOSE( CONTROL!$C$15, $D$11, 100%, $F$11)</f>
        <v>19.482700000000001</v>
      </c>
      <c r="E647" s="12">
        <f>CHOOSE( CONTROL!$C$32, 19.4832, 19.4828) * CHOOSE( CONTROL!$C$15, $D$11, 100%, $F$11)</f>
        <v>19.4832</v>
      </c>
      <c r="F647" s="4">
        <f>CHOOSE( CONTROL!$C$32, 20.1865, 20.186) * CHOOSE(CONTROL!$C$15, $D$11, 100%, $F$11)</f>
        <v>20.186499999999999</v>
      </c>
      <c r="G647" s="8">
        <f>CHOOSE( CONTROL!$C$32, 19.2578, 19.2573) * CHOOSE( CONTROL!$C$15, $D$11, 100%, $F$11)</f>
        <v>19.2578</v>
      </c>
      <c r="H647" s="4">
        <f>CHOOSE( CONTROL!$C$32, 20.1967, 20.1963) * CHOOSE(CONTROL!$C$15, $D$11, 100%, $F$11)</f>
        <v>20.1967</v>
      </c>
      <c r="I647" s="8">
        <f>CHOOSE( CONTROL!$C$32, 18.9864, 18.986) * CHOOSE(CONTROL!$C$15, $D$11, 100%, $F$11)</f>
        <v>18.9864</v>
      </c>
      <c r="J647" s="4">
        <f>CHOOSE( CONTROL!$C$32, 18.8941, 18.8936) * CHOOSE(CONTROL!$C$15, $D$11, 100%, $F$11)</f>
        <v>18.894100000000002</v>
      </c>
      <c r="K647" s="4"/>
      <c r="L647" s="9">
        <v>30.7165</v>
      </c>
      <c r="M647" s="9">
        <v>12.063700000000001</v>
      </c>
      <c r="N647" s="9">
        <v>4.9444999999999997</v>
      </c>
      <c r="O647" s="9">
        <v>0.37409999999999999</v>
      </c>
      <c r="P647" s="9">
        <v>1.2927</v>
      </c>
      <c r="Q647" s="9">
        <v>19.688099999999999</v>
      </c>
      <c r="R647" s="9"/>
      <c r="S647" s="11"/>
    </row>
    <row r="648" spans="1:19" ht="15.75">
      <c r="A648" s="13">
        <v>60875</v>
      </c>
      <c r="B648" s="8">
        <f>CHOOSE( CONTROL!$C$32, 17.9768, 17.9763) * CHOOSE(CONTROL!$C$15, $D$11, 100%, $F$11)</f>
        <v>17.976800000000001</v>
      </c>
      <c r="C648" s="8">
        <f>CHOOSE( CONTROL!$C$32, 17.9847, 17.9843) * CHOOSE(CONTROL!$C$15, $D$11, 100%, $F$11)</f>
        <v>17.9847</v>
      </c>
      <c r="D648" s="8">
        <f>CHOOSE( CONTROL!$C$32, 17.98, 17.9796) * CHOOSE( CONTROL!$C$15, $D$11, 100%, $F$11)</f>
        <v>17.98</v>
      </c>
      <c r="E648" s="12">
        <f>CHOOSE( CONTROL!$C$32, 17.9805, 17.9801) * CHOOSE( CONTROL!$C$15, $D$11, 100%, $F$11)</f>
        <v>17.980499999999999</v>
      </c>
      <c r="F648" s="4">
        <f>CHOOSE( CONTROL!$C$32, 18.6837, 18.6832) * CHOOSE(CONTROL!$C$15, $D$11, 100%, $F$11)</f>
        <v>18.683700000000002</v>
      </c>
      <c r="G648" s="8">
        <f>CHOOSE( CONTROL!$C$32, 17.7727, 17.7723) * CHOOSE( CONTROL!$C$15, $D$11, 100%, $F$11)</f>
        <v>17.7727</v>
      </c>
      <c r="H648" s="4">
        <f>CHOOSE( CONTROL!$C$32, 18.7115, 18.7111) * CHOOSE(CONTROL!$C$15, $D$11, 100%, $F$11)</f>
        <v>18.711500000000001</v>
      </c>
      <c r="I648" s="8">
        <f>CHOOSE( CONTROL!$C$32, 17.5277, 17.5273) * CHOOSE(CONTROL!$C$15, $D$11, 100%, $F$11)</f>
        <v>17.527699999999999</v>
      </c>
      <c r="J648" s="4">
        <f>CHOOSE( CONTROL!$C$32, 17.4356, 17.4352) * CHOOSE(CONTROL!$C$15, $D$11, 100%, $F$11)</f>
        <v>17.435600000000001</v>
      </c>
      <c r="K648" s="4"/>
      <c r="L648" s="9">
        <v>30.7165</v>
      </c>
      <c r="M648" s="9">
        <v>12.063700000000001</v>
      </c>
      <c r="N648" s="9">
        <v>4.9444999999999997</v>
      </c>
      <c r="O648" s="9">
        <v>0.37409999999999999</v>
      </c>
      <c r="P648" s="9">
        <v>1.2927</v>
      </c>
      <c r="Q648" s="9">
        <v>19.688099999999999</v>
      </c>
      <c r="R648" s="9"/>
      <c r="S648" s="11"/>
    </row>
    <row r="649" spans="1:19" ht="15.75">
      <c r="A649" s="13">
        <v>60905</v>
      </c>
      <c r="B649" s="8">
        <f>CHOOSE( CONTROL!$C$32, 17.6004, 17.6) * CHOOSE(CONTROL!$C$15, $D$11, 100%, $F$11)</f>
        <v>17.6004</v>
      </c>
      <c r="C649" s="8">
        <f>CHOOSE( CONTROL!$C$32, 17.6084, 17.608) * CHOOSE(CONTROL!$C$15, $D$11, 100%, $F$11)</f>
        <v>17.6084</v>
      </c>
      <c r="D649" s="8">
        <f>CHOOSE( CONTROL!$C$32, 17.6035, 17.6031) * CHOOSE( CONTROL!$C$15, $D$11, 100%, $F$11)</f>
        <v>17.6035</v>
      </c>
      <c r="E649" s="12">
        <f>CHOOSE( CONTROL!$C$32, 17.6041, 17.6037) * CHOOSE( CONTROL!$C$15, $D$11, 100%, $F$11)</f>
        <v>17.604099999999999</v>
      </c>
      <c r="F649" s="4">
        <f>CHOOSE( CONTROL!$C$32, 18.3074, 18.3069) * CHOOSE(CONTROL!$C$15, $D$11, 100%, $F$11)</f>
        <v>18.307400000000001</v>
      </c>
      <c r="G649" s="8">
        <f>CHOOSE( CONTROL!$C$32, 17.4007, 17.4002) * CHOOSE( CONTROL!$C$15, $D$11, 100%, $F$11)</f>
        <v>17.400700000000001</v>
      </c>
      <c r="H649" s="4">
        <f>CHOOSE( CONTROL!$C$32, 18.3396, 18.3392) * CHOOSE(CONTROL!$C$15, $D$11, 100%, $F$11)</f>
        <v>18.339600000000001</v>
      </c>
      <c r="I649" s="8">
        <f>CHOOSE( CONTROL!$C$32, 17.1618, 17.1613) * CHOOSE(CONTROL!$C$15, $D$11, 100%, $F$11)</f>
        <v>17.161799999999999</v>
      </c>
      <c r="J649" s="4">
        <f>CHOOSE( CONTROL!$C$32, 17.0704, 17.07) * CHOOSE(CONTROL!$C$15, $D$11, 100%, $F$11)</f>
        <v>17.070399999999999</v>
      </c>
      <c r="K649" s="4"/>
      <c r="L649" s="9">
        <v>29.7257</v>
      </c>
      <c r="M649" s="9">
        <v>11.6745</v>
      </c>
      <c r="N649" s="9">
        <v>4.7850000000000001</v>
      </c>
      <c r="O649" s="9">
        <v>0.36199999999999999</v>
      </c>
      <c r="P649" s="9">
        <v>1.2509999999999999</v>
      </c>
      <c r="Q649" s="9">
        <v>19.053000000000001</v>
      </c>
      <c r="R649" s="9"/>
      <c r="S649" s="11"/>
    </row>
    <row r="650" spans="1:19" ht="15.75">
      <c r="A650" s="13">
        <v>60936</v>
      </c>
      <c r="B650" s="8">
        <f>CHOOSE( CONTROL!$C$32, 18.3799, 18.3796) * CHOOSE(CONTROL!$C$15, $D$11, 100%, $F$11)</f>
        <v>18.379899999999999</v>
      </c>
      <c r="C650" s="8">
        <f>CHOOSE( CONTROL!$C$32, 18.3852, 18.3849) * CHOOSE(CONTROL!$C$15, $D$11, 100%, $F$11)</f>
        <v>18.385200000000001</v>
      </c>
      <c r="D650" s="8">
        <f>CHOOSE( CONTROL!$C$32, 18.3854, 18.3852) * CHOOSE( CONTROL!$C$15, $D$11, 100%, $F$11)</f>
        <v>18.385400000000001</v>
      </c>
      <c r="E650" s="12">
        <f>CHOOSE( CONTROL!$C$32, 18.3848, 18.3845) * CHOOSE( CONTROL!$C$15, $D$11, 100%, $F$11)</f>
        <v>18.384799999999998</v>
      </c>
      <c r="F650" s="4">
        <f>CHOOSE( CONTROL!$C$32, 19.0886, 19.0883) * CHOOSE(CONTROL!$C$15, $D$11, 100%, $F$11)</f>
        <v>19.0886</v>
      </c>
      <c r="G650" s="8">
        <f>CHOOSE( CONTROL!$C$32, 18.1727, 18.1724) * CHOOSE( CONTROL!$C$15, $D$11, 100%, $F$11)</f>
        <v>18.172699999999999</v>
      </c>
      <c r="H650" s="4">
        <f>CHOOSE( CONTROL!$C$32, 19.1117, 19.1114) * CHOOSE(CONTROL!$C$15, $D$11, 100%, $F$11)</f>
        <v>19.111699999999999</v>
      </c>
      <c r="I650" s="8">
        <f>CHOOSE( CONTROL!$C$32, 17.921, 17.9207) * CHOOSE(CONTROL!$C$15, $D$11, 100%, $F$11)</f>
        <v>17.920999999999999</v>
      </c>
      <c r="J650" s="4">
        <f>CHOOSE( CONTROL!$C$32, 17.8285, 17.8283) * CHOOSE(CONTROL!$C$15, $D$11, 100%, $F$11)</f>
        <v>17.828499999999998</v>
      </c>
      <c r="K650" s="4"/>
      <c r="L650" s="9">
        <v>31.095300000000002</v>
      </c>
      <c r="M650" s="9">
        <v>12.063700000000001</v>
      </c>
      <c r="N650" s="9">
        <v>4.9444999999999997</v>
      </c>
      <c r="O650" s="9">
        <v>0.37409999999999999</v>
      </c>
      <c r="P650" s="9">
        <v>1.2927</v>
      </c>
      <c r="Q650" s="9">
        <v>19.688099999999999</v>
      </c>
      <c r="R650" s="9"/>
      <c r="S650" s="11"/>
    </row>
    <row r="651" spans="1:19" ht="15.75">
      <c r="A651" s="13">
        <v>60966</v>
      </c>
      <c r="B651" s="8">
        <f>CHOOSE( CONTROL!$C$32, 19.8217, 19.8214) * CHOOSE(CONTROL!$C$15, $D$11, 100%, $F$11)</f>
        <v>19.8217</v>
      </c>
      <c r="C651" s="8">
        <f>CHOOSE( CONTROL!$C$32, 19.8268, 19.8265) * CHOOSE(CONTROL!$C$15, $D$11, 100%, $F$11)</f>
        <v>19.826799999999999</v>
      </c>
      <c r="D651" s="8">
        <f>CHOOSE( CONTROL!$C$32, 19.7947, 19.7944) * CHOOSE( CONTROL!$C$15, $D$11, 100%, $F$11)</f>
        <v>19.794699999999999</v>
      </c>
      <c r="E651" s="12">
        <f>CHOOSE( CONTROL!$C$32, 19.8059, 19.8056) * CHOOSE( CONTROL!$C$15, $D$11, 100%, $F$11)</f>
        <v>19.805900000000001</v>
      </c>
      <c r="F651" s="4">
        <f>CHOOSE( CONTROL!$C$32, 20.487, 20.4867) * CHOOSE(CONTROL!$C$15, $D$11, 100%, $F$11)</f>
        <v>20.486999999999998</v>
      </c>
      <c r="G651" s="8">
        <f>CHOOSE( CONTROL!$C$32, 19.587, 19.5867) * CHOOSE( CONTROL!$C$15, $D$11, 100%, $F$11)</f>
        <v>19.587</v>
      </c>
      <c r="H651" s="4">
        <f>CHOOSE( CONTROL!$C$32, 20.4937, 20.4934) * CHOOSE(CONTROL!$C$15, $D$11, 100%, $F$11)</f>
        <v>20.4937</v>
      </c>
      <c r="I651" s="8">
        <f>CHOOSE( CONTROL!$C$32, 19.3722, 19.3719) * CHOOSE(CONTROL!$C$15, $D$11, 100%, $F$11)</f>
        <v>19.372199999999999</v>
      </c>
      <c r="J651" s="4">
        <f>CHOOSE( CONTROL!$C$32, 19.2282, 19.228) * CHOOSE(CONTROL!$C$15, $D$11, 100%, $F$11)</f>
        <v>19.228200000000001</v>
      </c>
      <c r="K651" s="4"/>
      <c r="L651" s="9">
        <v>28.360600000000002</v>
      </c>
      <c r="M651" s="9">
        <v>11.6745</v>
      </c>
      <c r="N651" s="9">
        <v>4.7850000000000001</v>
      </c>
      <c r="O651" s="9">
        <v>0.36199999999999999</v>
      </c>
      <c r="P651" s="9">
        <v>1.2509999999999999</v>
      </c>
      <c r="Q651" s="9">
        <v>19.053000000000001</v>
      </c>
      <c r="R651" s="9"/>
      <c r="S651" s="11"/>
    </row>
    <row r="652" spans="1:19" ht="15.75">
      <c r="A652" s="13">
        <v>60997</v>
      </c>
      <c r="B652" s="8">
        <f>CHOOSE( CONTROL!$C$32, 19.7857, 19.7854) * CHOOSE(CONTROL!$C$15, $D$11, 100%, $F$11)</f>
        <v>19.785699999999999</v>
      </c>
      <c r="C652" s="8">
        <f>CHOOSE( CONTROL!$C$32, 19.7908, 19.7905) * CHOOSE(CONTROL!$C$15, $D$11, 100%, $F$11)</f>
        <v>19.790800000000001</v>
      </c>
      <c r="D652" s="8">
        <f>CHOOSE( CONTROL!$C$32, 19.7605, 19.7602) * CHOOSE( CONTROL!$C$15, $D$11, 100%, $F$11)</f>
        <v>19.7605</v>
      </c>
      <c r="E652" s="12">
        <f>CHOOSE( CONTROL!$C$32, 19.771, 19.7707) * CHOOSE( CONTROL!$C$15, $D$11, 100%, $F$11)</f>
        <v>19.771000000000001</v>
      </c>
      <c r="F652" s="4">
        <f>CHOOSE( CONTROL!$C$32, 20.451, 20.4507) * CHOOSE(CONTROL!$C$15, $D$11, 100%, $F$11)</f>
        <v>20.451000000000001</v>
      </c>
      <c r="G652" s="8">
        <f>CHOOSE( CONTROL!$C$32, 19.5527, 19.5524) * CHOOSE( CONTROL!$C$15, $D$11, 100%, $F$11)</f>
        <v>19.552700000000002</v>
      </c>
      <c r="H652" s="4">
        <f>CHOOSE( CONTROL!$C$32, 20.4581, 20.4578) * CHOOSE(CONTROL!$C$15, $D$11, 100%, $F$11)</f>
        <v>20.458100000000002</v>
      </c>
      <c r="I652" s="8">
        <f>CHOOSE( CONTROL!$C$32, 19.3429, 19.3427) * CHOOSE(CONTROL!$C$15, $D$11, 100%, $F$11)</f>
        <v>19.3429</v>
      </c>
      <c r="J652" s="4">
        <f>CHOOSE( CONTROL!$C$32, 19.1932, 19.193) * CHOOSE(CONTROL!$C$15, $D$11, 100%, $F$11)</f>
        <v>19.193200000000001</v>
      </c>
      <c r="K652" s="4"/>
      <c r="L652" s="9">
        <v>29.306000000000001</v>
      </c>
      <c r="M652" s="9">
        <v>12.063700000000001</v>
      </c>
      <c r="N652" s="9">
        <v>4.9444999999999997</v>
      </c>
      <c r="O652" s="9">
        <v>0.37409999999999999</v>
      </c>
      <c r="P652" s="9">
        <v>1.2927</v>
      </c>
      <c r="Q652" s="9">
        <v>19.688099999999999</v>
      </c>
      <c r="R652" s="9"/>
      <c r="S652" s="11"/>
    </row>
    <row r="653" spans="1:19" ht="15.75">
      <c r="A653" s="13">
        <v>61028</v>
      </c>
      <c r="B653" s="8">
        <f>CHOOSE( CONTROL!$C$32, 20.369, 20.3687) * CHOOSE(CONTROL!$C$15, $D$11, 100%, $F$11)</f>
        <v>20.369</v>
      </c>
      <c r="C653" s="8">
        <f>CHOOSE( CONTROL!$C$32, 20.3741, 20.3738) * CHOOSE(CONTROL!$C$15, $D$11, 100%, $F$11)</f>
        <v>20.374099999999999</v>
      </c>
      <c r="D653" s="8">
        <f>CHOOSE( CONTROL!$C$32, 20.3717, 20.3715) * CHOOSE( CONTROL!$C$15, $D$11, 100%, $F$11)</f>
        <v>20.371700000000001</v>
      </c>
      <c r="E653" s="12">
        <f>CHOOSE( CONTROL!$C$32, 20.372, 20.3718) * CHOOSE( CONTROL!$C$15, $D$11, 100%, $F$11)</f>
        <v>20.372</v>
      </c>
      <c r="F653" s="4">
        <f>CHOOSE( CONTROL!$C$32, 21.0343, 21.034) * CHOOSE(CONTROL!$C$15, $D$11, 100%, $F$11)</f>
        <v>21.034300000000002</v>
      </c>
      <c r="G653" s="8">
        <f>CHOOSE( CONTROL!$C$32, 20.1453, 20.145) * CHOOSE( CONTROL!$C$15, $D$11, 100%, $F$11)</f>
        <v>20.145299999999999</v>
      </c>
      <c r="H653" s="4">
        <f>CHOOSE( CONTROL!$C$32, 21.0346, 21.0343) * CHOOSE(CONTROL!$C$15, $D$11, 100%, $F$11)</f>
        <v>21.034600000000001</v>
      </c>
      <c r="I653" s="8">
        <f>CHOOSE( CONTROL!$C$32, 19.8829, 19.8826) * CHOOSE(CONTROL!$C$15, $D$11, 100%, $F$11)</f>
        <v>19.882899999999999</v>
      </c>
      <c r="J653" s="4">
        <f>CHOOSE( CONTROL!$C$32, 19.7594, 19.7591) * CHOOSE(CONTROL!$C$15, $D$11, 100%, $F$11)</f>
        <v>19.759399999999999</v>
      </c>
      <c r="K653" s="4"/>
      <c r="L653" s="9">
        <v>29.306000000000001</v>
      </c>
      <c r="M653" s="9">
        <v>12.063700000000001</v>
      </c>
      <c r="N653" s="9">
        <v>4.9444999999999997</v>
      </c>
      <c r="O653" s="9">
        <v>0.37409999999999999</v>
      </c>
      <c r="P653" s="9">
        <v>1.2927</v>
      </c>
      <c r="Q653" s="9">
        <v>19.688099999999999</v>
      </c>
      <c r="R653" s="9"/>
      <c r="S653" s="11"/>
    </row>
    <row r="654" spans="1:19" ht="15.75">
      <c r="A654" s="13">
        <v>61056</v>
      </c>
      <c r="B654" s="8">
        <f>CHOOSE( CONTROL!$C$32, 19.0528, 19.0525) * CHOOSE(CONTROL!$C$15, $D$11, 100%, $F$11)</f>
        <v>19.052800000000001</v>
      </c>
      <c r="C654" s="8">
        <f>CHOOSE( CONTROL!$C$32, 19.0579, 19.0576) * CHOOSE(CONTROL!$C$15, $D$11, 100%, $F$11)</f>
        <v>19.0579</v>
      </c>
      <c r="D654" s="8">
        <f>CHOOSE( CONTROL!$C$32, 19.0378, 19.0376) * CHOOSE( CONTROL!$C$15, $D$11, 100%, $F$11)</f>
        <v>19.037800000000001</v>
      </c>
      <c r="E654" s="12">
        <f>CHOOSE( CONTROL!$C$32, 19.0446, 19.0444) * CHOOSE( CONTROL!$C$15, $D$11, 100%, $F$11)</f>
        <v>19.044599999999999</v>
      </c>
      <c r="F654" s="4">
        <f>CHOOSE( CONTROL!$C$32, 19.7181, 19.7178) * CHOOSE(CONTROL!$C$15, $D$11, 100%, $F$11)</f>
        <v>19.7181</v>
      </c>
      <c r="G654" s="8">
        <f>CHOOSE( CONTROL!$C$32, 18.8334, 18.8331) * CHOOSE( CONTROL!$C$15, $D$11, 100%, $F$11)</f>
        <v>18.833400000000001</v>
      </c>
      <c r="H654" s="4">
        <f>CHOOSE( CONTROL!$C$32, 19.7338, 19.7335) * CHOOSE(CONTROL!$C$15, $D$11, 100%, $F$11)</f>
        <v>19.733799999999999</v>
      </c>
      <c r="I654" s="8">
        <f>CHOOSE( CONTROL!$C$32, 18.6052, 18.605) * CHOOSE(CONTROL!$C$15, $D$11, 100%, $F$11)</f>
        <v>18.6052</v>
      </c>
      <c r="J654" s="4">
        <f>CHOOSE( CONTROL!$C$32, 18.482, 18.4817) * CHOOSE(CONTROL!$C$15, $D$11, 100%, $F$11)</f>
        <v>18.481999999999999</v>
      </c>
      <c r="K654" s="4"/>
      <c r="L654" s="9">
        <v>26.469899999999999</v>
      </c>
      <c r="M654" s="9">
        <v>10.8962</v>
      </c>
      <c r="N654" s="9">
        <v>4.4660000000000002</v>
      </c>
      <c r="O654" s="9">
        <v>0.33789999999999998</v>
      </c>
      <c r="P654" s="9">
        <v>1.1676</v>
      </c>
      <c r="Q654" s="9">
        <v>17.782800000000002</v>
      </c>
      <c r="R654" s="9"/>
      <c r="S654" s="11"/>
    </row>
    <row r="655" spans="1:19" ht="15.75">
      <c r="A655" s="13">
        <v>61087</v>
      </c>
      <c r="B655" s="8">
        <f>CHOOSE( CONTROL!$C$32, 18.6474, 18.6471) * CHOOSE(CONTROL!$C$15, $D$11, 100%, $F$11)</f>
        <v>18.647400000000001</v>
      </c>
      <c r="C655" s="8">
        <f>CHOOSE( CONTROL!$C$32, 18.6525, 18.6522) * CHOOSE(CONTROL!$C$15, $D$11, 100%, $F$11)</f>
        <v>18.6525</v>
      </c>
      <c r="D655" s="8">
        <f>CHOOSE( CONTROL!$C$32, 18.6225, 18.6222) * CHOOSE( CONTROL!$C$15, $D$11, 100%, $F$11)</f>
        <v>18.622499999999999</v>
      </c>
      <c r="E655" s="12">
        <f>CHOOSE( CONTROL!$C$32, 18.6329, 18.6326) * CHOOSE( CONTROL!$C$15, $D$11, 100%, $F$11)</f>
        <v>18.632899999999999</v>
      </c>
      <c r="F655" s="4">
        <f>CHOOSE( CONTROL!$C$32, 19.3127, 19.3124) * CHOOSE(CONTROL!$C$15, $D$11, 100%, $F$11)</f>
        <v>19.3127</v>
      </c>
      <c r="G655" s="8">
        <f>CHOOSE( CONTROL!$C$32, 18.4195, 18.4192) * CHOOSE( CONTROL!$C$15, $D$11, 100%, $F$11)</f>
        <v>18.419499999999999</v>
      </c>
      <c r="H655" s="4">
        <f>CHOOSE( CONTROL!$C$32, 19.3332, 19.3329) * CHOOSE(CONTROL!$C$15, $D$11, 100%, $F$11)</f>
        <v>19.333200000000001</v>
      </c>
      <c r="I655" s="8">
        <f>CHOOSE( CONTROL!$C$32, 18.1764, 18.1762) * CHOOSE(CONTROL!$C$15, $D$11, 100%, $F$11)</f>
        <v>18.176400000000001</v>
      </c>
      <c r="J655" s="4">
        <f>CHOOSE( CONTROL!$C$32, 18.0886, 18.0883) * CHOOSE(CONTROL!$C$15, $D$11, 100%, $F$11)</f>
        <v>18.0886</v>
      </c>
      <c r="K655" s="4"/>
      <c r="L655" s="9">
        <v>29.306000000000001</v>
      </c>
      <c r="M655" s="9">
        <v>12.063700000000001</v>
      </c>
      <c r="N655" s="9">
        <v>4.9444999999999997</v>
      </c>
      <c r="O655" s="9">
        <v>0.37409999999999999</v>
      </c>
      <c r="P655" s="9">
        <v>1.2927</v>
      </c>
      <c r="Q655" s="9">
        <v>19.688099999999999</v>
      </c>
      <c r="R655" s="9"/>
      <c r="S655" s="11"/>
    </row>
    <row r="656" spans="1:19" ht="15.75">
      <c r="A656" s="13">
        <v>61117</v>
      </c>
      <c r="B656" s="8">
        <f>CHOOSE( CONTROL!$C$32, 18.9314, 18.9312) * CHOOSE(CONTROL!$C$15, $D$11, 100%, $F$11)</f>
        <v>18.9314</v>
      </c>
      <c r="C656" s="8">
        <f>CHOOSE( CONTROL!$C$32, 18.936, 18.9357) * CHOOSE(CONTROL!$C$15, $D$11, 100%, $F$11)</f>
        <v>18.936</v>
      </c>
      <c r="D656" s="8">
        <f>CHOOSE( CONTROL!$C$32, 18.9355, 18.9352) * CHOOSE( CONTROL!$C$15, $D$11, 100%, $F$11)</f>
        <v>18.935500000000001</v>
      </c>
      <c r="E656" s="12">
        <f>CHOOSE( CONTROL!$C$32, 18.9351, 18.9349) * CHOOSE( CONTROL!$C$15, $D$11, 100%, $F$11)</f>
        <v>18.935099999999998</v>
      </c>
      <c r="F656" s="4">
        <f>CHOOSE( CONTROL!$C$32, 19.6398, 19.6395) * CHOOSE(CONTROL!$C$15, $D$11, 100%, $F$11)</f>
        <v>19.639800000000001</v>
      </c>
      <c r="G656" s="8">
        <f>CHOOSE( CONTROL!$C$32, 18.7164, 18.7162) * CHOOSE( CONTROL!$C$15, $D$11, 100%, $F$11)</f>
        <v>18.7164</v>
      </c>
      <c r="H656" s="4">
        <f>CHOOSE( CONTROL!$C$32, 19.6564, 19.6561) * CHOOSE(CONTROL!$C$15, $D$11, 100%, $F$11)</f>
        <v>19.656400000000001</v>
      </c>
      <c r="I656" s="8">
        <f>CHOOSE( CONTROL!$C$32, 18.452, 18.4518) * CHOOSE(CONTROL!$C$15, $D$11, 100%, $F$11)</f>
        <v>18.452000000000002</v>
      </c>
      <c r="J656" s="4">
        <f>CHOOSE( CONTROL!$C$32, 18.3635, 18.3632) * CHOOSE(CONTROL!$C$15, $D$11, 100%, $F$11)</f>
        <v>18.363499999999998</v>
      </c>
      <c r="K656" s="4"/>
      <c r="L656" s="9">
        <v>30.092199999999998</v>
      </c>
      <c r="M656" s="9">
        <v>11.6745</v>
      </c>
      <c r="N656" s="9">
        <v>4.7850000000000001</v>
      </c>
      <c r="O656" s="9">
        <v>0.36199999999999999</v>
      </c>
      <c r="P656" s="9">
        <v>1.2509999999999999</v>
      </c>
      <c r="Q656" s="9">
        <v>19.053000000000001</v>
      </c>
      <c r="R656" s="9"/>
      <c r="S656" s="11"/>
    </row>
    <row r="657" spans="1:19" ht="15.75">
      <c r="A657" s="13">
        <v>61148</v>
      </c>
      <c r="B657" s="8">
        <f>CHOOSE( CONTROL!$C$32, 19.4372, 19.4367) * CHOOSE(CONTROL!$C$15, $D$11, 100%, $F$11)</f>
        <v>19.437200000000001</v>
      </c>
      <c r="C657" s="8">
        <f>CHOOSE( CONTROL!$C$32, 19.4451, 19.4447) * CHOOSE(CONTROL!$C$15, $D$11, 100%, $F$11)</f>
        <v>19.4451</v>
      </c>
      <c r="D657" s="8">
        <f>CHOOSE( CONTROL!$C$32, 19.4394, 19.439) * CHOOSE( CONTROL!$C$15, $D$11, 100%, $F$11)</f>
        <v>19.439399999999999</v>
      </c>
      <c r="E657" s="12">
        <f>CHOOSE( CONTROL!$C$32, 19.4403, 19.4398) * CHOOSE( CONTROL!$C$15, $D$11, 100%, $F$11)</f>
        <v>19.440300000000001</v>
      </c>
      <c r="F657" s="4">
        <f>CHOOSE( CONTROL!$C$32, 20.1441, 20.1437) * CHOOSE(CONTROL!$C$15, $D$11, 100%, $F$11)</f>
        <v>20.144100000000002</v>
      </c>
      <c r="G657" s="8">
        <f>CHOOSE( CONTROL!$C$32, 19.2152, 19.2148) * CHOOSE( CONTROL!$C$15, $D$11, 100%, $F$11)</f>
        <v>19.215199999999999</v>
      </c>
      <c r="H657" s="4">
        <f>CHOOSE( CONTROL!$C$32, 20.1548, 20.1544) * CHOOSE(CONTROL!$C$15, $D$11, 100%, $F$11)</f>
        <v>20.154800000000002</v>
      </c>
      <c r="I657" s="8">
        <f>CHOOSE( CONTROL!$C$32, 18.9423, 18.9419) * CHOOSE(CONTROL!$C$15, $D$11, 100%, $F$11)</f>
        <v>18.942299999999999</v>
      </c>
      <c r="J657" s="4">
        <f>CHOOSE( CONTROL!$C$32, 18.8529, 18.8525) * CHOOSE(CONTROL!$C$15, $D$11, 100%, $F$11)</f>
        <v>18.852900000000002</v>
      </c>
      <c r="K657" s="4"/>
      <c r="L657" s="9">
        <v>30.7165</v>
      </c>
      <c r="M657" s="9">
        <v>12.063700000000001</v>
      </c>
      <c r="N657" s="9">
        <v>4.9444999999999997</v>
      </c>
      <c r="O657" s="9">
        <v>0.37409999999999999</v>
      </c>
      <c r="P657" s="9">
        <v>1.2927</v>
      </c>
      <c r="Q657" s="9">
        <v>19.688099999999999</v>
      </c>
      <c r="R657" s="9"/>
      <c r="S657" s="11"/>
    </row>
    <row r="658" spans="1:19" ht="15.75">
      <c r="A658" s="13">
        <v>61178</v>
      </c>
      <c r="B658" s="8">
        <f>CHOOSE( CONTROL!$C$32, 19.1248, 19.1244) * CHOOSE(CONTROL!$C$15, $D$11, 100%, $F$11)</f>
        <v>19.1248</v>
      </c>
      <c r="C658" s="8">
        <f>CHOOSE( CONTROL!$C$32, 19.1328, 19.1324) * CHOOSE(CONTROL!$C$15, $D$11, 100%, $F$11)</f>
        <v>19.1328</v>
      </c>
      <c r="D658" s="8">
        <f>CHOOSE( CONTROL!$C$32, 19.1275, 19.1271) * CHOOSE( CONTROL!$C$15, $D$11, 100%, $F$11)</f>
        <v>19.127500000000001</v>
      </c>
      <c r="E658" s="12">
        <f>CHOOSE( CONTROL!$C$32, 19.1282, 19.1278) * CHOOSE( CONTROL!$C$15, $D$11, 100%, $F$11)</f>
        <v>19.1282</v>
      </c>
      <c r="F658" s="4">
        <f>CHOOSE( CONTROL!$C$32, 19.8318, 19.8313) * CHOOSE(CONTROL!$C$15, $D$11, 100%, $F$11)</f>
        <v>19.831800000000001</v>
      </c>
      <c r="G658" s="8">
        <f>CHOOSE( CONTROL!$C$32, 18.9069, 18.9064) * CHOOSE( CONTROL!$C$15, $D$11, 100%, $F$11)</f>
        <v>18.9069</v>
      </c>
      <c r="H658" s="4">
        <f>CHOOSE( CONTROL!$C$32, 19.8462, 19.8457) * CHOOSE(CONTROL!$C$15, $D$11, 100%, $F$11)</f>
        <v>19.8462</v>
      </c>
      <c r="I658" s="8">
        <f>CHOOSE( CONTROL!$C$32, 18.6405, 18.64) * CHOOSE(CONTROL!$C$15, $D$11, 100%, $F$11)</f>
        <v>18.640499999999999</v>
      </c>
      <c r="J658" s="4">
        <f>CHOOSE( CONTROL!$C$32, 18.5498, 18.5494) * CHOOSE(CONTROL!$C$15, $D$11, 100%, $F$11)</f>
        <v>18.549800000000001</v>
      </c>
      <c r="K658" s="4"/>
      <c r="L658" s="9">
        <v>29.7257</v>
      </c>
      <c r="M658" s="9">
        <v>11.6745</v>
      </c>
      <c r="N658" s="9">
        <v>4.7850000000000001</v>
      </c>
      <c r="O658" s="9">
        <v>0.36199999999999999</v>
      </c>
      <c r="P658" s="9">
        <v>1.2509999999999999</v>
      </c>
      <c r="Q658" s="9">
        <v>19.053000000000001</v>
      </c>
      <c r="R658" s="9"/>
      <c r="S658" s="11"/>
    </row>
    <row r="659" spans="1:19" ht="15.75">
      <c r="A659" s="13">
        <v>61209</v>
      </c>
      <c r="B659" s="8">
        <f>CHOOSE( CONTROL!$C$32, 19.9473, 19.9468) * CHOOSE(CONTROL!$C$15, $D$11, 100%, $F$11)</f>
        <v>19.947299999999998</v>
      </c>
      <c r="C659" s="8">
        <f>CHOOSE( CONTROL!$C$32, 19.9553, 19.9548) * CHOOSE(CONTROL!$C$15, $D$11, 100%, $F$11)</f>
        <v>19.955300000000001</v>
      </c>
      <c r="D659" s="8">
        <f>CHOOSE( CONTROL!$C$32, 19.9504, 19.95) * CHOOSE( CONTROL!$C$15, $D$11, 100%, $F$11)</f>
        <v>19.950399999999998</v>
      </c>
      <c r="E659" s="12">
        <f>CHOOSE( CONTROL!$C$32, 19.951, 19.9505) * CHOOSE( CONTROL!$C$15, $D$11, 100%, $F$11)</f>
        <v>19.951000000000001</v>
      </c>
      <c r="F659" s="4">
        <f>CHOOSE( CONTROL!$C$32, 20.6542, 20.6538) * CHOOSE(CONTROL!$C$15, $D$11, 100%, $F$11)</f>
        <v>20.654199999999999</v>
      </c>
      <c r="G659" s="8">
        <f>CHOOSE( CONTROL!$C$32, 19.7201, 19.7196) * CHOOSE( CONTROL!$C$15, $D$11, 100%, $F$11)</f>
        <v>19.720099999999999</v>
      </c>
      <c r="H659" s="4">
        <f>CHOOSE( CONTROL!$C$32, 20.659, 20.6586) * CHOOSE(CONTROL!$C$15, $D$11, 100%, $F$11)</f>
        <v>20.658999999999999</v>
      </c>
      <c r="I659" s="8">
        <f>CHOOSE( CONTROL!$C$32, 19.4406, 19.4402) * CHOOSE(CONTROL!$C$15, $D$11, 100%, $F$11)</f>
        <v>19.4406</v>
      </c>
      <c r="J659" s="4">
        <f>CHOOSE( CONTROL!$C$32, 19.348, 19.3476) * CHOOSE(CONTROL!$C$15, $D$11, 100%, $F$11)</f>
        <v>19.347999999999999</v>
      </c>
      <c r="K659" s="4"/>
      <c r="L659" s="9">
        <v>30.7165</v>
      </c>
      <c r="M659" s="9">
        <v>12.063700000000001</v>
      </c>
      <c r="N659" s="9">
        <v>4.9444999999999997</v>
      </c>
      <c r="O659" s="9">
        <v>0.37409999999999999</v>
      </c>
      <c r="P659" s="9">
        <v>1.2927</v>
      </c>
      <c r="Q659" s="9">
        <v>19.688099999999999</v>
      </c>
      <c r="R659" s="9"/>
      <c r="S659" s="11"/>
    </row>
    <row r="660" spans="1:19" ht="15.75">
      <c r="A660" s="13">
        <v>61240</v>
      </c>
      <c r="B660" s="8">
        <f>CHOOSE( CONTROL!$C$32, 18.4084, 18.408) * CHOOSE(CONTROL!$C$15, $D$11, 100%, $F$11)</f>
        <v>18.4084</v>
      </c>
      <c r="C660" s="8">
        <f>CHOOSE( CONTROL!$C$32, 18.4164, 18.4159) * CHOOSE(CONTROL!$C$15, $D$11, 100%, $F$11)</f>
        <v>18.416399999999999</v>
      </c>
      <c r="D660" s="8">
        <f>CHOOSE( CONTROL!$C$32, 18.4117, 18.4112) * CHOOSE( CONTROL!$C$15, $D$11, 100%, $F$11)</f>
        <v>18.4117</v>
      </c>
      <c r="E660" s="12">
        <f>CHOOSE( CONTROL!$C$32, 18.4122, 18.4117) * CHOOSE( CONTROL!$C$15, $D$11, 100%, $F$11)</f>
        <v>18.412199999999999</v>
      </c>
      <c r="F660" s="4">
        <f>CHOOSE( CONTROL!$C$32, 19.1154, 19.1149) * CHOOSE(CONTROL!$C$15, $D$11, 100%, $F$11)</f>
        <v>19.115400000000001</v>
      </c>
      <c r="G660" s="8">
        <f>CHOOSE( CONTROL!$C$32, 18.1993, 18.1989) * CHOOSE( CONTROL!$C$15, $D$11, 100%, $F$11)</f>
        <v>18.199300000000001</v>
      </c>
      <c r="H660" s="4">
        <f>CHOOSE( CONTROL!$C$32, 19.1381, 19.1377) * CHOOSE(CONTROL!$C$15, $D$11, 100%, $F$11)</f>
        <v>19.138100000000001</v>
      </c>
      <c r="I660" s="8">
        <f>CHOOSE( CONTROL!$C$32, 17.9468, 17.9464) * CHOOSE(CONTROL!$C$15, $D$11, 100%, $F$11)</f>
        <v>17.9468</v>
      </c>
      <c r="J660" s="4">
        <f>CHOOSE( CONTROL!$C$32, 17.8545, 17.8541) * CHOOSE(CONTROL!$C$15, $D$11, 100%, $F$11)</f>
        <v>17.854500000000002</v>
      </c>
      <c r="K660" s="4"/>
      <c r="L660" s="9">
        <v>30.7165</v>
      </c>
      <c r="M660" s="9">
        <v>12.063700000000001</v>
      </c>
      <c r="N660" s="9">
        <v>4.9444999999999997</v>
      </c>
      <c r="O660" s="9">
        <v>0.37409999999999999</v>
      </c>
      <c r="P660" s="9">
        <v>1.2927</v>
      </c>
      <c r="Q660" s="9">
        <v>19.688099999999999</v>
      </c>
      <c r="R660" s="9"/>
      <c r="S660" s="11"/>
    </row>
    <row r="661" spans="1:19" ht="15.75">
      <c r="A661" s="13">
        <v>61270</v>
      </c>
      <c r="B661" s="8">
        <f>CHOOSE( CONTROL!$C$32, 18.0231, 18.0226) * CHOOSE(CONTROL!$C$15, $D$11, 100%, $F$11)</f>
        <v>18.023099999999999</v>
      </c>
      <c r="C661" s="8">
        <f>CHOOSE( CONTROL!$C$32, 18.031, 18.0306) * CHOOSE(CONTROL!$C$15, $D$11, 100%, $F$11)</f>
        <v>18.030999999999999</v>
      </c>
      <c r="D661" s="8">
        <f>CHOOSE( CONTROL!$C$32, 18.0262, 18.0257) * CHOOSE( CONTROL!$C$15, $D$11, 100%, $F$11)</f>
        <v>18.026199999999999</v>
      </c>
      <c r="E661" s="12">
        <f>CHOOSE( CONTROL!$C$32, 18.0267, 18.0263) * CHOOSE( CONTROL!$C$15, $D$11, 100%, $F$11)</f>
        <v>18.026700000000002</v>
      </c>
      <c r="F661" s="4">
        <f>CHOOSE( CONTROL!$C$32, 18.73, 18.7295) * CHOOSE(CONTROL!$C$15, $D$11, 100%, $F$11)</f>
        <v>18.73</v>
      </c>
      <c r="G661" s="8">
        <f>CHOOSE( CONTROL!$C$32, 17.8184, 17.8179) * CHOOSE( CONTROL!$C$15, $D$11, 100%, $F$11)</f>
        <v>17.8184</v>
      </c>
      <c r="H661" s="4">
        <f>CHOOSE( CONTROL!$C$32, 18.7573, 18.7568) * CHOOSE(CONTROL!$C$15, $D$11, 100%, $F$11)</f>
        <v>18.757300000000001</v>
      </c>
      <c r="I661" s="8">
        <f>CHOOSE( CONTROL!$C$32, 17.5721, 17.5717) * CHOOSE(CONTROL!$C$15, $D$11, 100%, $F$11)</f>
        <v>17.572099999999999</v>
      </c>
      <c r="J661" s="4">
        <f>CHOOSE( CONTROL!$C$32, 17.4806, 17.4801) * CHOOSE(CONTROL!$C$15, $D$11, 100%, $F$11)</f>
        <v>17.480599999999999</v>
      </c>
      <c r="K661" s="4"/>
      <c r="L661" s="9">
        <v>29.7257</v>
      </c>
      <c r="M661" s="9">
        <v>11.6745</v>
      </c>
      <c r="N661" s="9">
        <v>4.7850000000000001</v>
      </c>
      <c r="O661" s="9">
        <v>0.36199999999999999</v>
      </c>
      <c r="P661" s="9">
        <v>1.2509999999999999</v>
      </c>
      <c r="Q661" s="9">
        <v>19.053000000000001</v>
      </c>
      <c r="R661" s="9"/>
      <c r="S661" s="11"/>
    </row>
    <row r="662" spans="1:19" ht="15.75">
      <c r="A662" s="13">
        <v>61301</v>
      </c>
      <c r="B662" s="8">
        <f>CHOOSE( CONTROL!$C$32, 18.8213, 18.821) * CHOOSE(CONTROL!$C$15, $D$11, 100%, $F$11)</f>
        <v>18.821300000000001</v>
      </c>
      <c r="C662" s="8">
        <f>CHOOSE( CONTROL!$C$32, 18.8266, 18.8263) * CHOOSE(CONTROL!$C$15, $D$11, 100%, $F$11)</f>
        <v>18.826599999999999</v>
      </c>
      <c r="D662" s="8">
        <f>CHOOSE( CONTROL!$C$32, 18.8268, 18.8265) * CHOOSE( CONTROL!$C$15, $D$11, 100%, $F$11)</f>
        <v>18.826799999999999</v>
      </c>
      <c r="E662" s="12">
        <f>CHOOSE( CONTROL!$C$32, 18.8262, 18.8259) * CHOOSE( CONTROL!$C$15, $D$11, 100%, $F$11)</f>
        <v>18.8262</v>
      </c>
      <c r="F662" s="4">
        <f>CHOOSE( CONTROL!$C$32, 19.5299, 19.5297) * CHOOSE(CONTROL!$C$15, $D$11, 100%, $F$11)</f>
        <v>19.529900000000001</v>
      </c>
      <c r="G662" s="8">
        <f>CHOOSE( CONTROL!$C$32, 18.6089, 18.6086) * CHOOSE( CONTROL!$C$15, $D$11, 100%, $F$11)</f>
        <v>18.608899999999998</v>
      </c>
      <c r="H662" s="4">
        <f>CHOOSE( CONTROL!$C$32, 19.5479, 19.5476) * CHOOSE(CONTROL!$C$15, $D$11, 100%, $F$11)</f>
        <v>19.547899999999998</v>
      </c>
      <c r="I662" s="8">
        <f>CHOOSE( CONTROL!$C$32, 18.3496, 18.3493) * CHOOSE(CONTROL!$C$15, $D$11, 100%, $F$11)</f>
        <v>18.349599999999999</v>
      </c>
      <c r="J662" s="4">
        <f>CHOOSE( CONTROL!$C$32, 18.2569, 18.2566) * CHOOSE(CONTROL!$C$15, $D$11, 100%, $F$11)</f>
        <v>18.256900000000002</v>
      </c>
      <c r="K662" s="4"/>
      <c r="L662" s="9">
        <v>31.095300000000002</v>
      </c>
      <c r="M662" s="9">
        <v>12.063700000000001</v>
      </c>
      <c r="N662" s="9">
        <v>4.9444999999999997</v>
      </c>
      <c r="O662" s="9">
        <v>0.37409999999999999</v>
      </c>
      <c r="P662" s="9">
        <v>1.2927</v>
      </c>
      <c r="Q662" s="9">
        <v>19.688099999999999</v>
      </c>
      <c r="R662" s="9"/>
      <c r="S662" s="11"/>
    </row>
    <row r="663" spans="1:19" ht="15.75">
      <c r="A663" s="13">
        <v>61331</v>
      </c>
      <c r="B663" s="8">
        <f>CHOOSE( CONTROL!$C$32, 20.2978, 20.2975) * CHOOSE(CONTROL!$C$15, $D$11, 100%, $F$11)</f>
        <v>20.297799999999999</v>
      </c>
      <c r="C663" s="8">
        <f>CHOOSE( CONTROL!$C$32, 20.3028, 20.3026) * CHOOSE(CONTROL!$C$15, $D$11, 100%, $F$11)</f>
        <v>20.302800000000001</v>
      </c>
      <c r="D663" s="8">
        <f>CHOOSE( CONTROL!$C$32, 20.2707, 20.2704) * CHOOSE( CONTROL!$C$15, $D$11, 100%, $F$11)</f>
        <v>20.270700000000001</v>
      </c>
      <c r="E663" s="12">
        <f>CHOOSE( CONTROL!$C$32, 20.2819, 20.2816) * CHOOSE( CONTROL!$C$15, $D$11, 100%, $F$11)</f>
        <v>20.2819</v>
      </c>
      <c r="F663" s="4">
        <f>CHOOSE( CONTROL!$C$32, 20.963, 20.9628) * CHOOSE(CONTROL!$C$15, $D$11, 100%, $F$11)</f>
        <v>20.963000000000001</v>
      </c>
      <c r="G663" s="8">
        <f>CHOOSE( CONTROL!$C$32, 20.0574, 20.0571) * CHOOSE( CONTROL!$C$15, $D$11, 100%, $F$11)</f>
        <v>20.057400000000001</v>
      </c>
      <c r="H663" s="4">
        <f>CHOOSE( CONTROL!$C$32, 20.9642, 20.9639) * CHOOSE(CONTROL!$C$15, $D$11, 100%, $F$11)</f>
        <v>20.964200000000002</v>
      </c>
      <c r="I663" s="8">
        <f>CHOOSE( CONTROL!$C$32, 19.8344, 19.8342) * CHOOSE(CONTROL!$C$15, $D$11, 100%, $F$11)</f>
        <v>19.834399999999999</v>
      </c>
      <c r="J663" s="4">
        <f>CHOOSE( CONTROL!$C$32, 19.6902, 19.69) * CHOOSE(CONTROL!$C$15, $D$11, 100%, $F$11)</f>
        <v>19.690200000000001</v>
      </c>
      <c r="K663" s="4"/>
      <c r="L663" s="9">
        <v>28.360600000000002</v>
      </c>
      <c r="M663" s="9">
        <v>11.6745</v>
      </c>
      <c r="N663" s="9">
        <v>4.7850000000000001</v>
      </c>
      <c r="O663" s="9">
        <v>0.36199999999999999</v>
      </c>
      <c r="P663" s="9">
        <v>1.2509999999999999</v>
      </c>
      <c r="Q663" s="9">
        <v>19.053000000000001</v>
      </c>
      <c r="R663" s="9"/>
      <c r="S663" s="11"/>
    </row>
    <row r="664" spans="1:19" ht="15.75">
      <c r="A664" s="13">
        <v>61362</v>
      </c>
      <c r="B664" s="8">
        <f>CHOOSE( CONTROL!$C$32, 20.2609, 20.2606) * CHOOSE(CONTROL!$C$15, $D$11, 100%, $F$11)</f>
        <v>20.260899999999999</v>
      </c>
      <c r="C664" s="8">
        <f>CHOOSE( CONTROL!$C$32, 20.2659, 20.2657) * CHOOSE(CONTROL!$C$15, $D$11, 100%, $F$11)</f>
        <v>20.265899999999998</v>
      </c>
      <c r="D664" s="8">
        <f>CHOOSE( CONTROL!$C$32, 20.2356, 20.2354) * CHOOSE( CONTROL!$C$15, $D$11, 100%, $F$11)</f>
        <v>20.235600000000002</v>
      </c>
      <c r="E664" s="12">
        <f>CHOOSE( CONTROL!$C$32, 20.2461, 20.2459) * CHOOSE( CONTROL!$C$15, $D$11, 100%, $F$11)</f>
        <v>20.246099999999998</v>
      </c>
      <c r="F664" s="4">
        <f>CHOOSE( CONTROL!$C$32, 20.9261, 20.9259) * CHOOSE(CONTROL!$C$15, $D$11, 100%, $F$11)</f>
        <v>20.926100000000002</v>
      </c>
      <c r="G664" s="8">
        <f>CHOOSE( CONTROL!$C$32, 20.0223, 20.022) * CHOOSE( CONTROL!$C$15, $D$11, 100%, $F$11)</f>
        <v>20.022300000000001</v>
      </c>
      <c r="H664" s="4">
        <f>CHOOSE( CONTROL!$C$32, 20.9277, 20.9274) * CHOOSE(CONTROL!$C$15, $D$11, 100%, $F$11)</f>
        <v>20.927700000000002</v>
      </c>
      <c r="I664" s="8">
        <f>CHOOSE( CONTROL!$C$32, 19.8043, 19.8041) * CHOOSE(CONTROL!$C$15, $D$11, 100%, $F$11)</f>
        <v>19.804300000000001</v>
      </c>
      <c r="J664" s="4">
        <f>CHOOSE( CONTROL!$C$32, 19.6544, 19.6541) * CHOOSE(CONTROL!$C$15, $D$11, 100%, $F$11)</f>
        <v>19.654399999999999</v>
      </c>
      <c r="K664" s="4"/>
      <c r="L664" s="9">
        <v>29.306000000000001</v>
      </c>
      <c r="M664" s="9">
        <v>12.063700000000001</v>
      </c>
      <c r="N664" s="9">
        <v>4.9444999999999997</v>
      </c>
      <c r="O664" s="9">
        <v>0.37409999999999999</v>
      </c>
      <c r="P664" s="9">
        <v>1.2927</v>
      </c>
      <c r="Q664" s="9">
        <v>19.688099999999999</v>
      </c>
      <c r="R664" s="9"/>
      <c r="S664" s="11"/>
    </row>
    <row r="665" spans="1:19" ht="15.75">
      <c r="A665" s="13">
        <v>61393</v>
      </c>
      <c r="B665" s="8">
        <f>CHOOSE( CONTROL!$C$32, 20.8582, 20.8579) * CHOOSE(CONTROL!$C$15, $D$11, 100%, $F$11)</f>
        <v>20.8582</v>
      </c>
      <c r="C665" s="8">
        <f>CHOOSE( CONTROL!$C$32, 20.8633, 20.863) * CHOOSE(CONTROL!$C$15, $D$11, 100%, $F$11)</f>
        <v>20.863299999999999</v>
      </c>
      <c r="D665" s="8">
        <f>CHOOSE( CONTROL!$C$32, 20.8609, 20.8606) * CHOOSE( CONTROL!$C$15, $D$11, 100%, $F$11)</f>
        <v>20.860900000000001</v>
      </c>
      <c r="E665" s="12">
        <f>CHOOSE( CONTROL!$C$32, 20.8612, 20.8609) * CHOOSE( CONTROL!$C$15, $D$11, 100%, $F$11)</f>
        <v>20.8612</v>
      </c>
      <c r="F665" s="4">
        <f>CHOOSE( CONTROL!$C$32, 21.5235, 21.5232) * CHOOSE(CONTROL!$C$15, $D$11, 100%, $F$11)</f>
        <v>21.523499999999999</v>
      </c>
      <c r="G665" s="8">
        <f>CHOOSE( CONTROL!$C$32, 20.6288, 20.6285) * CHOOSE( CONTROL!$C$15, $D$11, 100%, $F$11)</f>
        <v>20.628799999999998</v>
      </c>
      <c r="H665" s="4">
        <f>CHOOSE( CONTROL!$C$32, 21.5181, 21.5178) * CHOOSE(CONTROL!$C$15, $D$11, 100%, $F$11)</f>
        <v>21.5181</v>
      </c>
      <c r="I665" s="8">
        <f>CHOOSE( CONTROL!$C$32, 20.3579, 20.3576) * CHOOSE(CONTROL!$C$15, $D$11, 100%, $F$11)</f>
        <v>20.357900000000001</v>
      </c>
      <c r="J665" s="4">
        <f>CHOOSE( CONTROL!$C$32, 20.2341, 20.2339) * CHOOSE(CONTROL!$C$15, $D$11, 100%, $F$11)</f>
        <v>20.234100000000002</v>
      </c>
      <c r="K665" s="4"/>
      <c r="L665" s="9">
        <v>29.306000000000001</v>
      </c>
      <c r="M665" s="9">
        <v>12.063700000000001</v>
      </c>
      <c r="N665" s="9">
        <v>4.9444999999999997</v>
      </c>
      <c r="O665" s="9">
        <v>0.37409999999999999</v>
      </c>
      <c r="P665" s="9">
        <v>1.2927</v>
      </c>
      <c r="Q665" s="9">
        <v>19.688099999999999</v>
      </c>
      <c r="R665" s="9"/>
      <c r="S665" s="11"/>
    </row>
    <row r="666" spans="1:19" ht="15.75">
      <c r="A666" s="13">
        <v>61422</v>
      </c>
      <c r="B666" s="8">
        <f>CHOOSE( CONTROL!$C$32, 19.5104, 19.5101) * CHOOSE(CONTROL!$C$15, $D$11, 100%, $F$11)</f>
        <v>19.510400000000001</v>
      </c>
      <c r="C666" s="8">
        <f>CHOOSE( CONTROL!$C$32, 19.5154, 19.5152) * CHOOSE(CONTROL!$C$15, $D$11, 100%, $F$11)</f>
        <v>19.5154</v>
      </c>
      <c r="D666" s="8">
        <f>CHOOSE( CONTROL!$C$32, 19.4954, 19.4951) * CHOOSE( CONTROL!$C$15, $D$11, 100%, $F$11)</f>
        <v>19.4954</v>
      </c>
      <c r="E666" s="12">
        <f>CHOOSE( CONTROL!$C$32, 19.5022, 19.5019) * CHOOSE( CONTROL!$C$15, $D$11, 100%, $F$11)</f>
        <v>19.502199999999998</v>
      </c>
      <c r="F666" s="4">
        <f>CHOOSE( CONTROL!$C$32, 20.1756, 20.1754) * CHOOSE(CONTROL!$C$15, $D$11, 100%, $F$11)</f>
        <v>20.175599999999999</v>
      </c>
      <c r="G666" s="8">
        <f>CHOOSE( CONTROL!$C$32, 19.2856, 19.2853) * CHOOSE( CONTROL!$C$15, $D$11, 100%, $F$11)</f>
        <v>19.285599999999999</v>
      </c>
      <c r="H666" s="4">
        <f>CHOOSE( CONTROL!$C$32, 20.186, 20.1857) * CHOOSE(CONTROL!$C$15, $D$11, 100%, $F$11)</f>
        <v>20.186</v>
      </c>
      <c r="I666" s="8">
        <f>CHOOSE( CONTROL!$C$32, 19.0495, 19.0493) * CHOOSE(CONTROL!$C$15, $D$11, 100%, $F$11)</f>
        <v>19.049499999999998</v>
      </c>
      <c r="J666" s="4">
        <f>CHOOSE( CONTROL!$C$32, 18.9261, 18.9258) * CHOOSE(CONTROL!$C$15, $D$11, 100%, $F$11)</f>
        <v>18.926100000000002</v>
      </c>
      <c r="K666" s="4"/>
      <c r="L666" s="9">
        <v>27.415299999999998</v>
      </c>
      <c r="M666" s="9">
        <v>11.285299999999999</v>
      </c>
      <c r="N666" s="9">
        <v>4.6254999999999997</v>
      </c>
      <c r="O666" s="9">
        <v>0.34989999999999999</v>
      </c>
      <c r="P666" s="9">
        <v>1.2093</v>
      </c>
      <c r="Q666" s="9">
        <v>18.417899999999999</v>
      </c>
      <c r="R666" s="9"/>
      <c r="S666" s="11"/>
    </row>
    <row r="667" spans="1:19" ht="15.75">
      <c r="A667" s="13">
        <v>61453</v>
      </c>
      <c r="B667" s="8">
        <f>CHOOSE( CONTROL!$C$32, 19.0952, 19.095) * CHOOSE(CONTROL!$C$15, $D$11, 100%, $F$11)</f>
        <v>19.095199999999998</v>
      </c>
      <c r="C667" s="8">
        <f>CHOOSE( CONTROL!$C$32, 19.1003, 19.1) * CHOOSE(CONTROL!$C$15, $D$11, 100%, $F$11)</f>
        <v>19.100300000000001</v>
      </c>
      <c r="D667" s="8">
        <f>CHOOSE( CONTROL!$C$32, 19.0703, 19.07) * CHOOSE( CONTROL!$C$15, $D$11, 100%, $F$11)</f>
        <v>19.0703</v>
      </c>
      <c r="E667" s="12">
        <f>CHOOSE( CONTROL!$C$32, 19.0807, 19.0804) * CHOOSE( CONTROL!$C$15, $D$11, 100%, $F$11)</f>
        <v>19.0807</v>
      </c>
      <c r="F667" s="4">
        <f>CHOOSE( CONTROL!$C$32, 19.7605, 19.7602) * CHOOSE(CONTROL!$C$15, $D$11, 100%, $F$11)</f>
        <v>19.7605</v>
      </c>
      <c r="G667" s="8">
        <f>CHOOSE( CONTROL!$C$32, 18.8621, 18.8618) * CHOOSE( CONTROL!$C$15, $D$11, 100%, $F$11)</f>
        <v>18.862100000000002</v>
      </c>
      <c r="H667" s="4">
        <f>CHOOSE( CONTROL!$C$32, 19.7757, 19.7755) * CHOOSE(CONTROL!$C$15, $D$11, 100%, $F$11)</f>
        <v>19.775700000000001</v>
      </c>
      <c r="I667" s="8">
        <f>CHOOSE( CONTROL!$C$32, 18.6113, 18.611) * CHOOSE(CONTROL!$C$15, $D$11, 100%, $F$11)</f>
        <v>18.6113</v>
      </c>
      <c r="J667" s="4">
        <f>CHOOSE( CONTROL!$C$32, 18.5232, 18.5229) * CHOOSE(CONTROL!$C$15, $D$11, 100%, $F$11)</f>
        <v>18.523199999999999</v>
      </c>
      <c r="K667" s="4"/>
      <c r="L667" s="9">
        <v>29.306000000000001</v>
      </c>
      <c r="M667" s="9">
        <v>12.063700000000001</v>
      </c>
      <c r="N667" s="9">
        <v>4.9444999999999997</v>
      </c>
      <c r="O667" s="9">
        <v>0.37409999999999999</v>
      </c>
      <c r="P667" s="9">
        <v>1.2927</v>
      </c>
      <c r="Q667" s="9">
        <v>19.688099999999999</v>
      </c>
      <c r="R667" s="9"/>
      <c r="S667" s="11"/>
    </row>
    <row r="668" spans="1:19" ht="15.75">
      <c r="A668" s="13">
        <v>61483</v>
      </c>
      <c r="B668" s="8">
        <f>CHOOSE( CONTROL!$C$32, 19.3861, 19.3858) * CHOOSE(CONTROL!$C$15, $D$11, 100%, $F$11)</f>
        <v>19.386099999999999</v>
      </c>
      <c r="C668" s="8">
        <f>CHOOSE( CONTROL!$C$32, 19.3906, 19.3903) * CHOOSE(CONTROL!$C$15, $D$11, 100%, $F$11)</f>
        <v>19.390599999999999</v>
      </c>
      <c r="D668" s="8">
        <f>CHOOSE( CONTROL!$C$32, 19.3901, 19.3898) * CHOOSE( CONTROL!$C$15, $D$11, 100%, $F$11)</f>
        <v>19.3901</v>
      </c>
      <c r="E668" s="12">
        <f>CHOOSE( CONTROL!$C$32, 19.3898, 19.3895) * CHOOSE( CONTROL!$C$15, $D$11, 100%, $F$11)</f>
        <v>19.389800000000001</v>
      </c>
      <c r="F668" s="4">
        <f>CHOOSE( CONTROL!$C$32, 20.0944, 20.0941) * CHOOSE(CONTROL!$C$15, $D$11, 100%, $F$11)</f>
        <v>20.0944</v>
      </c>
      <c r="G668" s="8">
        <f>CHOOSE( CONTROL!$C$32, 19.1658, 19.1655) * CHOOSE( CONTROL!$C$15, $D$11, 100%, $F$11)</f>
        <v>19.165800000000001</v>
      </c>
      <c r="H668" s="4">
        <f>CHOOSE( CONTROL!$C$32, 20.1057, 20.1054) * CHOOSE(CONTROL!$C$15, $D$11, 100%, $F$11)</f>
        <v>20.105699999999999</v>
      </c>
      <c r="I668" s="8">
        <f>CHOOSE( CONTROL!$C$32, 18.8935, 18.8932) * CHOOSE(CONTROL!$C$15, $D$11, 100%, $F$11)</f>
        <v>18.8935</v>
      </c>
      <c r="J668" s="4">
        <f>CHOOSE( CONTROL!$C$32, 18.8047, 18.8044) * CHOOSE(CONTROL!$C$15, $D$11, 100%, $F$11)</f>
        <v>18.8047</v>
      </c>
      <c r="K668" s="4"/>
      <c r="L668" s="9">
        <v>30.092199999999998</v>
      </c>
      <c r="M668" s="9">
        <v>11.6745</v>
      </c>
      <c r="N668" s="9">
        <v>4.7850000000000001</v>
      </c>
      <c r="O668" s="9">
        <v>0.36199999999999999</v>
      </c>
      <c r="P668" s="9">
        <v>1.2509999999999999</v>
      </c>
      <c r="Q668" s="9">
        <v>19.053000000000001</v>
      </c>
      <c r="R668" s="9"/>
      <c r="S668" s="11"/>
    </row>
    <row r="669" spans="1:19" ht="15.75">
      <c r="A669" s="13">
        <v>61514</v>
      </c>
      <c r="B669" s="8">
        <f>CHOOSE( CONTROL!$C$32, 19.9039, 19.9035) * CHOOSE(CONTROL!$C$15, $D$11, 100%, $F$11)</f>
        <v>19.9039</v>
      </c>
      <c r="C669" s="8">
        <f>CHOOSE( CONTROL!$C$32, 19.9119, 19.9114) * CHOOSE(CONTROL!$C$15, $D$11, 100%, $F$11)</f>
        <v>19.911899999999999</v>
      </c>
      <c r="D669" s="8">
        <f>CHOOSE( CONTROL!$C$32, 19.9062, 19.9057) * CHOOSE( CONTROL!$C$15, $D$11, 100%, $F$11)</f>
        <v>19.906199999999998</v>
      </c>
      <c r="E669" s="12">
        <f>CHOOSE( CONTROL!$C$32, 19.907, 19.9066) * CHOOSE( CONTROL!$C$15, $D$11, 100%, $F$11)</f>
        <v>19.907</v>
      </c>
      <c r="F669" s="4">
        <f>CHOOSE( CONTROL!$C$32, 20.6109, 20.6104) * CHOOSE(CONTROL!$C$15, $D$11, 100%, $F$11)</f>
        <v>20.610900000000001</v>
      </c>
      <c r="G669" s="8">
        <f>CHOOSE( CONTROL!$C$32, 19.6765, 19.6761) * CHOOSE( CONTROL!$C$15, $D$11, 100%, $F$11)</f>
        <v>19.676500000000001</v>
      </c>
      <c r="H669" s="4">
        <f>CHOOSE( CONTROL!$C$32, 20.6161, 20.6157) * CHOOSE(CONTROL!$C$15, $D$11, 100%, $F$11)</f>
        <v>20.616099999999999</v>
      </c>
      <c r="I669" s="8">
        <f>CHOOSE( CONTROL!$C$32, 19.3955, 19.3951) * CHOOSE(CONTROL!$C$15, $D$11, 100%, $F$11)</f>
        <v>19.395499999999998</v>
      </c>
      <c r="J669" s="4">
        <f>CHOOSE( CONTROL!$C$32, 19.3059, 19.3055) * CHOOSE(CONTROL!$C$15, $D$11, 100%, $F$11)</f>
        <v>19.305900000000001</v>
      </c>
      <c r="K669" s="4"/>
      <c r="L669" s="9">
        <v>30.7165</v>
      </c>
      <c r="M669" s="9">
        <v>12.063700000000001</v>
      </c>
      <c r="N669" s="9">
        <v>4.9444999999999997</v>
      </c>
      <c r="O669" s="9">
        <v>0.37409999999999999</v>
      </c>
      <c r="P669" s="9">
        <v>1.2927</v>
      </c>
      <c r="Q669" s="9">
        <v>19.688099999999999</v>
      </c>
      <c r="R669" s="9"/>
      <c r="S669" s="11"/>
    </row>
    <row r="670" spans="1:19" ht="15.75">
      <c r="A670" s="13">
        <v>61544</v>
      </c>
      <c r="B670" s="8">
        <f>CHOOSE( CONTROL!$C$32, 19.5841, 19.5836) * CHOOSE(CONTROL!$C$15, $D$11, 100%, $F$11)</f>
        <v>19.584099999999999</v>
      </c>
      <c r="C670" s="8">
        <f>CHOOSE( CONTROL!$C$32, 19.5921, 19.5916) * CHOOSE(CONTROL!$C$15, $D$11, 100%, $F$11)</f>
        <v>19.592099999999999</v>
      </c>
      <c r="D670" s="8">
        <f>CHOOSE( CONTROL!$C$32, 19.5868, 19.5863) * CHOOSE( CONTROL!$C$15, $D$11, 100%, $F$11)</f>
        <v>19.5868</v>
      </c>
      <c r="E670" s="12">
        <f>CHOOSE( CONTROL!$C$32, 19.5875, 19.587) * CHOOSE( CONTROL!$C$15, $D$11, 100%, $F$11)</f>
        <v>19.587499999999999</v>
      </c>
      <c r="F670" s="4">
        <f>CHOOSE( CONTROL!$C$32, 20.291, 20.2906) * CHOOSE(CONTROL!$C$15, $D$11, 100%, $F$11)</f>
        <v>20.291</v>
      </c>
      <c r="G670" s="8">
        <f>CHOOSE( CONTROL!$C$32, 19.3608, 19.3603) * CHOOSE( CONTROL!$C$15, $D$11, 100%, $F$11)</f>
        <v>19.360800000000001</v>
      </c>
      <c r="H670" s="4">
        <f>CHOOSE( CONTROL!$C$32, 20.3001, 20.2996) * CHOOSE(CONTROL!$C$15, $D$11, 100%, $F$11)</f>
        <v>20.3001</v>
      </c>
      <c r="I670" s="8">
        <f>CHOOSE( CONTROL!$C$32, 19.0864, 19.0859) * CHOOSE(CONTROL!$C$15, $D$11, 100%, $F$11)</f>
        <v>19.086400000000001</v>
      </c>
      <c r="J670" s="4">
        <f>CHOOSE( CONTROL!$C$32, 18.9955, 18.9951) * CHOOSE(CONTROL!$C$15, $D$11, 100%, $F$11)</f>
        <v>18.9955</v>
      </c>
      <c r="K670" s="4"/>
      <c r="L670" s="9">
        <v>29.7257</v>
      </c>
      <c r="M670" s="9">
        <v>11.6745</v>
      </c>
      <c r="N670" s="9">
        <v>4.7850000000000001</v>
      </c>
      <c r="O670" s="9">
        <v>0.36199999999999999</v>
      </c>
      <c r="P670" s="9">
        <v>1.2509999999999999</v>
      </c>
      <c r="Q670" s="9">
        <v>19.053000000000001</v>
      </c>
      <c r="R670" s="9"/>
      <c r="S670" s="11"/>
    </row>
    <row r="671" spans="1:19" ht="15.75">
      <c r="A671" s="13">
        <v>61575</v>
      </c>
      <c r="B671" s="8">
        <f>CHOOSE( CONTROL!$C$32, 20.4263, 20.4258) * CHOOSE(CONTROL!$C$15, $D$11, 100%, $F$11)</f>
        <v>20.426300000000001</v>
      </c>
      <c r="C671" s="8">
        <f>CHOOSE( CONTROL!$C$32, 20.4343, 20.4338) * CHOOSE(CONTROL!$C$15, $D$11, 100%, $F$11)</f>
        <v>20.4343</v>
      </c>
      <c r="D671" s="8">
        <f>CHOOSE( CONTROL!$C$32, 20.4294, 20.429) * CHOOSE( CONTROL!$C$15, $D$11, 100%, $F$11)</f>
        <v>20.429400000000001</v>
      </c>
      <c r="E671" s="12">
        <f>CHOOSE( CONTROL!$C$32, 20.43, 20.4295) * CHOOSE( CONTROL!$C$15, $D$11, 100%, $F$11)</f>
        <v>20.43</v>
      </c>
      <c r="F671" s="4">
        <f>CHOOSE( CONTROL!$C$32, 21.1332, 21.1328) * CHOOSE(CONTROL!$C$15, $D$11, 100%, $F$11)</f>
        <v>21.133199999999999</v>
      </c>
      <c r="G671" s="8">
        <f>CHOOSE( CONTROL!$C$32, 20.1935, 20.193) * CHOOSE( CONTROL!$C$15, $D$11, 100%, $F$11)</f>
        <v>20.1935</v>
      </c>
      <c r="H671" s="4">
        <f>CHOOSE( CONTROL!$C$32, 21.1324, 21.1319) * CHOOSE(CONTROL!$C$15, $D$11, 100%, $F$11)</f>
        <v>21.132400000000001</v>
      </c>
      <c r="I671" s="8">
        <f>CHOOSE( CONTROL!$C$32, 19.9057, 19.9053) * CHOOSE(CONTROL!$C$15, $D$11, 100%, $F$11)</f>
        <v>19.9057</v>
      </c>
      <c r="J671" s="4">
        <f>CHOOSE( CONTROL!$C$32, 19.8129, 19.8125) * CHOOSE(CONTROL!$C$15, $D$11, 100%, $F$11)</f>
        <v>19.812899999999999</v>
      </c>
      <c r="K671" s="4"/>
      <c r="L671" s="9">
        <v>30.7165</v>
      </c>
      <c r="M671" s="9">
        <v>12.063700000000001</v>
      </c>
      <c r="N671" s="9">
        <v>4.9444999999999997</v>
      </c>
      <c r="O671" s="9">
        <v>0.37409999999999999</v>
      </c>
      <c r="P671" s="9">
        <v>1.2927</v>
      </c>
      <c r="Q671" s="9">
        <v>19.688099999999999</v>
      </c>
      <c r="R671" s="9"/>
      <c r="S671" s="11"/>
    </row>
    <row r="672" spans="1:19" ht="15.75">
      <c r="A672" s="13">
        <v>61606</v>
      </c>
      <c r="B672" s="8">
        <f>CHOOSE( CONTROL!$C$32, 18.8504, 18.85) * CHOOSE(CONTROL!$C$15, $D$11, 100%, $F$11)</f>
        <v>18.8504</v>
      </c>
      <c r="C672" s="8">
        <f>CHOOSE( CONTROL!$C$32, 18.8584, 18.858) * CHOOSE(CONTROL!$C$15, $D$11, 100%, $F$11)</f>
        <v>18.8584</v>
      </c>
      <c r="D672" s="8">
        <f>CHOOSE( CONTROL!$C$32, 18.8537, 18.8532) * CHOOSE( CONTROL!$C$15, $D$11, 100%, $F$11)</f>
        <v>18.8537</v>
      </c>
      <c r="E672" s="12">
        <f>CHOOSE( CONTROL!$C$32, 18.8542, 18.8537) * CHOOSE( CONTROL!$C$15, $D$11, 100%, $F$11)</f>
        <v>18.854199999999999</v>
      </c>
      <c r="F672" s="4">
        <f>CHOOSE( CONTROL!$C$32, 19.5574, 19.5569) * CHOOSE(CONTROL!$C$15, $D$11, 100%, $F$11)</f>
        <v>19.557400000000001</v>
      </c>
      <c r="G672" s="8">
        <f>CHOOSE( CONTROL!$C$32, 18.6362, 18.6357) * CHOOSE( CONTROL!$C$15, $D$11, 100%, $F$11)</f>
        <v>18.636199999999999</v>
      </c>
      <c r="H672" s="4">
        <f>CHOOSE( CONTROL!$C$32, 19.575, 19.5745) * CHOOSE(CONTROL!$C$15, $D$11, 100%, $F$11)</f>
        <v>19.574999999999999</v>
      </c>
      <c r="I672" s="8">
        <f>CHOOSE( CONTROL!$C$32, 18.376, 18.3756) * CHOOSE(CONTROL!$C$15, $D$11, 100%, $F$11)</f>
        <v>18.376000000000001</v>
      </c>
      <c r="J672" s="4">
        <f>CHOOSE( CONTROL!$C$32, 18.2835, 18.2831) * CHOOSE(CONTROL!$C$15, $D$11, 100%, $F$11)</f>
        <v>18.2835</v>
      </c>
      <c r="K672" s="4"/>
      <c r="L672" s="9">
        <v>30.7165</v>
      </c>
      <c r="M672" s="9">
        <v>12.063700000000001</v>
      </c>
      <c r="N672" s="9">
        <v>4.9444999999999997</v>
      </c>
      <c r="O672" s="9">
        <v>0.37409999999999999</v>
      </c>
      <c r="P672" s="9">
        <v>1.2927</v>
      </c>
      <c r="Q672" s="9">
        <v>19.688099999999999</v>
      </c>
      <c r="R672" s="9"/>
      <c r="S672" s="11"/>
    </row>
    <row r="673" spans="1:19" ht="15.75">
      <c r="A673" s="13">
        <v>61636</v>
      </c>
      <c r="B673" s="8">
        <f>CHOOSE( CONTROL!$C$32, 18.4558, 18.4554) * CHOOSE(CONTROL!$C$15, $D$11, 100%, $F$11)</f>
        <v>18.4558</v>
      </c>
      <c r="C673" s="8">
        <f>CHOOSE( CONTROL!$C$32, 18.4638, 18.4633) * CHOOSE(CONTROL!$C$15, $D$11, 100%, $F$11)</f>
        <v>18.463799999999999</v>
      </c>
      <c r="D673" s="8">
        <f>CHOOSE( CONTROL!$C$32, 18.4589, 18.4585) * CHOOSE( CONTROL!$C$15, $D$11, 100%, $F$11)</f>
        <v>18.4589</v>
      </c>
      <c r="E673" s="12">
        <f>CHOOSE( CONTROL!$C$32, 18.4595, 18.459) * CHOOSE( CONTROL!$C$15, $D$11, 100%, $F$11)</f>
        <v>18.459499999999998</v>
      </c>
      <c r="F673" s="4">
        <f>CHOOSE( CONTROL!$C$32, 19.1628, 19.1623) * CHOOSE(CONTROL!$C$15, $D$11, 100%, $F$11)</f>
        <v>19.162800000000001</v>
      </c>
      <c r="G673" s="8">
        <f>CHOOSE( CONTROL!$C$32, 18.2461, 18.2456) * CHOOSE( CONTROL!$C$15, $D$11, 100%, $F$11)</f>
        <v>18.246099999999998</v>
      </c>
      <c r="H673" s="4">
        <f>CHOOSE( CONTROL!$C$32, 19.185, 19.1845) * CHOOSE(CONTROL!$C$15, $D$11, 100%, $F$11)</f>
        <v>19.184999999999999</v>
      </c>
      <c r="I673" s="8">
        <f>CHOOSE( CONTROL!$C$32, 17.9924, 17.9919) * CHOOSE(CONTROL!$C$15, $D$11, 100%, $F$11)</f>
        <v>17.9924</v>
      </c>
      <c r="J673" s="4">
        <f>CHOOSE( CONTROL!$C$32, 17.9006, 17.9001) * CHOOSE(CONTROL!$C$15, $D$11, 100%, $F$11)</f>
        <v>17.900600000000001</v>
      </c>
      <c r="K673" s="4"/>
      <c r="L673" s="9">
        <v>29.7257</v>
      </c>
      <c r="M673" s="9">
        <v>11.6745</v>
      </c>
      <c r="N673" s="9">
        <v>4.7850000000000001</v>
      </c>
      <c r="O673" s="9">
        <v>0.36199999999999999</v>
      </c>
      <c r="P673" s="9">
        <v>1.2509999999999999</v>
      </c>
      <c r="Q673" s="9">
        <v>19.053000000000001</v>
      </c>
      <c r="R673" s="9"/>
      <c r="S673" s="11"/>
    </row>
    <row r="674" spans="1:19" ht="15.75">
      <c r="A674" s="13">
        <v>61667</v>
      </c>
      <c r="B674" s="8">
        <f>CHOOSE( CONTROL!$C$32, 19.2733, 19.273) * CHOOSE(CONTROL!$C$15, $D$11, 100%, $F$11)</f>
        <v>19.273299999999999</v>
      </c>
      <c r="C674" s="8">
        <f>CHOOSE( CONTROL!$C$32, 19.2786, 19.2783) * CHOOSE(CONTROL!$C$15, $D$11, 100%, $F$11)</f>
        <v>19.278600000000001</v>
      </c>
      <c r="D674" s="8">
        <f>CHOOSE( CONTROL!$C$32, 19.2788, 19.2785) * CHOOSE( CONTROL!$C$15, $D$11, 100%, $F$11)</f>
        <v>19.2788</v>
      </c>
      <c r="E674" s="12">
        <f>CHOOSE( CONTROL!$C$32, 19.2782, 19.2779) * CHOOSE( CONTROL!$C$15, $D$11, 100%, $F$11)</f>
        <v>19.278199999999998</v>
      </c>
      <c r="F674" s="4">
        <f>CHOOSE( CONTROL!$C$32, 19.9819, 19.9817) * CHOOSE(CONTROL!$C$15, $D$11, 100%, $F$11)</f>
        <v>19.9819</v>
      </c>
      <c r="G674" s="8">
        <f>CHOOSE( CONTROL!$C$32, 19.0556, 19.0553) * CHOOSE( CONTROL!$C$15, $D$11, 100%, $F$11)</f>
        <v>19.055599999999998</v>
      </c>
      <c r="H674" s="4">
        <f>CHOOSE( CONTROL!$C$32, 19.9946, 19.9943) * CHOOSE(CONTROL!$C$15, $D$11, 100%, $F$11)</f>
        <v>19.994599999999998</v>
      </c>
      <c r="I674" s="8">
        <f>CHOOSE( CONTROL!$C$32, 18.7885, 18.7882) * CHOOSE(CONTROL!$C$15, $D$11, 100%, $F$11)</f>
        <v>18.788499999999999</v>
      </c>
      <c r="J674" s="4">
        <f>CHOOSE( CONTROL!$C$32, 18.6956, 18.6953) * CHOOSE(CONTROL!$C$15, $D$11, 100%, $F$11)</f>
        <v>18.695599999999999</v>
      </c>
      <c r="K674" s="4"/>
      <c r="L674" s="9">
        <v>31.095300000000002</v>
      </c>
      <c r="M674" s="9">
        <v>12.063700000000001</v>
      </c>
      <c r="N674" s="9">
        <v>4.9444999999999997</v>
      </c>
      <c r="O674" s="9">
        <v>0.37409999999999999</v>
      </c>
      <c r="P674" s="9">
        <v>1.2927</v>
      </c>
      <c r="Q674" s="9">
        <v>19.688099999999999</v>
      </c>
      <c r="R674" s="9"/>
      <c r="S674" s="11"/>
    </row>
    <row r="675" spans="1:19" ht="15.75">
      <c r="A675" s="13">
        <v>61697</v>
      </c>
      <c r="B675" s="8">
        <f>CHOOSE( CONTROL!$C$32, 20.7852, 20.785) * CHOOSE(CONTROL!$C$15, $D$11, 100%, $F$11)</f>
        <v>20.7852</v>
      </c>
      <c r="C675" s="8">
        <f>CHOOSE( CONTROL!$C$32, 20.7903, 20.79) * CHOOSE(CONTROL!$C$15, $D$11, 100%, $F$11)</f>
        <v>20.790299999999998</v>
      </c>
      <c r="D675" s="8">
        <f>CHOOSE( CONTROL!$C$32, 20.7582, 20.7579) * CHOOSE( CONTROL!$C$15, $D$11, 100%, $F$11)</f>
        <v>20.758199999999999</v>
      </c>
      <c r="E675" s="12">
        <f>CHOOSE( CONTROL!$C$32, 20.7694, 20.7691) * CHOOSE( CONTROL!$C$15, $D$11, 100%, $F$11)</f>
        <v>20.769400000000001</v>
      </c>
      <c r="F675" s="4">
        <f>CHOOSE( CONTROL!$C$32, 21.4505, 21.4502) * CHOOSE(CONTROL!$C$15, $D$11, 100%, $F$11)</f>
        <v>21.450500000000002</v>
      </c>
      <c r="G675" s="8">
        <f>CHOOSE( CONTROL!$C$32, 20.5392, 20.5389) * CHOOSE( CONTROL!$C$15, $D$11, 100%, $F$11)</f>
        <v>20.539200000000001</v>
      </c>
      <c r="H675" s="4">
        <f>CHOOSE( CONTROL!$C$32, 21.446, 21.4457) * CHOOSE(CONTROL!$C$15, $D$11, 100%, $F$11)</f>
        <v>21.446000000000002</v>
      </c>
      <c r="I675" s="8">
        <f>CHOOSE( CONTROL!$C$32, 20.3078, 20.3075) * CHOOSE(CONTROL!$C$15, $D$11, 100%, $F$11)</f>
        <v>20.3078</v>
      </c>
      <c r="J675" s="4">
        <f>CHOOSE( CONTROL!$C$32, 20.1633, 20.1631) * CHOOSE(CONTROL!$C$15, $D$11, 100%, $F$11)</f>
        <v>20.1633</v>
      </c>
      <c r="K675" s="4"/>
      <c r="L675" s="9">
        <v>28.360600000000002</v>
      </c>
      <c r="M675" s="9">
        <v>11.6745</v>
      </c>
      <c r="N675" s="9">
        <v>4.7850000000000001</v>
      </c>
      <c r="O675" s="9">
        <v>0.36199999999999999</v>
      </c>
      <c r="P675" s="9">
        <v>1.2509999999999999</v>
      </c>
      <c r="Q675" s="9">
        <v>19.053000000000001</v>
      </c>
      <c r="R675" s="9"/>
      <c r="S675" s="11"/>
    </row>
    <row r="676" spans="1:19" ht="15.75">
      <c r="A676" s="13">
        <v>61728</v>
      </c>
      <c r="B676" s="8">
        <f>CHOOSE( CONTROL!$C$32, 20.7474, 20.7472) * CHOOSE(CONTROL!$C$15, $D$11, 100%, $F$11)</f>
        <v>20.747399999999999</v>
      </c>
      <c r="C676" s="8">
        <f>CHOOSE( CONTROL!$C$32, 20.7525, 20.7522) * CHOOSE(CONTROL!$C$15, $D$11, 100%, $F$11)</f>
        <v>20.752500000000001</v>
      </c>
      <c r="D676" s="8">
        <f>CHOOSE( CONTROL!$C$32, 20.7222, 20.722) * CHOOSE( CONTROL!$C$15, $D$11, 100%, $F$11)</f>
        <v>20.722200000000001</v>
      </c>
      <c r="E676" s="12">
        <f>CHOOSE( CONTROL!$C$32, 20.7327, 20.7325) * CHOOSE( CONTROL!$C$15, $D$11, 100%, $F$11)</f>
        <v>20.732700000000001</v>
      </c>
      <c r="F676" s="4">
        <f>CHOOSE( CONTROL!$C$32, 21.4127, 21.4125) * CHOOSE(CONTROL!$C$15, $D$11, 100%, $F$11)</f>
        <v>21.412700000000001</v>
      </c>
      <c r="G676" s="8">
        <f>CHOOSE( CONTROL!$C$32, 20.5032, 20.5029) * CHOOSE( CONTROL!$C$15, $D$11, 100%, $F$11)</f>
        <v>20.5032</v>
      </c>
      <c r="H676" s="4">
        <f>CHOOSE( CONTROL!$C$32, 21.4086, 21.4083) * CHOOSE(CONTROL!$C$15, $D$11, 100%, $F$11)</f>
        <v>21.4086</v>
      </c>
      <c r="I676" s="8">
        <f>CHOOSE( CONTROL!$C$32, 20.2768, 20.2765) * CHOOSE(CONTROL!$C$15, $D$11, 100%, $F$11)</f>
        <v>20.276800000000001</v>
      </c>
      <c r="J676" s="4">
        <f>CHOOSE( CONTROL!$C$32, 20.1266, 20.1264) * CHOOSE(CONTROL!$C$15, $D$11, 100%, $F$11)</f>
        <v>20.1266</v>
      </c>
      <c r="K676" s="4"/>
      <c r="L676" s="9">
        <v>29.306000000000001</v>
      </c>
      <c r="M676" s="9">
        <v>12.063700000000001</v>
      </c>
      <c r="N676" s="9">
        <v>4.9444999999999997</v>
      </c>
      <c r="O676" s="9">
        <v>0.37409999999999999</v>
      </c>
      <c r="P676" s="9">
        <v>1.2927</v>
      </c>
      <c r="Q676" s="9">
        <v>19.688099999999999</v>
      </c>
      <c r="R676" s="9"/>
      <c r="S676" s="11"/>
    </row>
    <row r="677" spans="1:19" ht="15.75">
      <c r="A677" s="13">
        <v>61759</v>
      </c>
      <c r="B677" s="8">
        <f>CHOOSE( CONTROL!$C$32, 21.3592, 21.3589) * CHOOSE(CONTROL!$C$15, $D$11, 100%, $F$11)</f>
        <v>21.359200000000001</v>
      </c>
      <c r="C677" s="8">
        <f>CHOOSE( CONTROL!$C$32, 21.3642, 21.364) * CHOOSE(CONTROL!$C$15, $D$11, 100%, $F$11)</f>
        <v>21.3642</v>
      </c>
      <c r="D677" s="8">
        <f>CHOOSE( CONTROL!$C$32, 21.3619, 21.3616) * CHOOSE( CONTROL!$C$15, $D$11, 100%, $F$11)</f>
        <v>21.361899999999999</v>
      </c>
      <c r="E677" s="12">
        <f>CHOOSE( CONTROL!$C$32, 21.3622, 21.3619) * CHOOSE( CONTROL!$C$15, $D$11, 100%, $F$11)</f>
        <v>21.362200000000001</v>
      </c>
      <c r="F677" s="4">
        <f>CHOOSE( CONTROL!$C$32, 22.0244, 22.0242) * CHOOSE(CONTROL!$C$15, $D$11, 100%, $F$11)</f>
        <v>22.0244</v>
      </c>
      <c r="G677" s="8">
        <f>CHOOSE( CONTROL!$C$32, 21.1238, 21.1236) * CHOOSE( CONTROL!$C$15, $D$11, 100%, $F$11)</f>
        <v>21.123799999999999</v>
      </c>
      <c r="H677" s="4">
        <f>CHOOSE( CONTROL!$C$32, 22.0132, 22.0129) * CHOOSE(CONTROL!$C$15, $D$11, 100%, $F$11)</f>
        <v>22.013200000000001</v>
      </c>
      <c r="I677" s="8">
        <f>CHOOSE( CONTROL!$C$32, 20.8443, 20.844) * CHOOSE(CONTROL!$C$15, $D$11, 100%, $F$11)</f>
        <v>20.8443</v>
      </c>
      <c r="J677" s="4">
        <f>CHOOSE( CONTROL!$C$32, 20.7203, 20.72) * CHOOSE(CONTROL!$C$15, $D$11, 100%, $F$11)</f>
        <v>20.720300000000002</v>
      </c>
      <c r="K677" s="4"/>
      <c r="L677" s="9">
        <v>29.306000000000001</v>
      </c>
      <c r="M677" s="9">
        <v>12.063700000000001</v>
      </c>
      <c r="N677" s="9">
        <v>4.9444999999999997</v>
      </c>
      <c r="O677" s="9">
        <v>0.37409999999999999</v>
      </c>
      <c r="P677" s="9">
        <v>1.2927</v>
      </c>
      <c r="Q677" s="9">
        <v>19.688099999999999</v>
      </c>
      <c r="R677" s="9"/>
      <c r="S677" s="11"/>
    </row>
    <row r="678" spans="1:19" ht="15.75">
      <c r="A678" s="13">
        <v>61787</v>
      </c>
      <c r="B678" s="8">
        <f>CHOOSE( CONTROL!$C$32, 19.9789, 19.9786) * CHOOSE(CONTROL!$C$15, $D$11, 100%, $F$11)</f>
        <v>19.978899999999999</v>
      </c>
      <c r="C678" s="8">
        <f>CHOOSE( CONTROL!$C$32, 19.984, 19.9837) * CHOOSE(CONTROL!$C$15, $D$11, 100%, $F$11)</f>
        <v>19.984000000000002</v>
      </c>
      <c r="D678" s="8">
        <f>CHOOSE( CONTROL!$C$32, 19.964, 19.9637) * CHOOSE( CONTROL!$C$15, $D$11, 100%, $F$11)</f>
        <v>19.963999999999999</v>
      </c>
      <c r="E678" s="12">
        <f>CHOOSE( CONTROL!$C$32, 19.9708, 19.9705) * CHOOSE( CONTROL!$C$15, $D$11, 100%, $F$11)</f>
        <v>19.970800000000001</v>
      </c>
      <c r="F678" s="4">
        <f>CHOOSE( CONTROL!$C$32, 20.6442, 20.6439) * CHOOSE(CONTROL!$C$15, $D$11, 100%, $F$11)</f>
        <v>20.644200000000001</v>
      </c>
      <c r="G678" s="8">
        <f>CHOOSE( CONTROL!$C$32, 19.7486, 19.7484) * CHOOSE( CONTROL!$C$15, $D$11, 100%, $F$11)</f>
        <v>19.7486</v>
      </c>
      <c r="H678" s="4">
        <f>CHOOSE( CONTROL!$C$32, 20.6491, 20.6488) * CHOOSE(CONTROL!$C$15, $D$11, 100%, $F$11)</f>
        <v>20.649100000000001</v>
      </c>
      <c r="I678" s="8">
        <f>CHOOSE( CONTROL!$C$32, 19.5045, 19.5042) * CHOOSE(CONTROL!$C$15, $D$11, 100%, $F$11)</f>
        <v>19.5045</v>
      </c>
      <c r="J678" s="4">
        <f>CHOOSE( CONTROL!$C$32, 19.3808, 19.3805) * CHOOSE(CONTROL!$C$15, $D$11, 100%, $F$11)</f>
        <v>19.380800000000001</v>
      </c>
      <c r="K678" s="4"/>
      <c r="L678" s="9">
        <v>26.469899999999999</v>
      </c>
      <c r="M678" s="9">
        <v>10.8962</v>
      </c>
      <c r="N678" s="9">
        <v>4.4660000000000002</v>
      </c>
      <c r="O678" s="9">
        <v>0.33789999999999998</v>
      </c>
      <c r="P678" s="9">
        <v>1.1676</v>
      </c>
      <c r="Q678" s="9">
        <v>17.782800000000002</v>
      </c>
      <c r="R678" s="9"/>
      <c r="S678" s="11"/>
    </row>
    <row r="679" spans="1:19" ht="15.75">
      <c r="A679" s="13">
        <v>61818</v>
      </c>
      <c r="B679" s="8">
        <f>CHOOSE( CONTROL!$C$32, 19.5538, 19.5535) * CHOOSE(CONTROL!$C$15, $D$11, 100%, $F$11)</f>
        <v>19.553799999999999</v>
      </c>
      <c r="C679" s="8">
        <f>CHOOSE( CONTROL!$C$32, 19.5589, 19.5586) * CHOOSE(CONTROL!$C$15, $D$11, 100%, $F$11)</f>
        <v>19.558900000000001</v>
      </c>
      <c r="D679" s="8">
        <f>CHOOSE( CONTROL!$C$32, 19.5289, 19.5286) * CHOOSE( CONTROL!$C$15, $D$11, 100%, $F$11)</f>
        <v>19.5289</v>
      </c>
      <c r="E679" s="12">
        <f>CHOOSE( CONTROL!$C$32, 19.5393, 19.539) * CHOOSE( CONTROL!$C$15, $D$11, 100%, $F$11)</f>
        <v>19.539300000000001</v>
      </c>
      <c r="F679" s="4">
        <f>CHOOSE( CONTROL!$C$32, 20.2191, 20.2188) * CHOOSE(CONTROL!$C$15, $D$11, 100%, $F$11)</f>
        <v>20.219100000000001</v>
      </c>
      <c r="G679" s="8">
        <f>CHOOSE( CONTROL!$C$32, 19.3153, 19.315) * CHOOSE( CONTROL!$C$15, $D$11, 100%, $F$11)</f>
        <v>19.315300000000001</v>
      </c>
      <c r="H679" s="4">
        <f>CHOOSE( CONTROL!$C$32, 20.229, 20.2287) * CHOOSE(CONTROL!$C$15, $D$11, 100%, $F$11)</f>
        <v>20.228999999999999</v>
      </c>
      <c r="I679" s="8">
        <f>CHOOSE( CONTROL!$C$32, 19.0565, 19.0563) * CHOOSE(CONTROL!$C$15, $D$11, 100%, $F$11)</f>
        <v>19.0565</v>
      </c>
      <c r="J679" s="4">
        <f>CHOOSE( CONTROL!$C$32, 18.9682, 18.968) * CHOOSE(CONTROL!$C$15, $D$11, 100%, $F$11)</f>
        <v>18.9682</v>
      </c>
      <c r="K679" s="4"/>
      <c r="L679" s="9">
        <v>29.306000000000001</v>
      </c>
      <c r="M679" s="9">
        <v>12.063700000000001</v>
      </c>
      <c r="N679" s="9">
        <v>4.9444999999999997</v>
      </c>
      <c r="O679" s="9">
        <v>0.37409999999999999</v>
      </c>
      <c r="P679" s="9">
        <v>1.2927</v>
      </c>
      <c r="Q679" s="9">
        <v>19.688099999999999</v>
      </c>
      <c r="R679" s="9"/>
      <c r="S679" s="11"/>
    </row>
    <row r="680" spans="1:19" ht="15.75">
      <c r="A680" s="13">
        <v>61848</v>
      </c>
      <c r="B680" s="8">
        <f>CHOOSE( CONTROL!$C$32, 19.8516, 19.8514) * CHOOSE(CONTROL!$C$15, $D$11, 100%, $F$11)</f>
        <v>19.851600000000001</v>
      </c>
      <c r="C680" s="8">
        <f>CHOOSE( CONTROL!$C$32, 19.8561, 19.8559) * CHOOSE(CONTROL!$C$15, $D$11, 100%, $F$11)</f>
        <v>19.856100000000001</v>
      </c>
      <c r="D680" s="8">
        <f>CHOOSE( CONTROL!$C$32, 19.8556, 19.8554) * CHOOSE( CONTROL!$C$15, $D$11, 100%, $F$11)</f>
        <v>19.855599999999999</v>
      </c>
      <c r="E680" s="12">
        <f>CHOOSE( CONTROL!$C$32, 19.8553, 19.8551) * CHOOSE( CONTROL!$C$15, $D$11, 100%, $F$11)</f>
        <v>19.8553</v>
      </c>
      <c r="F680" s="4">
        <f>CHOOSE( CONTROL!$C$32, 20.5599, 20.5597) * CHOOSE(CONTROL!$C$15, $D$11, 100%, $F$11)</f>
        <v>20.559899999999999</v>
      </c>
      <c r="G680" s="8">
        <f>CHOOSE( CONTROL!$C$32, 19.6259, 19.6256) * CHOOSE( CONTROL!$C$15, $D$11, 100%, $F$11)</f>
        <v>19.625900000000001</v>
      </c>
      <c r="H680" s="4">
        <f>CHOOSE( CONTROL!$C$32, 20.5658, 20.5655) * CHOOSE(CONTROL!$C$15, $D$11, 100%, $F$11)</f>
        <v>20.565799999999999</v>
      </c>
      <c r="I680" s="8">
        <f>CHOOSE( CONTROL!$C$32, 19.3455, 19.3452) * CHOOSE(CONTROL!$C$15, $D$11, 100%, $F$11)</f>
        <v>19.345500000000001</v>
      </c>
      <c r="J680" s="4">
        <f>CHOOSE( CONTROL!$C$32, 19.2565, 19.2563) * CHOOSE(CONTROL!$C$15, $D$11, 100%, $F$11)</f>
        <v>19.256499999999999</v>
      </c>
      <c r="K680" s="4"/>
      <c r="L680" s="9">
        <v>30.092199999999998</v>
      </c>
      <c r="M680" s="9">
        <v>11.6745</v>
      </c>
      <c r="N680" s="9">
        <v>4.7850000000000001</v>
      </c>
      <c r="O680" s="9">
        <v>0.36199999999999999</v>
      </c>
      <c r="P680" s="9">
        <v>1.2509999999999999</v>
      </c>
      <c r="Q680" s="9">
        <v>19.053000000000001</v>
      </c>
      <c r="R680" s="9"/>
      <c r="S680" s="11"/>
    </row>
    <row r="681" spans="1:19" ht="15.75">
      <c r="A681" s="13">
        <v>61879</v>
      </c>
      <c r="B681" s="8">
        <f>CHOOSE( CONTROL!$C$32, 20.3819, 20.3814) * CHOOSE(CONTROL!$C$15, $D$11, 100%, $F$11)</f>
        <v>20.381900000000002</v>
      </c>
      <c r="C681" s="8">
        <f>CHOOSE( CONTROL!$C$32, 20.3898, 20.3894) * CHOOSE(CONTROL!$C$15, $D$11, 100%, $F$11)</f>
        <v>20.389800000000001</v>
      </c>
      <c r="D681" s="8">
        <f>CHOOSE( CONTROL!$C$32, 20.3841, 20.3837) * CHOOSE( CONTROL!$C$15, $D$11, 100%, $F$11)</f>
        <v>20.3841</v>
      </c>
      <c r="E681" s="12">
        <f>CHOOSE( CONTROL!$C$32, 20.385, 20.3845) * CHOOSE( CONTROL!$C$15, $D$11, 100%, $F$11)</f>
        <v>20.385000000000002</v>
      </c>
      <c r="F681" s="4">
        <f>CHOOSE( CONTROL!$C$32, 21.0888, 21.0884) * CHOOSE(CONTROL!$C$15, $D$11, 100%, $F$11)</f>
        <v>21.088799999999999</v>
      </c>
      <c r="G681" s="8">
        <f>CHOOSE( CONTROL!$C$32, 20.1489, 20.1484) * CHOOSE( CONTROL!$C$15, $D$11, 100%, $F$11)</f>
        <v>20.148900000000001</v>
      </c>
      <c r="H681" s="4">
        <f>CHOOSE( CONTROL!$C$32, 21.0885, 21.088) * CHOOSE(CONTROL!$C$15, $D$11, 100%, $F$11)</f>
        <v>21.0885</v>
      </c>
      <c r="I681" s="8">
        <f>CHOOSE( CONTROL!$C$32, 19.8596, 19.8592) * CHOOSE(CONTROL!$C$15, $D$11, 100%, $F$11)</f>
        <v>19.8596</v>
      </c>
      <c r="J681" s="4">
        <f>CHOOSE( CONTROL!$C$32, 19.7698, 19.7693) * CHOOSE(CONTROL!$C$15, $D$11, 100%, $F$11)</f>
        <v>19.7698</v>
      </c>
      <c r="K681" s="4"/>
      <c r="L681" s="9">
        <v>30.7165</v>
      </c>
      <c r="M681" s="9">
        <v>12.063700000000001</v>
      </c>
      <c r="N681" s="9">
        <v>4.9444999999999997</v>
      </c>
      <c r="O681" s="9">
        <v>0.37409999999999999</v>
      </c>
      <c r="P681" s="9">
        <v>1.2927</v>
      </c>
      <c r="Q681" s="9">
        <v>19.688099999999999</v>
      </c>
      <c r="R681" s="9"/>
      <c r="S681" s="11"/>
    </row>
    <row r="682" spans="1:19" ht="15.75">
      <c r="A682" s="13">
        <v>61909</v>
      </c>
      <c r="B682" s="8">
        <f>CHOOSE( CONTROL!$C$32, 20.0544, 20.0539) * CHOOSE(CONTROL!$C$15, $D$11, 100%, $F$11)</f>
        <v>20.054400000000001</v>
      </c>
      <c r="C682" s="8">
        <f>CHOOSE( CONTROL!$C$32, 20.0623, 20.0619) * CHOOSE(CONTROL!$C$15, $D$11, 100%, $F$11)</f>
        <v>20.0623</v>
      </c>
      <c r="D682" s="8">
        <f>CHOOSE( CONTROL!$C$32, 20.057, 20.0566) * CHOOSE( CONTROL!$C$15, $D$11, 100%, $F$11)</f>
        <v>20.056999999999999</v>
      </c>
      <c r="E682" s="12">
        <f>CHOOSE( CONTROL!$C$32, 20.0577, 20.0573) * CHOOSE( CONTROL!$C$15, $D$11, 100%, $F$11)</f>
        <v>20.057700000000001</v>
      </c>
      <c r="F682" s="4">
        <f>CHOOSE( CONTROL!$C$32, 20.7613, 20.7609) * CHOOSE(CONTROL!$C$15, $D$11, 100%, $F$11)</f>
        <v>20.761299999999999</v>
      </c>
      <c r="G682" s="8">
        <f>CHOOSE( CONTROL!$C$32, 19.8255, 19.8251) * CHOOSE( CONTROL!$C$15, $D$11, 100%, $F$11)</f>
        <v>19.825500000000002</v>
      </c>
      <c r="H682" s="4">
        <f>CHOOSE( CONTROL!$C$32, 20.7648, 20.7644) * CHOOSE(CONTROL!$C$15, $D$11, 100%, $F$11)</f>
        <v>20.764800000000001</v>
      </c>
      <c r="I682" s="8">
        <f>CHOOSE( CONTROL!$C$32, 19.543, 19.5426) * CHOOSE(CONTROL!$C$15, $D$11, 100%, $F$11)</f>
        <v>19.542999999999999</v>
      </c>
      <c r="J682" s="4">
        <f>CHOOSE( CONTROL!$C$32, 19.4519, 19.4515) * CHOOSE(CONTROL!$C$15, $D$11, 100%, $F$11)</f>
        <v>19.451899999999998</v>
      </c>
      <c r="K682" s="4"/>
      <c r="L682" s="9">
        <v>29.7257</v>
      </c>
      <c r="M682" s="9">
        <v>11.6745</v>
      </c>
      <c r="N682" s="9">
        <v>4.7850000000000001</v>
      </c>
      <c r="O682" s="9">
        <v>0.36199999999999999</v>
      </c>
      <c r="P682" s="9">
        <v>1.2509999999999999</v>
      </c>
      <c r="Q682" s="9">
        <v>19.053000000000001</v>
      </c>
      <c r="R682" s="9"/>
      <c r="S682" s="11"/>
    </row>
    <row r="683" spans="1:19" ht="15.75">
      <c r="A683" s="13">
        <v>61940</v>
      </c>
      <c r="B683" s="8">
        <f>CHOOSE( CONTROL!$C$32, 20.9168, 20.9164) * CHOOSE(CONTROL!$C$15, $D$11, 100%, $F$11)</f>
        <v>20.916799999999999</v>
      </c>
      <c r="C683" s="8">
        <f>CHOOSE( CONTROL!$C$32, 20.9248, 20.9243) * CHOOSE(CONTROL!$C$15, $D$11, 100%, $F$11)</f>
        <v>20.924800000000001</v>
      </c>
      <c r="D683" s="8">
        <f>CHOOSE( CONTROL!$C$32, 20.9199, 20.9195) * CHOOSE( CONTROL!$C$15, $D$11, 100%, $F$11)</f>
        <v>20.919899999999998</v>
      </c>
      <c r="E683" s="12">
        <f>CHOOSE( CONTROL!$C$32, 20.9205, 20.92) * CHOOSE( CONTROL!$C$15, $D$11, 100%, $F$11)</f>
        <v>20.920500000000001</v>
      </c>
      <c r="F683" s="4">
        <f>CHOOSE( CONTROL!$C$32, 21.6238, 21.6233) * CHOOSE(CONTROL!$C$15, $D$11, 100%, $F$11)</f>
        <v>21.623799999999999</v>
      </c>
      <c r="G683" s="8">
        <f>CHOOSE( CONTROL!$C$32, 20.6782, 20.6778) * CHOOSE( CONTROL!$C$15, $D$11, 100%, $F$11)</f>
        <v>20.6782</v>
      </c>
      <c r="H683" s="4">
        <f>CHOOSE( CONTROL!$C$32, 21.6172, 21.6167) * CHOOSE(CONTROL!$C$15, $D$11, 100%, $F$11)</f>
        <v>21.6172</v>
      </c>
      <c r="I683" s="8">
        <f>CHOOSE( CONTROL!$C$32, 20.382, 20.3816) * CHOOSE(CONTROL!$C$15, $D$11, 100%, $F$11)</f>
        <v>20.382000000000001</v>
      </c>
      <c r="J683" s="4">
        <f>CHOOSE( CONTROL!$C$32, 20.2889, 20.2885) * CHOOSE(CONTROL!$C$15, $D$11, 100%, $F$11)</f>
        <v>20.288900000000002</v>
      </c>
      <c r="K683" s="4"/>
      <c r="L683" s="9">
        <v>30.7165</v>
      </c>
      <c r="M683" s="9">
        <v>12.063700000000001</v>
      </c>
      <c r="N683" s="9">
        <v>4.9444999999999997</v>
      </c>
      <c r="O683" s="9">
        <v>0.37409999999999999</v>
      </c>
      <c r="P683" s="9">
        <v>1.2927</v>
      </c>
      <c r="Q683" s="9">
        <v>19.688099999999999</v>
      </c>
      <c r="R683" s="9"/>
      <c r="S683" s="11"/>
    </row>
    <row r="684" spans="1:19" ht="15.75">
      <c r="A684" s="13">
        <v>61971</v>
      </c>
      <c r="B684" s="8">
        <f>CHOOSE( CONTROL!$C$32, 19.3031, 19.3026) * CHOOSE(CONTROL!$C$15, $D$11, 100%, $F$11)</f>
        <v>19.303100000000001</v>
      </c>
      <c r="C684" s="8">
        <f>CHOOSE( CONTROL!$C$32, 19.3111, 19.3106) * CHOOSE(CONTROL!$C$15, $D$11, 100%, $F$11)</f>
        <v>19.3111</v>
      </c>
      <c r="D684" s="8">
        <f>CHOOSE( CONTROL!$C$32, 19.3063, 19.3059) * CHOOSE( CONTROL!$C$15, $D$11, 100%, $F$11)</f>
        <v>19.3063</v>
      </c>
      <c r="E684" s="12">
        <f>CHOOSE( CONTROL!$C$32, 19.3068, 19.3064) * CHOOSE( CONTROL!$C$15, $D$11, 100%, $F$11)</f>
        <v>19.306799999999999</v>
      </c>
      <c r="F684" s="4">
        <f>CHOOSE( CONTROL!$C$32, 20.01, 20.0096) * CHOOSE(CONTROL!$C$15, $D$11, 100%, $F$11)</f>
        <v>20.010000000000002</v>
      </c>
      <c r="G684" s="8">
        <f>CHOOSE( CONTROL!$C$32, 19.0835, 19.0831) * CHOOSE( CONTROL!$C$15, $D$11, 100%, $F$11)</f>
        <v>19.083500000000001</v>
      </c>
      <c r="H684" s="4">
        <f>CHOOSE( CONTROL!$C$32, 20.0223, 20.0219) * CHOOSE(CONTROL!$C$15, $D$11, 100%, $F$11)</f>
        <v>20.022300000000001</v>
      </c>
      <c r="I684" s="8">
        <f>CHOOSE( CONTROL!$C$32, 18.8156, 18.8151) * CHOOSE(CONTROL!$C$15, $D$11, 100%, $F$11)</f>
        <v>18.8156</v>
      </c>
      <c r="J684" s="4">
        <f>CHOOSE( CONTROL!$C$32, 18.7228, 18.7224) * CHOOSE(CONTROL!$C$15, $D$11, 100%, $F$11)</f>
        <v>18.722799999999999</v>
      </c>
      <c r="K684" s="4"/>
      <c r="L684" s="9">
        <v>30.7165</v>
      </c>
      <c r="M684" s="9">
        <v>12.063700000000001</v>
      </c>
      <c r="N684" s="9">
        <v>4.9444999999999997</v>
      </c>
      <c r="O684" s="9">
        <v>0.37409999999999999</v>
      </c>
      <c r="P684" s="9">
        <v>1.2927</v>
      </c>
      <c r="Q684" s="9">
        <v>19.688099999999999</v>
      </c>
      <c r="R684" s="9"/>
      <c r="S684" s="11"/>
    </row>
    <row r="685" spans="1:19" ht="15.75">
      <c r="A685" s="13">
        <v>62001</v>
      </c>
      <c r="B685" s="8">
        <f>CHOOSE( CONTROL!$C$32, 18.899, 18.8985) * CHOOSE(CONTROL!$C$15, $D$11, 100%, $F$11)</f>
        <v>18.899000000000001</v>
      </c>
      <c r="C685" s="8">
        <f>CHOOSE( CONTROL!$C$32, 18.907, 18.9065) * CHOOSE(CONTROL!$C$15, $D$11, 100%, $F$11)</f>
        <v>18.907</v>
      </c>
      <c r="D685" s="8">
        <f>CHOOSE( CONTROL!$C$32, 18.9021, 18.9016) * CHOOSE( CONTROL!$C$15, $D$11, 100%, $F$11)</f>
        <v>18.902100000000001</v>
      </c>
      <c r="E685" s="12">
        <f>CHOOSE( CONTROL!$C$32, 18.9027, 18.9022) * CHOOSE( CONTROL!$C$15, $D$11, 100%, $F$11)</f>
        <v>18.902699999999999</v>
      </c>
      <c r="F685" s="4">
        <f>CHOOSE( CONTROL!$C$32, 19.6059, 19.6055) * CHOOSE(CONTROL!$C$15, $D$11, 100%, $F$11)</f>
        <v>19.605899999999998</v>
      </c>
      <c r="G685" s="8">
        <f>CHOOSE( CONTROL!$C$32, 18.684, 18.6836) * CHOOSE( CONTROL!$C$15, $D$11, 100%, $F$11)</f>
        <v>18.684000000000001</v>
      </c>
      <c r="H685" s="4">
        <f>CHOOSE( CONTROL!$C$32, 19.623, 19.6225) * CHOOSE(CONTROL!$C$15, $D$11, 100%, $F$11)</f>
        <v>19.623000000000001</v>
      </c>
      <c r="I685" s="8">
        <f>CHOOSE( CONTROL!$C$32, 18.4227, 18.4222) * CHOOSE(CONTROL!$C$15, $D$11, 100%, $F$11)</f>
        <v>18.422699999999999</v>
      </c>
      <c r="J685" s="4">
        <f>CHOOSE( CONTROL!$C$32, 18.3306, 18.3302) * CHOOSE(CONTROL!$C$15, $D$11, 100%, $F$11)</f>
        <v>18.3306</v>
      </c>
      <c r="K685" s="4"/>
      <c r="L685" s="9">
        <v>29.7257</v>
      </c>
      <c r="M685" s="9">
        <v>11.6745</v>
      </c>
      <c r="N685" s="9">
        <v>4.7850000000000001</v>
      </c>
      <c r="O685" s="9">
        <v>0.36199999999999999</v>
      </c>
      <c r="P685" s="9">
        <v>1.2509999999999999</v>
      </c>
      <c r="Q685" s="9">
        <v>19.053000000000001</v>
      </c>
      <c r="R685" s="9"/>
      <c r="S685" s="11"/>
    </row>
    <row r="686" spans="1:19" ht="15.75">
      <c r="A686" s="13">
        <v>62032</v>
      </c>
      <c r="B686" s="8">
        <f>CHOOSE( CONTROL!$C$32, 19.7361, 19.7359) * CHOOSE(CONTROL!$C$15, $D$11, 100%, $F$11)</f>
        <v>19.7361</v>
      </c>
      <c r="C686" s="8">
        <f>CHOOSE( CONTROL!$C$32, 19.7415, 19.7412) * CHOOSE(CONTROL!$C$15, $D$11, 100%, $F$11)</f>
        <v>19.741499999999998</v>
      </c>
      <c r="D686" s="8">
        <f>CHOOSE( CONTROL!$C$32, 19.7417, 19.7414) * CHOOSE( CONTROL!$C$15, $D$11, 100%, $F$11)</f>
        <v>19.741700000000002</v>
      </c>
      <c r="E686" s="12">
        <f>CHOOSE( CONTROL!$C$32, 19.7411, 19.7408) * CHOOSE( CONTROL!$C$15, $D$11, 100%, $F$11)</f>
        <v>19.741099999999999</v>
      </c>
      <c r="F686" s="4">
        <f>CHOOSE( CONTROL!$C$32, 20.4448, 20.4445) * CHOOSE(CONTROL!$C$15, $D$11, 100%, $F$11)</f>
        <v>20.444800000000001</v>
      </c>
      <c r="G686" s="8">
        <f>CHOOSE( CONTROL!$C$32, 19.513, 19.5128) * CHOOSE( CONTROL!$C$15, $D$11, 100%, $F$11)</f>
        <v>19.513000000000002</v>
      </c>
      <c r="H686" s="4">
        <f>CHOOSE( CONTROL!$C$32, 20.452, 20.4517) * CHOOSE(CONTROL!$C$15, $D$11, 100%, $F$11)</f>
        <v>20.452000000000002</v>
      </c>
      <c r="I686" s="8">
        <f>CHOOSE( CONTROL!$C$32, 19.2379, 19.2376) * CHOOSE(CONTROL!$C$15, $D$11, 100%, $F$11)</f>
        <v>19.2379</v>
      </c>
      <c r="J686" s="4">
        <f>CHOOSE( CONTROL!$C$32, 19.1448, 19.1445) * CHOOSE(CONTROL!$C$15, $D$11, 100%, $F$11)</f>
        <v>19.1448</v>
      </c>
      <c r="K686" s="4"/>
      <c r="L686" s="9">
        <v>31.095300000000002</v>
      </c>
      <c r="M686" s="9">
        <v>12.063700000000001</v>
      </c>
      <c r="N686" s="9">
        <v>4.9444999999999997</v>
      </c>
      <c r="O686" s="9">
        <v>0.37409999999999999</v>
      </c>
      <c r="P686" s="9">
        <v>1.2927</v>
      </c>
      <c r="Q686" s="9">
        <v>19.688099999999999</v>
      </c>
      <c r="R686" s="9"/>
      <c r="S686" s="11"/>
    </row>
    <row r="687" spans="1:19" ht="15.75">
      <c r="A687" s="13">
        <v>62062</v>
      </c>
      <c r="B687" s="8">
        <f>CHOOSE( CONTROL!$C$32, 21.2844, 21.2842) * CHOOSE(CONTROL!$C$15, $D$11, 100%, $F$11)</f>
        <v>21.284400000000002</v>
      </c>
      <c r="C687" s="8">
        <f>CHOOSE( CONTROL!$C$32, 21.2895, 21.2892) * CHOOSE(CONTROL!$C$15, $D$11, 100%, $F$11)</f>
        <v>21.2895</v>
      </c>
      <c r="D687" s="8">
        <f>CHOOSE( CONTROL!$C$32, 21.2574, 21.2571) * CHOOSE( CONTROL!$C$15, $D$11, 100%, $F$11)</f>
        <v>21.257400000000001</v>
      </c>
      <c r="E687" s="12">
        <f>CHOOSE( CONTROL!$C$32, 21.2686, 21.2683) * CHOOSE( CONTROL!$C$15, $D$11, 100%, $F$11)</f>
        <v>21.268599999999999</v>
      </c>
      <c r="F687" s="4">
        <f>CHOOSE( CONTROL!$C$32, 21.9497, 21.9494) * CHOOSE(CONTROL!$C$15, $D$11, 100%, $F$11)</f>
        <v>21.9497</v>
      </c>
      <c r="G687" s="8">
        <f>CHOOSE( CONTROL!$C$32, 21.0325, 21.0323) * CHOOSE( CONTROL!$C$15, $D$11, 100%, $F$11)</f>
        <v>21.032499999999999</v>
      </c>
      <c r="H687" s="4">
        <f>CHOOSE( CONTROL!$C$32, 21.9393, 21.939) * CHOOSE(CONTROL!$C$15, $D$11, 100%, $F$11)</f>
        <v>21.939299999999999</v>
      </c>
      <c r="I687" s="8">
        <f>CHOOSE( CONTROL!$C$32, 20.7925, 20.7922) * CHOOSE(CONTROL!$C$15, $D$11, 100%, $F$11)</f>
        <v>20.7925</v>
      </c>
      <c r="J687" s="4">
        <f>CHOOSE( CONTROL!$C$32, 20.6478, 20.6475) * CHOOSE(CONTROL!$C$15, $D$11, 100%, $F$11)</f>
        <v>20.6478</v>
      </c>
      <c r="K687" s="4"/>
      <c r="L687" s="9">
        <v>28.360600000000002</v>
      </c>
      <c r="M687" s="9">
        <v>11.6745</v>
      </c>
      <c r="N687" s="9">
        <v>4.7850000000000001</v>
      </c>
      <c r="O687" s="9">
        <v>0.36199999999999999</v>
      </c>
      <c r="P687" s="9">
        <v>1.2509999999999999</v>
      </c>
      <c r="Q687" s="9">
        <v>19.053000000000001</v>
      </c>
      <c r="R687" s="9"/>
      <c r="S687" s="11"/>
    </row>
    <row r="688" spans="1:19" ht="15.75">
      <c r="A688" s="13">
        <v>62093</v>
      </c>
      <c r="B688" s="8">
        <f>CHOOSE( CONTROL!$C$32, 21.2457, 21.2455) * CHOOSE(CONTROL!$C$15, $D$11, 100%, $F$11)</f>
        <v>21.245699999999999</v>
      </c>
      <c r="C688" s="8">
        <f>CHOOSE( CONTROL!$C$32, 21.2508, 21.2505) * CHOOSE(CONTROL!$C$15, $D$11, 100%, $F$11)</f>
        <v>21.250800000000002</v>
      </c>
      <c r="D688" s="8">
        <f>CHOOSE( CONTROL!$C$32, 21.2205, 21.2202) * CHOOSE( CONTROL!$C$15, $D$11, 100%, $F$11)</f>
        <v>21.220500000000001</v>
      </c>
      <c r="E688" s="12">
        <f>CHOOSE( CONTROL!$C$32, 21.231, 21.2307) * CHOOSE( CONTROL!$C$15, $D$11, 100%, $F$11)</f>
        <v>21.231000000000002</v>
      </c>
      <c r="F688" s="4">
        <f>CHOOSE( CONTROL!$C$32, 21.911, 21.9107) * CHOOSE(CONTROL!$C$15, $D$11, 100%, $F$11)</f>
        <v>21.911000000000001</v>
      </c>
      <c r="G688" s="8">
        <f>CHOOSE( CONTROL!$C$32, 20.9956, 20.9953) * CHOOSE( CONTROL!$C$15, $D$11, 100%, $F$11)</f>
        <v>20.9956</v>
      </c>
      <c r="H688" s="4">
        <f>CHOOSE( CONTROL!$C$32, 21.9011, 21.9008) * CHOOSE(CONTROL!$C$15, $D$11, 100%, $F$11)</f>
        <v>21.9011</v>
      </c>
      <c r="I688" s="8">
        <f>CHOOSE( CONTROL!$C$32, 20.7606, 20.7604) * CHOOSE(CONTROL!$C$15, $D$11, 100%, $F$11)</f>
        <v>20.7606</v>
      </c>
      <c r="J688" s="4">
        <f>CHOOSE( CONTROL!$C$32, 20.6102, 20.61) * CHOOSE(CONTROL!$C$15, $D$11, 100%, $F$11)</f>
        <v>20.610199999999999</v>
      </c>
      <c r="K688" s="4"/>
      <c r="L688" s="9">
        <v>29.306000000000001</v>
      </c>
      <c r="M688" s="9">
        <v>12.063700000000001</v>
      </c>
      <c r="N688" s="9">
        <v>4.9444999999999997</v>
      </c>
      <c r="O688" s="9">
        <v>0.37409999999999999</v>
      </c>
      <c r="P688" s="9">
        <v>1.2927</v>
      </c>
      <c r="Q688" s="9">
        <v>19.688099999999999</v>
      </c>
      <c r="R688" s="9"/>
      <c r="S688" s="11"/>
    </row>
    <row r="689" spans="1:19" ht="15.75">
      <c r="A689" s="13">
        <v>62124</v>
      </c>
      <c r="B689" s="8">
        <f>CHOOSE( CONTROL!$C$32, 21.8721, 21.8719) * CHOOSE(CONTROL!$C$15, $D$11, 100%, $F$11)</f>
        <v>21.8721</v>
      </c>
      <c r="C689" s="8">
        <f>CHOOSE( CONTROL!$C$32, 21.8772, 21.8769) * CHOOSE(CONTROL!$C$15, $D$11, 100%, $F$11)</f>
        <v>21.877199999999998</v>
      </c>
      <c r="D689" s="8">
        <f>CHOOSE( CONTROL!$C$32, 21.8748, 21.8746) * CHOOSE( CONTROL!$C$15, $D$11, 100%, $F$11)</f>
        <v>21.8748</v>
      </c>
      <c r="E689" s="12">
        <f>CHOOSE( CONTROL!$C$32, 21.8751, 21.8749) * CHOOSE( CONTROL!$C$15, $D$11, 100%, $F$11)</f>
        <v>21.8751</v>
      </c>
      <c r="F689" s="4">
        <f>CHOOSE( CONTROL!$C$32, 22.5374, 22.5371) * CHOOSE(CONTROL!$C$15, $D$11, 100%, $F$11)</f>
        <v>22.537400000000002</v>
      </c>
      <c r="G689" s="8">
        <f>CHOOSE( CONTROL!$C$32, 21.6308, 21.6305) * CHOOSE( CONTROL!$C$15, $D$11, 100%, $F$11)</f>
        <v>21.630800000000001</v>
      </c>
      <c r="H689" s="4">
        <f>CHOOSE( CONTROL!$C$32, 22.5201, 22.5199) * CHOOSE(CONTROL!$C$15, $D$11, 100%, $F$11)</f>
        <v>22.520099999999999</v>
      </c>
      <c r="I689" s="8">
        <f>CHOOSE( CONTROL!$C$32, 21.3424, 21.3421) * CHOOSE(CONTROL!$C$15, $D$11, 100%, $F$11)</f>
        <v>21.342400000000001</v>
      </c>
      <c r="J689" s="4">
        <f>CHOOSE( CONTROL!$C$32, 21.2182, 21.2179) * CHOOSE(CONTROL!$C$15, $D$11, 100%, $F$11)</f>
        <v>21.2182</v>
      </c>
      <c r="K689" s="4"/>
      <c r="L689" s="9">
        <v>29.306000000000001</v>
      </c>
      <c r="M689" s="9">
        <v>12.063700000000001</v>
      </c>
      <c r="N689" s="9">
        <v>4.9444999999999997</v>
      </c>
      <c r="O689" s="9">
        <v>0.37409999999999999</v>
      </c>
      <c r="P689" s="9">
        <v>1.2927</v>
      </c>
      <c r="Q689" s="9">
        <v>19.688099999999999</v>
      </c>
      <c r="R689" s="9"/>
      <c r="S689" s="11"/>
    </row>
    <row r="690" spans="1:19" ht="15.75">
      <c r="A690" s="13">
        <v>62152</v>
      </c>
      <c r="B690" s="8">
        <f>CHOOSE( CONTROL!$C$32, 20.4587, 20.4585) * CHOOSE(CONTROL!$C$15, $D$11, 100%, $F$11)</f>
        <v>20.4587</v>
      </c>
      <c r="C690" s="8">
        <f>CHOOSE( CONTROL!$C$32, 20.4638, 20.4635) * CHOOSE(CONTROL!$C$15, $D$11, 100%, $F$11)</f>
        <v>20.463799999999999</v>
      </c>
      <c r="D690" s="8">
        <f>CHOOSE( CONTROL!$C$32, 20.4438, 20.4435) * CHOOSE( CONTROL!$C$15, $D$11, 100%, $F$11)</f>
        <v>20.4438</v>
      </c>
      <c r="E690" s="12">
        <f>CHOOSE( CONTROL!$C$32, 20.4506, 20.4503) * CHOOSE( CONTROL!$C$15, $D$11, 100%, $F$11)</f>
        <v>20.450600000000001</v>
      </c>
      <c r="F690" s="4">
        <f>CHOOSE( CONTROL!$C$32, 21.124, 21.1237) * CHOOSE(CONTROL!$C$15, $D$11, 100%, $F$11)</f>
        <v>21.123999999999999</v>
      </c>
      <c r="G690" s="8">
        <f>CHOOSE( CONTROL!$C$32, 20.2228, 20.2226) * CHOOSE( CONTROL!$C$15, $D$11, 100%, $F$11)</f>
        <v>20.222799999999999</v>
      </c>
      <c r="H690" s="4">
        <f>CHOOSE( CONTROL!$C$32, 21.1233, 21.123) * CHOOSE(CONTROL!$C$15, $D$11, 100%, $F$11)</f>
        <v>21.1233</v>
      </c>
      <c r="I690" s="8">
        <f>CHOOSE( CONTROL!$C$32, 19.9704, 19.9701) * CHOOSE(CONTROL!$C$15, $D$11, 100%, $F$11)</f>
        <v>19.970400000000001</v>
      </c>
      <c r="J690" s="4">
        <f>CHOOSE( CONTROL!$C$32, 19.8465, 19.8462) * CHOOSE(CONTROL!$C$15, $D$11, 100%, $F$11)</f>
        <v>19.846499999999999</v>
      </c>
      <c r="K690" s="4"/>
      <c r="L690" s="9">
        <v>26.469899999999999</v>
      </c>
      <c r="M690" s="9">
        <v>10.8962</v>
      </c>
      <c r="N690" s="9">
        <v>4.4660000000000002</v>
      </c>
      <c r="O690" s="9">
        <v>0.33789999999999998</v>
      </c>
      <c r="P690" s="9">
        <v>1.1676</v>
      </c>
      <c r="Q690" s="9">
        <v>17.782800000000002</v>
      </c>
      <c r="R690" s="9"/>
      <c r="S690" s="11"/>
    </row>
    <row r="691" spans="1:19" ht="15.75">
      <c r="A691" s="13">
        <v>62183</v>
      </c>
      <c r="B691" s="8">
        <f>CHOOSE( CONTROL!$C$32, 20.0234, 20.0231) * CHOOSE(CONTROL!$C$15, $D$11, 100%, $F$11)</f>
        <v>20.023399999999999</v>
      </c>
      <c r="C691" s="8">
        <f>CHOOSE( CONTROL!$C$32, 20.0285, 20.0282) * CHOOSE(CONTROL!$C$15, $D$11, 100%, $F$11)</f>
        <v>20.028500000000001</v>
      </c>
      <c r="D691" s="8">
        <f>CHOOSE( CONTROL!$C$32, 19.9985, 19.9982) * CHOOSE( CONTROL!$C$15, $D$11, 100%, $F$11)</f>
        <v>19.9985</v>
      </c>
      <c r="E691" s="12">
        <f>CHOOSE( CONTROL!$C$32, 20.0089, 20.0086) * CHOOSE( CONTROL!$C$15, $D$11, 100%, $F$11)</f>
        <v>20.008900000000001</v>
      </c>
      <c r="F691" s="4">
        <f>CHOOSE( CONTROL!$C$32, 20.6887, 20.6884) * CHOOSE(CONTROL!$C$15, $D$11, 100%, $F$11)</f>
        <v>20.688700000000001</v>
      </c>
      <c r="G691" s="8">
        <f>CHOOSE( CONTROL!$C$32, 19.7794, 19.7791) * CHOOSE( CONTROL!$C$15, $D$11, 100%, $F$11)</f>
        <v>19.779399999999999</v>
      </c>
      <c r="H691" s="4">
        <f>CHOOSE( CONTROL!$C$32, 20.6931, 20.6928) * CHOOSE(CONTROL!$C$15, $D$11, 100%, $F$11)</f>
        <v>20.693100000000001</v>
      </c>
      <c r="I691" s="8">
        <f>CHOOSE( CONTROL!$C$32, 19.5125, 19.5123) * CHOOSE(CONTROL!$C$15, $D$11, 100%, $F$11)</f>
        <v>19.512499999999999</v>
      </c>
      <c r="J691" s="4">
        <f>CHOOSE( CONTROL!$C$32, 19.424, 19.4237) * CHOOSE(CONTROL!$C$15, $D$11, 100%, $F$11)</f>
        <v>19.423999999999999</v>
      </c>
      <c r="K691" s="4"/>
      <c r="L691" s="9">
        <v>29.306000000000001</v>
      </c>
      <c r="M691" s="9">
        <v>12.063700000000001</v>
      </c>
      <c r="N691" s="9">
        <v>4.9444999999999997</v>
      </c>
      <c r="O691" s="9">
        <v>0.37409999999999999</v>
      </c>
      <c r="P691" s="9">
        <v>1.2927</v>
      </c>
      <c r="Q691" s="9">
        <v>19.688099999999999</v>
      </c>
      <c r="R691" s="9"/>
      <c r="S691" s="11"/>
    </row>
    <row r="692" spans="1:19" ht="15.75">
      <c r="A692" s="13">
        <v>62213</v>
      </c>
      <c r="B692" s="8">
        <f>CHOOSE( CONTROL!$C$32, 20.3284, 20.3281) * CHOOSE(CONTROL!$C$15, $D$11, 100%, $F$11)</f>
        <v>20.328399999999998</v>
      </c>
      <c r="C692" s="8">
        <f>CHOOSE( CONTROL!$C$32, 20.3329, 20.3326) * CHOOSE(CONTROL!$C$15, $D$11, 100%, $F$11)</f>
        <v>20.332899999999999</v>
      </c>
      <c r="D692" s="8">
        <f>CHOOSE( CONTROL!$C$32, 20.3324, 20.3321) * CHOOSE( CONTROL!$C$15, $D$11, 100%, $F$11)</f>
        <v>20.3324</v>
      </c>
      <c r="E692" s="12">
        <f>CHOOSE( CONTROL!$C$32, 20.3321, 20.3318) * CHOOSE( CONTROL!$C$15, $D$11, 100%, $F$11)</f>
        <v>20.332100000000001</v>
      </c>
      <c r="F692" s="4">
        <f>CHOOSE( CONTROL!$C$32, 21.0367, 21.0364) * CHOOSE(CONTROL!$C$15, $D$11, 100%, $F$11)</f>
        <v>21.0367</v>
      </c>
      <c r="G692" s="8">
        <f>CHOOSE( CONTROL!$C$32, 20.097, 20.0967) * CHOOSE( CONTROL!$C$15, $D$11, 100%, $F$11)</f>
        <v>20.097000000000001</v>
      </c>
      <c r="H692" s="4">
        <f>CHOOSE( CONTROL!$C$32, 21.037, 21.0367) * CHOOSE(CONTROL!$C$15, $D$11, 100%, $F$11)</f>
        <v>21.036999999999999</v>
      </c>
      <c r="I692" s="8">
        <f>CHOOSE( CONTROL!$C$32, 19.8084, 19.8082) * CHOOSE(CONTROL!$C$15, $D$11, 100%, $F$11)</f>
        <v>19.808399999999999</v>
      </c>
      <c r="J692" s="4">
        <f>CHOOSE( CONTROL!$C$32, 19.7192, 19.7189) * CHOOSE(CONTROL!$C$15, $D$11, 100%, $F$11)</f>
        <v>19.719200000000001</v>
      </c>
      <c r="K692" s="4"/>
      <c r="L692" s="9">
        <v>30.092199999999998</v>
      </c>
      <c r="M692" s="9">
        <v>11.6745</v>
      </c>
      <c r="N692" s="9">
        <v>4.7850000000000001</v>
      </c>
      <c r="O692" s="9">
        <v>0.36199999999999999</v>
      </c>
      <c r="P692" s="9">
        <v>1.2509999999999999</v>
      </c>
      <c r="Q692" s="9">
        <v>19.053000000000001</v>
      </c>
      <c r="R692" s="9"/>
      <c r="S692" s="11"/>
    </row>
    <row r="693" spans="1:19" ht="15.75">
      <c r="A693" s="13">
        <v>62244</v>
      </c>
      <c r="B693" s="8">
        <f>CHOOSE( CONTROL!$C$32, 20.8713, 20.8709) * CHOOSE(CONTROL!$C$15, $D$11, 100%, $F$11)</f>
        <v>20.871300000000002</v>
      </c>
      <c r="C693" s="8">
        <f>CHOOSE( CONTROL!$C$32, 20.8793, 20.8788) * CHOOSE(CONTROL!$C$15, $D$11, 100%, $F$11)</f>
        <v>20.879300000000001</v>
      </c>
      <c r="D693" s="8">
        <f>CHOOSE( CONTROL!$C$32, 20.8736, 20.8731) * CHOOSE( CONTROL!$C$15, $D$11, 100%, $F$11)</f>
        <v>20.8736</v>
      </c>
      <c r="E693" s="12">
        <f>CHOOSE( CONTROL!$C$32, 20.8744, 20.874) * CHOOSE( CONTROL!$C$15, $D$11, 100%, $F$11)</f>
        <v>20.874400000000001</v>
      </c>
      <c r="F693" s="4">
        <f>CHOOSE( CONTROL!$C$32, 21.5783, 21.5778) * CHOOSE(CONTROL!$C$15, $D$11, 100%, $F$11)</f>
        <v>21.578299999999999</v>
      </c>
      <c r="G693" s="8">
        <f>CHOOSE( CONTROL!$C$32, 20.6326, 20.6321) * CHOOSE( CONTROL!$C$15, $D$11, 100%, $F$11)</f>
        <v>20.6326</v>
      </c>
      <c r="H693" s="4">
        <f>CHOOSE( CONTROL!$C$32, 21.5722, 21.5718) * CHOOSE(CONTROL!$C$15, $D$11, 100%, $F$11)</f>
        <v>21.572199999999999</v>
      </c>
      <c r="I693" s="8">
        <f>CHOOSE( CONTROL!$C$32, 20.3349, 20.3344) * CHOOSE(CONTROL!$C$15, $D$11, 100%, $F$11)</f>
        <v>20.334900000000001</v>
      </c>
      <c r="J693" s="4">
        <f>CHOOSE( CONTROL!$C$32, 20.2448, 20.2444) * CHOOSE(CONTROL!$C$15, $D$11, 100%, $F$11)</f>
        <v>20.244800000000001</v>
      </c>
      <c r="K693" s="4"/>
      <c r="L693" s="9">
        <v>30.7165</v>
      </c>
      <c r="M693" s="9">
        <v>12.063700000000001</v>
      </c>
      <c r="N693" s="9">
        <v>4.9444999999999997</v>
      </c>
      <c r="O693" s="9">
        <v>0.37409999999999999</v>
      </c>
      <c r="P693" s="9">
        <v>1.2927</v>
      </c>
      <c r="Q693" s="9">
        <v>19.688099999999999</v>
      </c>
      <c r="R693" s="9"/>
      <c r="S693" s="11"/>
    </row>
    <row r="694" spans="1:19" ht="15.75">
      <c r="A694" s="13">
        <v>62274</v>
      </c>
      <c r="B694" s="8">
        <f>CHOOSE( CONTROL!$C$32, 20.5359, 20.5355) * CHOOSE(CONTROL!$C$15, $D$11, 100%, $F$11)</f>
        <v>20.535900000000002</v>
      </c>
      <c r="C694" s="8">
        <f>CHOOSE( CONTROL!$C$32, 20.5439, 20.5435) * CHOOSE(CONTROL!$C$15, $D$11, 100%, $F$11)</f>
        <v>20.543900000000001</v>
      </c>
      <c r="D694" s="8">
        <f>CHOOSE( CONTROL!$C$32, 20.5386, 20.5382) * CHOOSE( CONTROL!$C$15, $D$11, 100%, $F$11)</f>
        <v>20.538599999999999</v>
      </c>
      <c r="E694" s="12">
        <f>CHOOSE( CONTROL!$C$32, 20.5393, 20.5389) * CHOOSE( CONTROL!$C$15, $D$11, 100%, $F$11)</f>
        <v>20.539300000000001</v>
      </c>
      <c r="F694" s="4">
        <f>CHOOSE( CONTROL!$C$32, 21.2429, 21.2424) * CHOOSE(CONTROL!$C$15, $D$11, 100%, $F$11)</f>
        <v>21.242899999999999</v>
      </c>
      <c r="G694" s="8">
        <f>CHOOSE( CONTROL!$C$32, 20.3015, 20.301) * CHOOSE( CONTROL!$C$15, $D$11, 100%, $F$11)</f>
        <v>20.301500000000001</v>
      </c>
      <c r="H694" s="4">
        <f>CHOOSE( CONTROL!$C$32, 21.2408, 21.2403) * CHOOSE(CONTROL!$C$15, $D$11, 100%, $F$11)</f>
        <v>21.2408</v>
      </c>
      <c r="I694" s="8">
        <f>CHOOSE( CONTROL!$C$32, 20.0106, 20.0102) * CHOOSE(CONTROL!$C$15, $D$11, 100%, $F$11)</f>
        <v>20.0106</v>
      </c>
      <c r="J694" s="4">
        <f>CHOOSE( CONTROL!$C$32, 19.9193, 19.9189) * CHOOSE(CONTROL!$C$15, $D$11, 100%, $F$11)</f>
        <v>19.9193</v>
      </c>
      <c r="K694" s="4"/>
      <c r="L694" s="9">
        <v>29.7257</v>
      </c>
      <c r="M694" s="9">
        <v>11.6745</v>
      </c>
      <c r="N694" s="9">
        <v>4.7850000000000001</v>
      </c>
      <c r="O694" s="9">
        <v>0.36199999999999999</v>
      </c>
      <c r="P694" s="9">
        <v>1.2509999999999999</v>
      </c>
      <c r="Q694" s="9">
        <v>19.053000000000001</v>
      </c>
      <c r="R694" s="9"/>
      <c r="S694" s="11"/>
    </row>
    <row r="695" spans="1:19" ht="15.75">
      <c r="A695" s="13">
        <v>62305</v>
      </c>
      <c r="B695" s="8">
        <f>CHOOSE( CONTROL!$C$32, 21.4191, 21.4187) * CHOOSE(CONTROL!$C$15, $D$11, 100%, $F$11)</f>
        <v>21.4191</v>
      </c>
      <c r="C695" s="8">
        <f>CHOOSE( CONTROL!$C$32, 21.4271, 21.4266) * CHOOSE(CONTROL!$C$15, $D$11, 100%, $F$11)</f>
        <v>21.427099999999999</v>
      </c>
      <c r="D695" s="8">
        <f>CHOOSE( CONTROL!$C$32, 21.4222, 21.4218) * CHOOSE( CONTROL!$C$15, $D$11, 100%, $F$11)</f>
        <v>21.4222</v>
      </c>
      <c r="E695" s="12">
        <f>CHOOSE( CONTROL!$C$32, 21.4228, 21.4223) * CHOOSE( CONTROL!$C$15, $D$11, 100%, $F$11)</f>
        <v>21.422799999999999</v>
      </c>
      <c r="F695" s="4">
        <f>CHOOSE( CONTROL!$C$32, 22.1261, 22.1256) * CHOOSE(CONTROL!$C$15, $D$11, 100%, $F$11)</f>
        <v>22.126100000000001</v>
      </c>
      <c r="G695" s="8">
        <f>CHOOSE( CONTROL!$C$32, 21.1747, 21.1742) * CHOOSE( CONTROL!$C$15, $D$11, 100%, $F$11)</f>
        <v>21.174700000000001</v>
      </c>
      <c r="H695" s="4">
        <f>CHOOSE( CONTROL!$C$32, 22.1136, 22.1131) * CHOOSE(CONTROL!$C$15, $D$11, 100%, $F$11)</f>
        <v>22.113600000000002</v>
      </c>
      <c r="I695" s="8">
        <f>CHOOSE( CONTROL!$C$32, 20.8697, 20.8693) * CHOOSE(CONTROL!$C$15, $D$11, 100%, $F$11)</f>
        <v>20.869700000000002</v>
      </c>
      <c r="J695" s="4">
        <f>CHOOSE( CONTROL!$C$32, 20.7764, 20.776) * CHOOSE(CONTROL!$C$15, $D$11, 100%, $F$11)</f>
        <v>20.776399999999999</v>
      </c>
      <c r="K695" s="4"/>
      <c r="L695" s="9">
        <v>30.7165</v>
      </c>
      <c r="M695" s="9">
        <v>12.063700000000001</v>
      </c>
      <c r="N695" s="9">
        <v>4.9444999999999997</v>
      </c>
      <c r="O695" s="9">
        <v>0.37409999999999999</v>
      </c>
      <c r="P695" s="9">
        <v>1.2927</v>
      </c>
      <c r="Q695" s="9">
        <v>19.688099999999999</v>
      </c>
      <c r="R695" s="9"/>
      <c r="S695" s="11"/>
    </row>
    <row r="696" spans="1:19" ht="15.75">
      <c r="A696" s="13">
        <v>62336</v>
      </c>
      <c r="B696" s="8">
        <f>CHOOSE( CONTROL!$C$32, 19.7666, 19.7662) * CHOOSE(CONTROL!$C$15, $D$11, 100%, $F$11)</f>
        <v>19.7666</v>
      </c>
      <c r="C696" s="8">
        <f>CHOOSE( CONTROL!$C$32, 19.7746, 19.7741) * CHOOSE(CONTROL!$C$15, $D$11, 100%, $F$11)</f>
        <v>19.7746</v>
      </c>
      <c r="D696" s="8">
        <f>CHOOSE( CONTROL!$C$32, 19.7699, 19.7694) * CHOOSE( CONTROL!$C$15, $D$11, 100%, $F$11)</f>
        <v>19.7699</v>
      </c>
      <c r="E696" s="12">
        <f>CHOOSE( CONTROL!$C$32, 19.7704, 19.7699) * CHOOSE( CONTROL!$C$15, $D$11, 100%, $F$11)</f>
        <v>19.770399999999999</v>
      </c>
      <c r="F696" s="4">
        <f>CHOOSE( CONTROL!$C$32, 20.4736, 20.4731) * CHOOSE(CONTROL!$C$15, $D$11, 100%, $F$11)</f>
        <v>20.473600000000001</v>
      </c>
      <c r="G696" s="8">
        <f>CHOOSE( CONTROL!$C$32, 19.5416, 19.5412) * CHOOSE( CONTROL!$C$15, $D$11, 100%, $F$11)</f>
        <v>19.541599999999999</v>
      </c>
      <c r="H696" s="4">
        <f>CHOOSE( CONTROL!$C$32, 20.4804, 20.48) * CHOOSE(CONTROL!$C$15, $D$11, 100%, $F$11)</f>
        <v>20.480399999999999</v>
      </c>
      <c r="I696" s="8">
        <f>CHOOSE( CONTROL!$C$32, 19.2656, 19.2652) * CHOOSE(CONTROL!$C$15, $D$11, 100%, $F$11)</f>
        <v>19.265599999999999</v>
      </c>
      <c r="J696" s="4">
        <f>CHOOSE( CONTROL!$C$32, 19.1727, 19.1722) * CHOOSE(CONTROL!$C$15, $D$11, 100%, $F$11)</f>
        <v>19.172699999999999</v>
      </c>
      <c r="K696" s="4"/>
      <c r="L696" s="9">
        <v>30.7165</v>
      </c>
      <c r="M696" s="9">
        <v>12.063700000000001</v>
      </c>
      <c r="N696" s="9">
        <v>4.9444999999999997</v>
      </c>
      <c r="O696" s="9">
        <v>0.37409999999999999</v>
      </c>
      <c r="P696" s="9">
        <v>1.2927</v>
      </c>
      <c r="Q696" s="9">
        <v>19.688099999999999</v>
      </c>
      <c r="R696" s="9"/>
      <c r="S696" s="11"/>
    </row>
    <row r="697" spans="1:19" ht="15.75">
      <c r="A697" s="13">
        <v>62366</v>
      </c>
      <c r="B697" s="8">
        <f>CHOOSE( CONTROL!$C$32, 19.3528, 19.3523) * CHOOSE(CONTROL!$C$15, $D$11, 100%, $F$11)</f>
        <v>19.352799999999998</v>
      </c>
      <c r="C697" s="8">
        <f>CHOOSE( CONTROL!$C$32, 19.3608, 19.3603) * CHOOSE(CONTROL!$C$15, $D$11, 100%, $F$11)</f>
        <v>19.360800000000001</v>
      </c>
      <c r="D697" s="8">
        <f>CHOOSE( CONTROL!$C$32, 19.3559, 19.3555) * CHOOSE( CONTROL!$C$15, $D$11, 100%, $F$11)</f>
        <v>19.355899999999998</v>
      </c>
      <c r="E697" s="12">
        <f>CHOOSE( CONTROL!$C$32, 19.3565, 19.356) * CHOOSE( CONTROL!$C$15, $D$11, 100%, $F$11)</f>
        <v>19.3565</v>
      </c>
      <c r="F697" s="4">
        <f>CHOOSE( CONTROL!$C$32, 20.0597, 20.0593) * CHOOSE(CONTROL!$C$15, $D$11, 100%, $F$11)</f>
        <v>20.059699999999999</v>
      </c>
      <c r="G697" s="8">
        <f>CHOOSE( CONTROL!$C$32, 19.1325, 19.1321) * CHOOSE( CONTROL!$C$15, $D$11, 100%, $F$11)</f>
        <v>19.1325</v>
      </c>
      <c r="H697" s="4">
        <f>CHOOSE( CONTROL!$C$32, 20.0715, 20.071) * CHOOSE(CONTROL!$C$15, $D$11, 100%, $F$11)</f>
        <v>20.0715</v>
      </c>
      <c r="I697" s="8">
        <f>CHOOSE( CONTROL!$C$32, 18.8633, 18.8629) * CHOOSE(CONTROL!$C$15, $D$11, 100%, $F$11)</f>
        <v>18.863299999999999</v>
      </c>
      <c r="J697" s="4">
        <f>CHOOSE( CONTROL!$C$32, 18.7711, 18.7706) * CHOOSE(CONTROL!$C$15, $D$11, 100%, $F$11)</f>
        <v>18.771100000000001</v>
      </c>
      <c r="K697" s="4"/>
      <c r="L697" s="9">
        <v>29.7257</v>
      </c>
      <c r="M697" s="9">
        <v>11.6745</v>
      </c>
      <c r="N697" s="9">
        <v>4.7850000000000001</v>
      </c>
      <c r="O697" s="9">
        <v>0.36199999999999999</v>
      </c>
      <c r="P697" s="9">
        <v>1.2509999999999999</v>
      </c>
      <c r="Q697" s="9">
        <v>19.053000000000001</v>
      </c>
      <c r="R697" s="9"/>
      <c r="S697" s="11"/>
    </row>
    <row r="698" spans="1:19" ht="15.75">
      <c r="A698" s="13">
        <v>62397</v>
      </c>
      <c r="B698" s="8">
        <f>CHOOSE( CONTROL!$C$32, 20.2101, 20.2098) * CHOOSE(CONTROL!$C$15, $D$11, 100%, $F$11)</f>
        <v>20.210100000000001</v>
      </c>
      <c r="C698" s="8">
        <f>CHOOSE( CONTROL!$C$32, 20.2154, 20.2152) * CHOOSE(CONTROL!$C$15, $D$11, 100%, $F$11)</f>
        <v>20.215399999999999</v>
      </c>
      <c r="D698" s="8">
        <f>CHOOSE( CONTROL!$C$32, 20.2156, 20.2154) * CHOOSE( CONTROL!$C$15, $D$11, 100%, $F$11)</f>
        <v>20.215599999999998</v>
      </c>
      <c r="E698" s="12">
        <f>CHOOSE( CONTROL!$C$32, 20.215, 20.2148) * CHOOSE( CONTROL!$C$15, $D$11, 100%, $F$11)</f>
        <v>20.215</v>
      </c>
      <c r="F698" s="4">
        <f>CHOOSE( CONTROL!$C$32, 20.9188, 20.9185) * CHOOSE(CONTROL!$C$15, $D$11, 100%, $F$11)</f>
        <v>20.918800000000001</v>
      </c>
      <c r="G698" s="8">
        <f>CHOOSE( CONTROL!$C$32, 19.9814, 19.9812) * CHOOSE( CONTROL!$C$15, $D$11, 100%, $F$11)</f>
        <v>19.981400000000001</v>
      </c>
      <c r="H698" s="4">
        <f>CHOOSE( CONTROL!$C$32, 20.9204, 20.9202) * CHOOSE(CONTROL!$C$15, $D$11, 100%, $F$11)</f>
        <v>20.920400000000001</v>
      </c>
      <c r="I698" s="8">
        <f>CHOOSE( CONTROL!$C$32, 19.6981, 19.6978) * CHOOSE(CONTROL!$C$15, $D$11, 100%, $F$11)</f>
        <v>19.6981</v>
      </c>
      <c r="J698" s="4">
        <f>CHOOSE( CONTROL!$C$32, 19.6048, 19.6045) * CHOOSE(CONTROL!$C$15, $D$11, 100%, $F$11)</f>
        <v>19.604800000000001</v>
      </c>
      <c r="K698" s="4"/>
      <c r="L698" s="9">
        <v>31.095300000000002</v>
      </c>
      <c r="M698" s="9">
        <v>12.063700000000001</v>
      </c>
      <c r="N698" s="9">
        <v>4.9444999999999997</v>
      </c>
      <c r="O698" s="9">
        <v>0.37409999999999999</v>
      </c>
      <c r="P698" s="9">
        <v>1.2927</v>
      </c>
      <c r="Q698" s="9">
        <v>19.688099999999999</v>
      </c>
      <c r="R698" s="9"/>
      <c r="S698" s="11"/>
    </row>
    <row r="699" spans="1:19" ht="15.75">
      <c r="A699" s="13">
        <v>62427</v>
      </c>
      <c r="B699" s="8">
        <f>CHOOSE( CONTROL!$C$32, 21.7956, 21.7953) * CHOOSE(CONTROL!$C$15, $D$11, 100%, $F$11)</f>
        <v>21.7956</v>
      </c>
      <c r="C699" s="8">
        <f>CHOOSE( CONTROL!$C$32, 21.8007, 21.8004) * CHOOSE(CONTROL!$C$15, $D$11, 100%, $F$11)</f>
        <v>21.800699999999999</v>
      </c>
      <c r="D699" s="8">
        <f>CHOOSE( CONTROL!$C$32, 21.7686, 21.7683) * CHOOSE( CONTROL!$C$15, $D$11, 100%, $F$11)</f>
        <v>21.768599999999999</v>
      </c>
      <c r="E699" s="12">
        <f>CHOOSE( CONTROL!$C$32, 21.7798, 21.7795) * CHOOSE( CONTROL!$C$15, $D$11, 100%, $F$11)</f>
        <v>21.779800000000002</v>
      </c>
      <c r="F699" s="4">
        <f>CHOOSE( CONTROL!$C$32, 22.4609, 22.4606) * CHOOSE(CONTROL!$C$15, $D$11, 100%, $F$11)</f>
        <v>22.460899999999999</v>
      </c>
      <c r="G699" s="8">
        <f>CHOOSE( CONTROL!$C$32, 21.5377, 21.5375) * CHOOSE( CONTROL!$C$15, $D$11, 100%, $F$11)</f>
        <v>21.537700000000001</v>
      </c>
      <c r="H699" s="4">
        <f>CHOOSE( CONTROL!$C$32, 22.4445, 22.4442) * CHOOSE(CONTROL!$C$15, $D$11, 100%, $F$11)</f>
        <v>22.444500000000001</v>
      </c>
      <c r="I699" s="8">
        <f>CHOOSE( CONTROL!$C$32, 21.2888, 21.2886) * CHOOSE(CONTROL!$C$15, $D$11, 100%, $F$11)</f>
        <v>21.288799999999998</v>
      </c>
      <c r="J699" s="4">
        <f>CHOOSE( CONTROL!$C$32, 21.1439, 21.1436) * CHOOSE(CONTROL!$C$15, $D$11, 100%, $F$11)</f>
        <v>21.143899999999999</v>
      </c>
      <c r="K699" s="4"/>
      <c r="L699" s="9">
        <v>28.360600000000002</v>
      </c>
      <c r="M699" s="9">
        <v>11.6745</v>
      </c>
      <c r="N699" s="9">
        <v>4.7850000000000001</v>
      </c>
      <c r="O699" s="9">
        <v>0.36199999999999999</v>
      </c>
      <c r="P699" s="9">
        <v>1.2509999999999999</v>
      </c>
      <c r="Q699" s="9">
        <v>19.053000000000001</v>
      </c>
      <c r="R699" s="9"/>
      <c r="S699" s="11"/>
    </row>
    <row r="700" spans="1:19" ht="15.75">
      <c r="A700" s="13">
        <v>62458</v>
      </c>
      <c r="B700" s="8">
        <f>CHOOSE( CONTROL!$C$32, 21.756, 21.7557) * CHOOSE(CONTROL!$C$15, $D$11, 100%, $F$11)</f>
        <v>21.756</v>
      </c>
      <c r="C700" s="8">
        <f>CHOOSE( CONTROL!$C$32, 21.7611, 21.7608) * CHOOSE(CONTROL!$C$15, $D$11, 100%, $F$11)</f>
        <v>21.761099999999999</v>
      </c>
      <c r="D700" s="8">
        <f>CHOOSE( CONTROL!$C$32, 21.7308, 21.7305) * CHOOSE( CONTROL!$C$15, $D$11, 100%, $F$11)</f>
        <v>21.730799999999999</v>
      </c>
      <c r="E700" s="12">
        <f>CHOOSE( CONTROL!$C$32, 21.7413, 21.741) * CHOOSE( CONTROL!$C$15, $D$11, 100%, $F$11)</f>
        <v>21.741299999999999</v>
      </c>
      <c r="F700" s="4">
        <f>CHOOSE( CONTROL!$C$32, 22.4213, 22.421) * CHOOSE(CONTROL!$C$15, $D$11, 100%, $F$11)</f>
        <v>22.421299999999999</v>
      </c>
      <c r="G700" s="8">
        <f>CHOOSE( CONTROL!$C$32, 21.4999, 21.4996) * CHOOSE( CONTROL!$C$15, $D$11, 100%, $F$11)</f>
        <v>21.4999</v>
      </c>
      <c r="H700" s="4">
        <f>CHOOSE( CONTROL!$C$32, 22.4053, 22.4051) * CHOOSE(CONTROL!$C$15, $D$11, 100%, $F$11)</f>
        <v>22.4053</v>
      </c>
      <c r="I700" s="8">
        <f>CHOOSE( CONTROL!$C$32, 21.2561, 21.2558) * CHOOSE(CONTROL!$C$15, $D$11, 100%, $F$11)</f>
        <v>21.2561</v>
      </c>
      <c r="J700" s="4">
        <f>CHOOSE( CONTROL!$C$32, 21.1054, 21.1052) * CHOOSE(CONTROL!$C$15, $D$11, 100%, $F$11)</f>
        <v>21.105399999999999</v>
      </c>
      <c r="K700" s="4"/>
      <c r="L700" s="9">
        <v>29.306000000000001</v>
      </c>
      <c r="M700" s="9">
        <v>12.063700000000001</v>
      </c>
      <c r="N700" s="9">
        <v>4.9444999999999997</v>
      </c>
      <c r="O700" s="9">
        <v>0.37409999999999999</v>
      </c>
      <c r="P700" s="9">
        <v>1.2927</v>
      </c>
      <c r="Q700" s="9">
        <v>19.688099999999999</v>
      </c>
      <c r="R700" s="9"/>
      <c r="S700" s="11"/>
    </row>
    <row r="701" spans="1:19" ht="15.75">
      <c r="A701" s="13">
        <v>62489</v>
      </c>
      <c r="B701" s="8">
        <f>CHOOSE( CONTROL!$C$32, 22.3974, 22.3972) * CHOOSE(CONTROL!$C$15, $D$11, 100%, $F$11)</f>
        <v>22.397400000000001</v>
      </c>
      <c r="C701" s="8">
        <f>CHOOSE( CONTROL!$C$32, 22.4025, 22.4022) * CHOOSE(CONTROL!$C$15, $D$11, 100%, $F$11)</f>
        <v>22.4025</v>
      </c>
      <c r="D701" s="8">
        <f>CHOOSE( CONTROL!$C$32, 22.4002, 22.3999) * CHOOSE( CONTROL!$C$15, $D$11, 100%, $F$11)</f>
        <v>22.400200000000002</v>
      </c>
      <c r="E701" s="12">
        <f>CHOOSE( CONTROL!$C$32, 22.4005, 22.4002) * CHOOSE( CONTROL!$C$15, $D$11, 100%, $F$11)</f>
        <v>22.400500000000001</v>
      </c>
      <c r="F701" s="4">
        <f>CHOOSE( CONTROL!$C$32, 23.0627, 23.0625) * CHOOSE(CONTROL!$C$15, $D$11, 100%, $F$11)</f>
        <v>23.0627</v>
      </c>
      <c r="G701" s="8">
        <f>CHOOSE( CONTROL!$C$32, 22.15, 22.1497) * CHOOSE( CONTROL!$C$15, $D$11, 100%, $F$11)</f>
        <v>22.15</v>
      </c>
      <c r="H701" s="4">
        <f>CHOOSE( CONTROL!$C$32, 23.0393, 23.039) * CHOOSE(CONTROL!$C$15, $D$11, 100%, $F$11)</f>
        <v>23.039300000000001</v>
      </c>
      <c r="I701" s="8">
        <f>CHOOSE( CONTROL!$C$32, 21.8524, 21.8522) * CHOOSE(CONTROL!$C$15, $D$11, 100%, $F$11)</f>
        <v>21.852399999999999</v>
      </c>
      <c r="J701" s="4">
        <f>CHOOSE( CONTROL!$C$32, 21.728, 21.7277) * CHOOSE(CONTROL!$C$15, $D$11, 100%, $F$11)</f>
        <v>21.728000000000002</v>
      </c>
      <c r="K701" s="4"/>
      <c r="L701" s="9">
        <v>29.306000000000001</v>
      </c>
      <c r="M701" s="9">
        <v>12.063700000000001</v>
      </c>
      <c r="N701" s="9">
        <v>4.9444999999999997</v>
      </c>
      <c r="O701" s="9">
        <v>0.37409999999999999</v>
      </c>
      <c r="P701" s="9">
        <v>1.2927</v>
      </c>
      <c r="Q701" s="9">
        <v>19.688099999999999</v>
      </c>
      <c r="R701" s="9"/>
      <c r="S701" s="11"/>
    </row>
    <row r="702" spans="1:19" ht="15.75">
      <c r="A702" s="13">
        <v>62517</v>
      </c>
      <c r="B702" s="8">
        <f>CHOOSE( CONTROL!$C$32, 20.9501, 20.9498) * CHOOSE(CONTROL!$C$15, $D$11, 100%, $F$11)</f>
        <v>20.950099999999999</v>
      </c>
      <c r="C702" s="8">
        <f>CHOOSE( CONTROL!$C$32, 20.9552, 20.9549) * CHOOSE(CONTROL!$C$15, $D$11, 100%, $F$11)</f>
        <v>20.955200000000001</v>
      </c>
      <c r="D702" s="8">
        <f>CHOOSE( CONTROL!$C$32, 20.9351, 20.9349) * CHOOSE( CONTROL!$C$15, $D$11, 100%, $F$11)</f>
        <v>20.935099999999998</v>
      </c>
      <c r="E702" s="12">
        <f>CHOOSE( CONTROL!$C$32, 20.9419, 20.9417) * CHOOSE( CONTROL!$C$15, $D$11, 100%, $F$11)</f>
        <v>20.9419</v>
      </c>
      <c r="F702" s="4">
        <f>CHOOSE( CONTROL!$C$32, 21.6154, 21.6151) * CHOOSE(CONTROL!$C$15, $D$11, 100%, $F$11)</f>
        <v>21.615400000000001</v>
      </c>
      <c r="G702" s="8">
        <f>CHOOSE( CONTROL!$C$32, 20.7084, 20.7082) * CHOOSE( CONTROL!$C$15, $D$11, 100%, $F$11)</f>
        <v>20.708400000000001</v>
      </c>
      <c r="H702" s="4">
        <f>CHOOSE( CONTROL!$C$32, 21.6089, 21.6086) * CHOOSE(CONTROL!$C$15, $D$11, 100%, $F$11)</f>
        <v>21.608899999999998</v>
      </c>
      <c r="I702" s="8">
        <f>CHOOSE( CONTROL!$C$32, 20.4475, 20.4472) * CHOOSE(CONTROL!$C$15, $D$11, 100%, $F$11)</f>
        <v>20.447500000000002</v>
      </c>
      <c r="J702" s="4">
        <f>CHOOSE( CONTROL!$C$32, 20.3233, 20.323) * CHOOSE(CONTROL!$C$15, $D$11, 100%, $F$11)</f>
        <v>20.3233</v>
      </c>
      <c r="K702" s="4"/>
      <c r="L702" s="9">
        <v>26.469899999999999</v>
      </c>
      <c r="M702" s="9">
        <v>10.8962</v>
      </c>
      <c r="N702" s="9">
        <v>4.4660000000000002</v>
      </c>
      <c r="O702" s="9">
        <v>0.33789999999999998</v>
      </c>
      <c r="P702" s="9">
        <v>1.1676</v>
      </c>
      <c r="Q702" s="9">
        <v>17.782800000000002</v>
      </c>
      <c r="R702" s="9"/>
      <c r="S702" s="11"/>
    </row>
    <row r="703" spans="1:19" ht="15.75">
      <c r="A703" s="13">
        <v>62548</v>
      </c>
      <c r="B703" s="8">
        <f>CHOOSE( CONTROL!$C$32, 20.5043, 20.504) * CHOOSE(CONTROL!$C$15, $D$11, 100%, $F$11)</f>
        <v>20.504300000000001</v>
      </c>
      <c r="C703" s="8">
        <f>CHOOSE( CONTROL!$C$32, 20.5094, 20.5091) * CHOOSE(CONTROL!$C$15, $D$11, 100%, $F$11)</f>
        <v>20.509399999999999</v>
      </c>
      <c r="D703" s="8">
        <f>CHOOSE( CONTROL!$C$32, 20.4794, 20.4791) * CHOOSE( CONTROL!$C$15, $D$11, 100%, $F$11)</f>
        <v>20.479399999999998</v>
      </c>
      <c r="E703" s="12">
        <f>CHOOSE( CONTROL!$C$32, 20.4898, 20.4895) * CHOOSE( CONTROL!$C$15, $D$11, 100%, $F$11)</f>
        <v>20.489799999999999</v>
      </c>
      <c r="F703" s="4">
        <f>CHOOSE( CONTROL!$C$32, 21.1696, 21.1693) * CHOOSE(CONTROL!$C$15, $D$11, 100%, $F$11)</f>
        <v>21.169599999999999</v>
      </c>
      <c r="G703" s="8">
        <f>CHOOSE( CONTROL!$C$32, 20.2546, 20.2544) * CHOOSE( CONTROL!$C$15, $D$11, 100%, $F$11)</f>
        <v>20.2546</v>
      </c>
      <c r="H703" s="4">
        <f>CHOOSE( CONTROL!$C$32, 21.1683, 21.1681) * CHOOSE(CONTROL!$C$15, $D$11, 100%, $F$11)</f>
        <v>21.168299999999999</v>
      </c>
      <c r="I703" s="8">
        <f>CHOOSE( CONTROL!$C$32, 19.9795, 19.9792) * CHOOSE(CONTROL!$C$15, $D$11, 100%, $F$11)</f>
        <v>19.979500000000002</v>
      </c>
      <c r="J703" s="4">
        <f>CHOOSE( CONTROL!$C$32, 19.8907, 19.8904) * CHOOSE(CONTROL!$C$15, $D$11, 100%, $F$11)</f>
        <v>19.890699999999999</v>
      </c>
      <c r="K703" s="4"/>
      <c r="L703" s="9">
        <v>29.306000000000001</v>
      </c>
      <c r="M703" s="9">
        <v>12.063700000000001</v>
      </c>
      <c r="N703" s="9">
        <v>4.9444999999999997</v>
      </c>
      <c r="O703" s="9">
        <v>0.37409999999999999</v>
      </c>
      <c r="P703" s="9">
        <v>1.2927</v>
      </c>
      <c r="Q703" s="9">
        <v>19.688099999999999</v>
      </c>
      <c r="R703" s="9"/>
      <c r="S703" s="11"/>
    </row>
    <row r="704" spans="1:19" ht="15.75">
      <c r="A704" s="13">
        <v>62578</v>
      </c>
      <c r="B704" s="8">
        <f>CHOOSE( CONTROL!$C$32, 20.8166, 20.8163) * CHOOSE(CONTROL!$C$15, $D$11, 100%, $F$11)</f>
        <v>20.816600000000001</v>
      </c>
      <c r="C704" s="8">
        <f>CHOOSE( CONTROL!$C$32, 20.8211, 20.8208) * CHOOSE(CONTROL!$C$15, $D$11, 100%, $F$11)</f>
        <v>20.821100000000001</v>
      </c>
      <c r="D704" s="8">
        <f>CHOOSE( CONTROL!$C$32, 20.8206, 20.8203) * CHOOSE( CONTROL!$C$15, $D$11, 100%, $F$11)</f>
        <v>20.820599999999999</v>
      </c>
      <c r="E704" s="12">
        <f>CHOOSE( CONTROL!$C$32, 20.8203, 20.82) * CHOOSE( CONTROL!$C$15, $D$11, 100%, $F$11)</f>
        <v>20.8203</v>
      </c>
      <c r="F704" s="4">
        <f>CHOOSE( CONTROL!$C$32, 21.5249, 21.5246) * CHOOSE(CONTROL!$C$15, $D$11, 100%, $F$11)</f>
        <v>21.524899999999999</v>
      </c>
      <c r="G704" s="8">
        <f>CHOOSE( CONTROL!$C$32, 20.5795, 20.5792) * CHOOSE( CONTROL!$C$15, $D$11, 100%, $F$11)</f>
        <v>20.579499999999999</v>
      </c>
      <c r="H704" s="4">
        <f>CHOOSE( CONTROL!$C$32, 21.5195, 21.5192) * CHOOSE(CONTROL!$C$15, $D$11, 100%, $F$11)</f>
        <v>21.519500000000001</v>
      </c>
      <c r="I704" s="8">
        <f>CHOOSE( CONTROL!$C$32, 20.2825, 20.2822) * CHOOSE(CONTROL!$C$15, $D$11, 100%, $F$11)</f>
        <v>20.282499999999999</v>
      </c>
      <c r="J704" s="4">
        <f>CHOOSE( CONTROL!$C$32, 20.193, 20.1927) * CHOOSE(CONTROL!$C$15, $D$11, 100%, $F$11)</f>
        <v>20.193000000000001</v>
      </c>
      <c r="K704" s="4"/>
      <c r="L704" s="9">
        <v>30.092199999999998</v>
      </c>
      <c r="M704" s="9">
        <v>11.6745</v>
      </c>
      <c r="N704" s="9">
        <v>4.7850000000000001</v>
      </c>
      <c r="O704" s="9">
        <v>0.36199999999999999</v>
      </c>
      <c r="P704" s="9">
        <v>1.2509999999999999</v>
      </c>
      <c r="Q704" s="9">
        <v>19.053000000000001</v>
      </c>
      <c r="R704" s="9"/>
      <c r="S704" s="11"/>
    </row>
    <row r="705" spans="1:19" ht="15.75">
      <c r="A705" s="13">
        <v>62609</v>
      </c>
      <c r="B705" s="8">
        <f>CHOOSE( CONTROL!$C$32, 21.3725, 21.3721) * CHOOSE(CONTROL!$C$15, $D$11, 100%, $F$11)</f>
        <v>21.372499999999999</v>
      </c>
      <c r="C705" s="8">
        <f>CHOOSE( CONTROL!$C$32, 21.3805, 21.38) * CHOOSE(CONTROL!$C$15, $D$11, 100%, $F$11)</f>
        <v>21.380500000000001</v>
      </c>
      <c r="D705" s="8">
        <f>CHOOSE( CONTROL!$C$32, 21.3748, 21.3743) * CHOOSE( CONTROL!$C$15, $D$11, 100%, $F$11)</f>
        <v>21.3748</v>
      </c>
      <c r="E705" s="12">
        <f>CHOOSE( CONTROL!$C$32, 21.3756, 21.3752) * CHOOSE( CONTROL!$C$15, $D$11, 100%, $F$11)</f>
        <v>21.375599999999999</v>
      </c>
      <c r="F705" s="4">
        <f>CHOOSE( CONTROL!$C$32, 22.0795, 22.079) * CHOOSE(CONTROL!$C$15, $D$11, 100%, $F$11)</f>
        <v>22.079499999999999</v>
      </c>
      <c r="G705" s="8">
        <f>CHOOSE( CONTROL!$C$32, 21.1279, 21.1275) * CHOOSE( CONTROL!$C$15, $D$11, 100%, $F$11)</f>
        <v>21.1279</v>
      </c>
      <c r="H705" s="4">
        <f>CHOOSE( CONTROL!$C$32, 22.0675, 22.0671) * CHOOSE(CONTROL!$C$15, $D$11, 100%, $F$11)</f>
        <v>22.067499999999999</v>
      </c>
      <c r="I705" s="8">
        <f>CHOOSE( CONTROL!$C$32, 20.8215, 20.8211) * CHOOSE(CONTROL!$C$15, $D$11, 100%, $F$11)</f>
        <v>20.8215</v>
      </c>
      <c r="J705" s="4">
        <f>CHOOSE( CONTROL!$C$32, 20.7312, 20.7308) * CHOOSE(CONTROL!$C$15, $D$11, 100%, $F$11)</f>
        <v>20.731200000000001</v>
      </c>
      <c r="K705" s="4"/>
      <c r="L705" s="9">
        <v>30.7165</v>
      </c>
      <c r="M705" s="9">
        <v>12.063700000000001</v>
      </c>
      <c r="N705" s="9">
        <v>4.9444999999999997</v>
      </c>
      <c r="O705" s="9">
        <v>0.37409999999999999</v>
      </c>
      <c r="P705" s="9">
        <v>1.2927</v>
      </c>
      <c r="Q705" s="9">
        <v>19.688099999999999</v>
      </c>
      <c r="R705" s="9"/>
      <c r="S705" s="11"/>
    </row>
    <row r="706" spans="1:19" ht="15.75">
      <c r="A706" s="13">
        <v>62639</v>
      </c>
      <c r="B706" s="8">
        <f>CHOOSE( CONTROL!$C$32, 21.0291, 21.0286) * CHOOSE(CONTROL!$C$15, $D$11, 100%, $F$11)</f>
        <v>21.0291</v>
      </c>
      <c r="C706" s="8">
        <f>CHOOSE( CONTROL!$C$32, 21.0371, 21.0366) * CHOOSE(CONTROL!$C$15, $D$11, 100%, $F$11)</f>
        <v>21.037099999999999</v>
      </c>
      <c r="D706" s="8">
        <f>CHOOSE( CONTROL!$C$32, 21.0318, 21.0313) * CHOOSE( CONTROL!$C$15, $D$11, 100%, $F$11)</f>
        <v>21.0318</v>
      </c>
      <c r="E706" s="12">
        <f>CHOOSE( CONTROL!$C$32, 21.0325, 21.032) * CHOOSE( CONTROL!$C$15, $D$11, 100%, $F$11)</f>
        <v>21.032499999999999</v>
      </c>
      <c r="F706" s="4">
        <f>CHOOSE( CONTROL!$C$32, 21.736, 21.7356) * CHOOSE(CONTROL!$C$15, $D$11, 100%, $F$11)</f>
        <v>21.736000000000001</v>
      </c>
      <c r="G706" s="8">
        <f>CHOOSE( CONTROL!$C$32, 20.7888, 20.7884) * CHOOSE( CONTROL!$C$15, $D$11, 100%, $F$11)</f>
        <v>20.788799999999998</v>
      </c>
      <c r="H706" s="4">
        <f>CHOOSE( CONTROL!$C$32, 21.7281, 21.7277) * CHOOSE(CONTROL!$C$15, $D$11, 100%, $F$11)</f>
        <v>21.728100000000001</v>
      </c>
      <c r="I706" s="8">
        <f>CHOOSE( CONTROL!$C$32, 20.4895, 20.489) * CHOOSE(CONTROL!$C$15, $D$11, 100%, $F$11)</f>
        <v>20.4895</v>
      </c>
      <c r="J706" s="4">
        <f>CHOOSE( CONTROL!$C$32, 20.3979, 20.3975) * CHOOSE(CONTROL!$C$15, $D$11, 100%, $F$11)</f>
        <v>20.3979</v>
      </c>
      <c r="K706" s="4"/>
      <c r="L706" s="9">
        <v>29.7257</v>
      </c>
      <c r="M706" s="9">
        <v>11.6745</v>
      </c>
      <c r="N706" s="9">
        <v>4.7850000000000001</v>
      </c>
      <c r="O706" s="9">
        <v>0.36199999999999999</v>
      </c>
      <c r="P706" s="9">
        <v>1.2509999999999999</v>
      </c>
      <c r="Q706" s="9">
        <v>19.053000000000001</v>
      </c>
      <c r="R706" s="9"/>
      <c r="S706" s="11"/>
    </row>
    <row r="707" spans="1:19" ht="15.75">
      <c r="A707" s="13">
        <v>62670</v>
      </c>
      <c r="B707" s="8">
        <f>CHOOSE( CONTROL!$C$32, 21.9335, 21.933) * CHOOSE(CONTROL!$C$15, $D$11, 100%, $F$11)</f>
        <v>21.933499999999999</v>
      </c>
      <c r="C707" s="8">
        <f>CHOOSE( CONTROL!$C$32, 21.9415, 21.941) * CHOOSE(CONTROL!$C$15, $D$11, 100%, $F$11)</f>
        <v>21.941500000000001</v>
      </c>
      <c r="D707" s="8">
        <f>CHOOSE( CONTROL!$C$32, 21.9366, 21.9362) * CHOOSE( CONTROL!$C$15, $D$11, 100%, $F$11)</f>
        <v>21.936599999999999</v>
      </c>
      <c r="E707" s="12">
        <f>CHOOSE( CONTROL!$C$32, 21.9372, 21.9367) * CHOOSE( CONTROL!$C$15, $D$11, 100%, $F$11)</f>
        <v>21.937200000000001</v>
      </c>
      <c r="F707" s="4">
        <f>CHOOSE( CONTROL!$C$32, 22.6404, 22.64) * CHOOSE(CONTROL!$C$15, $D$11, 100%, $F$11)</f>
        <v>22.6404</v>
      </c>
      <c r="G707" s="8">
        <f>CHOOSE( CONTROL!$C$32, 21.683, 21.6826) * CHOOSE( CONTROL!$C$15, $D$11, 100%, $F$11)</f>
        <v>21.683</v>
      </c>
      <c r="H707" s="4">
        <f>CHOOSE( CONTROL!$C$32, 22.6219, 22.6215) * CHOOSE(CONTROL!$C$15, $D$11, 100%, $F$11)</f>
        <v>22.6219</v>
      </c>
      <c r="I707" s="8">
        <f>CHOOSE( CONTROL!$C$32, 21.3692, 21.3687) * CHOOSE(CONTROL!$C$15, $D$11, 100%, $F$11)</f>
        <v>21.369199999999999</v>
      </c>
      <c r="J707" s="4">
        <f>CHOOSE( CONTROL!$C$32, 21.2756, 21.2752) * CHOOSE(CONTROL!$C$15, $D$11, 100%, $F$11)</f>
        <v>21.275600000000001</v>
      </c>
      <c r="K707" s="4"/>
      <c r="L707" s="9">
        <v>30.7165</v>
      </c>
      <c r="M707" s="9">
        <v>12.063700000000001</v>
      </c>
      <c r="N707" s="9">
        <v>4.9444999999999997</v>
      </c>
      <c r="O707" s="9">
        <v>0.37409999999999999</v>
      </c>
      <c r="P707" s="9">
        <v>1.2927</v>
      </c>
      <c r="Q707" s="9">
        <v>19.688099999999999</v>
      </c>
      <c r="R707" s="9"/>
      <c r="S707" s="11"/>
    </row>
    <row r="708" spans="1:19" ht="15.75">
      <c r="A708" s="13">
        <v>62701</v>
      </c>
      <c r="B708" s="8">
        <f>CHOOSE( CONTROL!$C$32, 20.2413, 20.2408) * CHOOSE(CONTROL!$C$15, $D$11, 100%, $F$11)</f>
        <v>20.241299999999999</v>
      </c>
      <c r="C708" s="8">
        <f>CHOOSE( CONTROL!$C$32, 20.2492, 20.2488) * CHOOSE(CONTROL!$C$15, $D$11, 100%, $F$11)</f>
        <v>20.249199999999998</v>
      </c>
      <c r="D708" s="8">
        <f>CHOOSE( CONTROL!$C$32, 20.2445, 20.2441) * CHOOSE( CONTROL!$C$15, $D$11, 100%, $F$11)</f>
        <v>20.244499999999999</v>
      </c>
      <c r="E708" s="12">
        <f>CHOOSE( CONTROL!$C$32, 20.245, 20.2446) * CHOOSE( CONTROL!$C$15, $D$11, 100%, $F$11)</f>
        <v>20.245000000000001</v>
      </c>
      <c r="F708" s="4">
        <f>CHOOSE( CONTROL!$C$32, 20.9482, 20.9478) * CHOOSE(CONTROL!$C$15, $D$11, 100%, $F$11)</f>
        <v>20.9482</v>
      </c>
      <c r="G708" s="8">
        <f>CHOOSE( CONTROL!$C$32, 20.0107, 20.0103) * CHOOSE( CONTROL!$C$15, $D$11, 100%, $F$11)</f>
        <v>20.0107</v>
      </c>
      <c r="H708" s="4">
        <f>CHOOSE( CONTROL!$C$32, 20.9495, 20.9491) * CHOOSE(CONTROL!$C$15, $D$11, 100%, $F$11)</f>
        <v>20.9495</v>
      </c>
      <c r="I708" s="8">
        <f>CHOOSE( CONTROL!$C$32, 19.7265, 19.7261) * CHOOSE(CONTROL!$C$15, $D$11, 100%, $F$11)</f>
        <v>19.726500000000001</v>
      </c>
      <c r="J708" s="4">
        <f>CHOOSE( CONTROL!$C$32, 19.6333, 19.6329) * CHOOSE(CONTROL!$C$15, $D$11, 100%, $F$11)</f>
        <v>19.633299999999998</v>
      </c>
      <c r="K708" s="4"/>
      <c r="L708" s="9">
        <v>30.7165</v>
      </c>
      <c r="M708" s="9">
        <v>12.063700000000001</v>
      </c>
      <c r="N708" s="9">
        <v>4.9444999999999997</v>
      </c>
      <c r="O708" s="9">
        <v>0.37409999999999999</v>
      </c>
      <c r="P708" s="9">
        <v>1.2927</v>
      </c>
      <c r="Q708" s="9">
        <v>19.688099999999999</v>
      </c>
      <c r="R708" s="9"/>
      <c r="S708" s="11"/>
    </row>
    <row r="709" spans="1:19" ht="15.75">
      <c r="A709" s="13">
        <v>62731</v>
      </c>
      <c r="B709" s="8">
        <f>CHOOSE( CONTROL!$C$32, 19.8175, 19.8171) * CHOOSE(CONTROL!$C$15, $D$11, 100%, $F$11)</f>
        <v>19.817499999999999</v>
      </c>
      <c r="C709" s="8">
        <f>CHOOSE( CONTROL!$C$32, 19.8255, 19.825) * CHOOSE(CONTROL!$C$15, $D$11, 100%, $F$11)</f>
        <v>19.825500000000002</v>
      </c>
      <c r="D709" s="8">
        <f>CHOOSE( CONTROL!$C$32, 19.8206, 19.8202) * CHOOSE( CONTROL!$C$15, $D$11, 100%, $F$11)</f>
        <v>19.820599999999999</v>
      </c>
      <c r="E709" s="12">
        <f>CHOOSE( CONTROL!$C$32, 19.8212, 19.8207) * CHOOSE( CONTROL!$C$15, $D$11, 100%, $F$11)</f>
        <v>19.821200000000001</v>
      </c>
      <c r="F709" s="4">
        <f>CHOOSE( CONTROL!$C$32, 20.5245, 20.524) * CHOOSE(CONTROL!$C$15, $D$11, 100%, $F$11)</f>
        <v>20.5245</v>
      </c>
      <c r="G709" s="8">
        <f>CHOOSE( CONTROL!$C$32, 19.5918, 19.5914) * CHOOSE( CONTROL!$C$15, $D$11, 100%, $F$11)</f>
        <v>19.591799999999999</v>
      </c>
      <c r="H709" s="4">
        <f>CHOOSE( CONTROL!$C$32, 20.5308, 20.5303) * CHOOSE(CONTROL!$C$15, $D$11, 100%, $F$11)</f>
        <v>20.530799999999999</v>
      </c>
      <c r="I709" s="8">
        <f>CHOOSE( CONTROL!$C$32, 19.3145, 19.3141) * CHOOSE(CONTROL!$C$15, $D$11, 100%, $F$11)</f>
        <v>19.314499999999999</v>
      </c>
      <c r="J709" s="4">
        <f>CHOOSE( CONTROL!$C$32, 19.2221, 19.2216) * CHOOSE(CONTROL!$C$15, $D$11, 100%, $F$11)</f>
        <v>19.222100000000001</v>
      </c>
      <c r="K709" s="4"/>
      <c r="L709" s="9">
        <v>29.7257</v>
      </c>
      <c r="M709" s="9">
        <v>11.6745</v>
      </c>
      <c r="N709" s="9">
        <v>4.7850000000000001</v>
      </c>
      <c r="O709" s="9">
        <v>0.36199999999999999</v>
      </c>
      <c r="P709" s="9">
        <v>1.2509999999999999</v>
      </c>
      <c r="Q709" s="9">
        <v>19.053000000000001</v>
      </c>
      <c r="R709" s="9"/>
      <c r="S709" s="11"/>
    </row>
    <row r="710" spans="1:19" ht="15.75">
      <c r="A710" s="13">
        <v>62762</v>
      </c>
      <c r="B710" s="8">
        <f>CHOOSE( CONTROL!$C$32, 20.6955, 20.6952) * CHOOSE(CONTROL!$C$15, $D$11, 100%, $F$11)</f>
        <v>20.695499999999999</v>
      </c>
      <c r="C710" s="8">
        <f>CHOOSE( CONTROL!$C$32, 20.7008, 20.7005) * CHOOSE(CONTROL!$C$15, $D$11, 100%, $F$11)</f>
        <v>20.700800000000001</v>
      </c>
      <c r="D710" s="8">
        <f>CHOOSE( CONTROL!$C$32, 20.701, 20.7007) * CHOOSE( CONTROL!$C$15, $D$11, 100%, $F$11)</f>
        <v>20.701000000000001</v>
      </c>
      <c r="E710" s="12">
        <f>CHOOSE( CONTROL!$C$32, 20.7004, 20.7001) * CHOOSE( CONTROL!$C$15, $D$11, 100%, $F$11)</f>
        <v>20.700399999999998</v>
      </c>
      <c r="F710" s="4">
        <f>CHOOSE( CONTROL!$C$32, 21.4041, 21.4039) * CHOOSE(CONTROL!$C$15, $D$11, 100%, $F$11)</f>
        <v>21.4041</v>
      </c>
      <c r="G710" s="8">
        <f>CHOOSE( CONTROL!$C$32, 20.4611, 20.4609) * CHOOSE( CONTROL!$C$15, $D$11, 100%, $F$11)</f>
        <v>20.461099999999998</v>
      </c>
      <c r="H710" s="4">
        <f>CHOOSE( CONTROL!$C$32, 21.4001, 21.3998) * CHOOSE(CONTROL!$C$15, $D$11, 100%, $F$11)</f>
        <v>21.400099999999998</v>
      </c>
      <c r="I710" s="8">
        <f>CHOOSE( CONTROL!$C$32, 20.1694, 20.1691) * CHOOSE(CONTROL!$C$15, $D$11, 100%, $F$11)</f>
        <v>20.1694</v>
      </c>
      <c r="J710" s="4">
        <f>CHOOSE( CONTROL!$C$32, 20.0758, 20.0755) * CHOOSE(CONTROL!$C$15, $D$11, 100%, $F$11)</f>
        <v>20.075800000000001</v>
      </c>
      <c r="K710" s="4"/>
      <c r="L710" s="9">
        <v>31.095300000000002</v>
      </c>
      <c r="M710" s="9">
        <v>12.063700000000001</v>
      </c>
      <c r="N710" s="9">
        <v>4.9444999999999997</v>
      </c>
      <c r="O710" s="9">
        <v>0.37409999999999999</v>
      </c>
      <c r="P710" s="9">
        <v>1.2927</v>
      </c>
      <c r="Q710" s="9">
        <v>19.688099999999999</v>
      </c>
      <c r="R710" s="9"/>
      <c r="S710" s="11"/>
    </row>
    <row r="711" spans="1:19" ht="15.75">
      <c r="A711" s="13">
        <v>62792</v>
      </c>
      <c r="B711" s="8">
        <f>CHOOSE( CONTROL!$C$32, 22.3191, 22.3188) * CHOOSE(CONTROL!$C$15, $D$11, 100%, $F$11)</f>
        <v>22.319099999999999</v>
      </c>
      <c r="C711" s="8">
        <f>CHOOSE( CONTROL!$C$32, 22.3242, 22.3239) * CHOOSE(CONTROL!$C$15, $D$11, 100%, $F$11)</f>
        <v>22.324200000000001</v>
      </c>
      <c r="D711" s="8">
        <f>CHOOSE( CONTROL!$C$32, 22.292, 22.2918) * CHOOSE( CONTROL!$C$15, $D$11, 100%, $F$11)</f>
        <v>22.292000000000002</v>
      </c>
      <c r="E711" s="12">
        <f>CHOOSE( CONTROL!$C$32, 22.3032, 22.303) * CHOOSE( CONTROL!$C$15, $D$11, 100%, $F$11)</f>
        <v>22.3032</v>
      </c>
      <c r="F711" s="4">
        <f>CHOOSE( CONTROL!$C$32, 22.9844, 22.9841) * CHOOSE(CONTROL!$C$15, $D$11, 100%, $F$11)</f>
        <v>22.984400000000001</v>
      </c>
      <c r="G711" s="8">
        <f>CHOOSE( CONTROL!$C$32, 22.0551, 22.0548) * CHOOSE( CONTROL!$C$15, $D$11, 100%, $F$11)</f>
        <v>22.055099999999999</v>
      </c>
      <c r="H711" s="4">
        <f>CHOOSE( CONTROL!$C$32, 22.9618, 22.9616) * CHOOSE(CONTROL!$C$15, $D$11, 100%, $F$11)</f>
        <v>22.9618</v>
      </c>
      <c r="I711" s="8">
        <f>CHOOSE( CONTROL!$C$32, 21.7971, 21.7969) * CHOOSE(CONTROL!$C$15, $D$11, 100%, $F$11)</f>
        <v>21.7971</v>
      </c>
      <c r="J711" s="4">
        <f>CHOOSE( CONTROL!$C$32, 21.6519, 21.6517) * CHOOSE(CONTROL!$C$15, $D$11, 100%, $F$11)</f>
        <v>21.651900000000001</v>
      </c>
      <c r="K711" s="4"/>
      <c r="L711" s="9">
        <v>28.360600000000002</v>
      </c>
      <c r="M711" s="9">
        <v>11.6745</v>
      </c>
      <c r="N711" s="9">
        <v>4.7850000000000001</v>
      </c>
      <c r="O711" s="9">
        <v>0.36199999999999999</v>
      </c>
      <c r="P711" s="9">
        <v>1.2509999999999999</v>
      </c>
      <c r="Q711" s="9">
        <v>19.053000000000001</v>
      </c>
      <c r="R711" s="9"/>
      <c r="S711" s="11"/>
    </row>
    <row r="712" spans="1:19" ht="15.75">
      <c r="A712" s="13">
        <v>62823</v>
      </c>
      <c r="B712" s="8">
        <f>CHOOSE( CONTROL!$C$32, 22.2785, 22.2782) * CHOOSE(CONTROL!$C$15, $D$11, 100%, $F$11)</f>
        <v>22.278500000000001</v>
      </c>
      <c r="C712" s="8">
        <f>CHOOSE( CONTROL!$C$32, 22.2836, 22.2833) * CHOOSE(CONTROL!$C$15, $D$11, 100%, $F$11)</f>
        <v>22.2836</v>
      </c>
      <c r="D712" s="8">
        <f>CHOOSE( CONTROL!$C$32, 22.2533, 22.253) * CHOOSE( CONTROL!$C$15, $D$11, 100%, $F$11)</f>
        <v>22.253299999999999</v>
      </c>
      <c r="E712" s="12">
        <f>CHOOSE( CONTROL!$C$32, 22.2638, 22.2635) * CHOOSE( CONTROL!$C$15, $D$11, 100%, $F$11)</f>
        <v>22.2638</v>
      </c>
      <c r="F712" s="4">
        <f>CHOOSE( CONTROL!$C$32, 22.9438, 22.9435) * CHOOSE(CONTROL!$C$15, $D$11, 100%, $F$11)</f>
        <v>22.9438</v>
      </c>
      <c r="G712" s="8">
        <f>CHOOSE( CONTROL!$C$32, 22.0163, 22.016) * CHOOSE( CONTROL!$C$15, $D$11, 100%, $F$11)</f>
        <v>22.016300000000001</v>
      </c>
      <c r="H712" s="4">
        <f>CHOOSE( CONTROL!$C$32, 22.9217, 22.9215) * CHOOSE(CONTROL!$C$15, $D$11, 100%, $F$11)</f>
        <v>22.921700000000001</v>
      </c>
      <c r="I712" s="8">
        <f>CHOOSE( CONTROL!$C$32, 21.7634, 21.7632) * CHOOSE(CONTROL!$C$15, $D$11, 100%, $F$11)</f>
        <v>21.763400000000001</v>
      </c>
      <c r="J712" s="4">
        <f>CHOOSE( CONTROL!$C$32, 21.6125, 21.6123) * CHOOSE(CONTROL!$C$15, $D$11, 100%, $F$11)</f>
        <v>21.612500000000001</v>
      </c>
      <c r="K712" s="4"/>
      <c r="L712" s="9">
        <v>29.306000000000001</v>
      </c>
      <c r="M712" s="9">
        <v>12.063700000000001</v>
      </c>
      <c r="N712" s="9">
        <v>4.9444999999999997</v>
      </c>
      <c r="O712" s="9">
        <v>0.37409999999999999</v>
      </c>
      <c r="P712" s="9">
        <v>1.2927</v>
      </c>
      <c r="Q712" s="9">
        <v>19.688099999999999</v>
      </c>
      <c r="R712" s="9"/>
      <c r="S712" s="11"/>
    </row>
    <row r="713" spans="1:19" ht="15.75">
      <c r="A713" s="13">
        <v>62854</v>
      </c>
      <c r="B713" s="8">
        <f>CHOOSE( CONTROL!$C$32, 22.9354, 22.9351) * CHOOSE(CONTROL!$C$15, $D$11, 100%, $F$11)</f>
        <v>22.935400000000001</v>
      </c>
      <c r="C713" s="8">
        <f>CHOOSE( CONTROL!$C$32, 22.9405, 22.9402) * CHOOSE(CONTROL!$C$15, $D$11, 100%, $F$11)</f>
        <v>22.9405</v>
      </c>
      <c r="D713" s="8">
        <f>CHOOSE( CONTROL!$C$32, 22.9381, 22.9378) * CHOOSE( CONTROL!$C$15, $D$11, 100%, $F$11)</f>
        <v>22.938099999999999</v>
      </c>
      <c r="E713" s="12">
        <f>CHOOSE( CONTROL!$C$32, 22.9384, 22.9381) * CHOOSE( CONTROL!$C$15, $D$11, 100%, $F$11)</f>
        <v>22.938400000000001</v>
      </c>
      <c r="F713" s="4">
        <f>CHOOSE( CONTROL!$C$32, 23.6007, 23.6004) * CHOOSE(CONTROL!$C$15, $D$11, 100%, $F$11)</f>
        <v>23.6007</v>
      </c>
      <c r="G713" s="8">
        <f>CHOOSE( CONTROL!$C$32, 22.6816, 22.6813) * CHOOSE( CONTROL!$C$15, $D$11, 100%, $F$11)</f>
        <v>22.6816</v>
      </c>
      <c r="H713" s="4">
        <f>CHOOSE( CONTROL!$C$32, 23.5709, 23.5706) * CHOOSE(CONTROL!$C$15, $D$11, 100%, $F$11)</f>
        <v>23.570900000000002</v>
      </c>
      <c r="I713" s="8">
        <f>CHOOSE( CONTROL!$C$32, 22.3748, 22.3745) * CHOOSE(CONTROL!$C$15, $D$11, 100%, $F$11)</f>
        <v>22.3748</v>
      </c>
      <c r="J713" s="4">
        <f>CHOOSE( CONTROL!$C$32, 22.25, 22.2498) * CHOOSE(CONTROL!$C$15, $D$11, 100%, $F$11)</f>
        <v>22.25</v>
      </c>
      <c r="K713" s="4"/>
      <c r="L713" s="9">
        <v>29.306000000000001</v>
      </c>
      <c r="M713" s="9">
        <v>12.063700000000001</v>
      </c>
      <c r="N713" s="9">
        <v>4.9444999999999997</v>
      </c>
      <c r="O713" s="9">
        <v>0.37409999999999999</v>
      </c>
      <c r="P713" s="9">
        <v>1.2927</v>
      </c>
      <c r="Q713" s="9">
        <v>19.688099999999999</v>
      </c>
      <c r="R713" s="9"/>
      <c r="S713" s="11"/>
    </row>
    <row r="714" spans="1:19" ht="15.75">
      <c r="A714" s="13">
        <v>62883</v>
      </c>
      <c r="B714" s="8">
        <f>CHOOSE( CONTROL!$C$32, 21.4532, 21.453) * CHOOSE(CONTROL!$C$15, $D$11, 100%, $F$11)</f>
        <v>21.453199999999999</v>
      </c>
      <c r="C714" s="8">
        <f>CHOOSE( CONTROL!$C$32, 21.4583, 21.458) * CHOOSE(CONTROL!$C$15, $D$11, 100%, $F$11)</f>
        <v>21.458300000000001</v>
      </c>
      <c r="D714" s="8">
        <f>CHOOSE( CONTROL!$C$32, 21.4383, 21.438) * CHOOSE( CONTROL!$C$15, $D$11, 100%, $F$11)</f>
        <v>21.438300000000002</v>
      </c>
      <c r="E714" s="12">
        <f>CHOOSE( CONTROL!$C$32, 21.4451, 21.4448) * CHOOSE( CONTROL!$C$15, $D$11, 100%, $F$11)</f>
        <v>21.4451</v>
      </c>
      <c r="F714" s="4">
        <f>CHOOSE( CONTROL!$C$32, 22.1185, 22.1183) * CHOOSE(CONTROL!$C$15, $D$11, 100%, $F$11)</f>
        <v>22.118500000000001</v>
      </c>
      <c r="G714" s="8">
        <f>CHOOSE( CONTROL!$C$32, 21.2057, 21.2054) * CHOOSE( CONTROL!$C$15, $D$11, 100%, $F$11)</f>
        <v>21.2057</v>
      </c>
      <c r="H714" s="4">
        <f>CHOOSE( CONTROL!$C$32, 22.1061, 22.1059) * CHOOSE(CONTROL!$C$15, $D$11, 100%, $F$11)</f>
        <v>22.106100000000001</v>
      </c>
      <c r="I714" s="8">
        <f>CHOOSE( CONTROL!$C$32, 20.9361, 20.9358) * CHOOSE(CONTROL!$C$15, $D$11, 100%, $F$11)</f>
        <v>20.9361</v>
      </c>
      <c r="J714" s="4">
        <f>CHOOSE( CONTROL!$C$32, 20.8116, 20.8114) * CHOOSE(CONTROL!$C$15, $D$11, 100%, $F$11)</f>
        <v>20.811599999999999</v>
      </c>
      <c r="K714" s="4"/>
      <c r="L714" s="9">
        <v>27.415299999999998</v>
      </c>
      <c r="M714" s="9">
        <v>11.285299999999999</v>
      </c>
      <c r="N714" s="9">
        <v>4.6254999999999997</v>
      </c>
      <c r="O714" s="9">
        <v>0.34989999999999999</v>
      </c>
      <c r="P714" s="9">
        <v>1.2093</v>
      </c>
      <c r="Q714" s="9">
        <v>18.417899999999999</v>
      </c>
      <c r="R714" s="9"/>
      <c r="S714" s="11"/>
    </row>
    <row r="715" spans="1:19" ht="15.75">
      <c r="A715" s="13">
        <v>62914</v>
      </c>
      <c r="B715" s="8">
        <f>CHOOSE( CONTROL!$C$32, 20.9968, 20.9965) * CHOOSE(CONTROL!$C$15, $D$11, 100%, $F$11)</f>
        <v>20.9968</v>
      </c>
      <c r="C715" s="8">
        <f>CHOOSE( CONTROL!$C$32, 21.0018, 21.0016) * CHOOSE(CONTROL!$C$15, $D$11, 100%, $F$11)</f>
        <v>21.001799999999999</v>
      </c>
      <c r="D715" s="8">
        <f>CHOOSE( CONTROL!$C$32, 20.9718, 20.9716) * CHOOSE( CONTROL!$C$15, $D$11, 100%, $F$11)</f>
        <v>20.971800000000002</v>
      </c>
      <c r="E715" s="12">
        <f>CHOOSE( CONTROL!$C$32, 20.9822, 20.982) * CHOOSE( CONTROL!$C$15, $D$11, 100%, $F$11)</f>
        <v>20.982199999999999</v>
      </c>
      <c r="F715" s="4">
        <f>CHOOSE( CONTROL!$C$32, 21.662, 21.6618) * CHOOSE(CONTROL!$C$15, $D$11, 100%, $F$11)</f>
        <v>21.661999999999999</v>
      </c>
      <c r="G715" s="8">
        <f>CHOOSE( CONTROL!$C$32, 20.7413, 20.741) * CHOOSE( CONTROL!$C$15, $D$11, 100%, $F$11)</f>
        <v>20.741299999999999</v>
      </c>
      <c r="H715" s="4">
        <f>CHOOSE( CONTROL!$C$32, 21.655, 21.6547) * CHOOSE(CONTROL!$C$15, $D$11, 100%, $F$11)</f>
        <v>21.655000000000001</v>
      </c>
      <c r="I715" s="8">
        <f>CHOOSE( CONTROL!$C$32, 20.4576, 20.4573) * CHOOSE(CONTROL!$C$15, $D$11, 100%, $F$11)</f>
        <v>20.457599999999999</v>
      </c>
      <c r="J715" s="4">
        <f>CHOOSE( CONTROL!$C$32, 20.3686, 20.3683) * CHOOSE(CONTROL!$C$15, $D$11, 100%, $F$11)</f>
        <v>20.368600000000001</v>
      </c>
      <c r="K715" s="4"/>
      <c r="L715" s="9">
        <v>29.306000000000001</v>
      </c>
      <c r="M715" s="9">
        <v>12.063700000000001</v>
      </c>
      <c r="N715" s="9">
        <v>4.9444999999999997</v>
      </c>
      <c r="O715" s="9">
        <v>0.37409999999999999</v>
      </c>
      <c r="P715" s="9">
        <v>1.2927</v>
      </c>
      <c r="Q715" s="9">
        <v>19.688099999999999</v>
      </c>
      <c r="R715" s="9"/>
      <c r="S715" s="11"/>
    </row>
    <row r="716" spans="1:19" ht="15.75">
      <c r="A716" s="13">
        <v>62944</v>
      </c>
      <c r="B716" s="8">
        <f>CHOOSE( CONTROL!$C$32, 21.3165, 21.3162) * CHOOSE(CONTROL!$C$15, $D$11, 100%, $F$11)</f>
        <v>21.316500000000001</v>
      </c>
      <c r="C716" s="8">
        <f>CHOOSE( CONTROL!$C$32, 21.321, 21.3207) * CHOOSE(CONTROL!$C$15, $D$11, 100%, $F$11)</f>
        <v>21.321000000000002</v>
      </c>
      <c r="D716" s="8">
        <f>CHOOSE( CONTROL!$C$32, 21.3205, 21.3202) * CHOOSE( CONTROL!$C$15, $D$11, 100%, $F$11)</f>
        <v>21.320499999999999</v>
      </c>
      <c r="E716" s="12">
        <f>CHOOSE( CONTROL!$C$32, 21.3202, 21.3199) * CHOOSE( CONTROL!$C$15, $D$11, 100%, $F$11)</f>
        <v>21.3202</v>
      </c>
      <c r="F716" s="4">
        <f>CHOOSE( CONTROL!$C$32, 22.0248, 22.0245) * CHOOSE(CONTROL!$C$15, $D$11, 100%, $F$11)</f>
        <v>22.024799999999999</v>
      </c>
      <c r="G716" s="8">
        <f>CHOOSE( CONTROL!$C$32, 21.0736, 21.0733) * CHOOSE( CONTROL!$C$15, $D$11, 100%, $F$11)</f>
        <v>21.073599999999999</v>
      </c>
      <c r="H716" s="4">
        <f>CHOOSE( CONTROL!$C$32, 22.0135, 22.0133) * CHOOSE(CONTROL!$C$15, $D$11, 100%, $F$11)</f>
        <v>22.013500000000001</v>
      </c>
      <c r="I716" s="8">
        <f>CHOOSE( CONTROL!$C$32, 20.7679, 20.7676) * CHOOSE(CONTROL!$C$15, $D$11, 100%, $F$11)</f>
        <v>20.767900000000001</v>
      </c>
      <c r="J716" s="4">
        <f>CHOOSE( CONTROL!$C$32, 20.6782, 20.6779) * CHOOSE(CONTROL!$C$15, $D$11, 100%, $F$11)</f>
        <v>20.6782</v>
      </c>
      <c r="K716" s="4"/>
      <c r="L716" s="9">
        <v>30.092199999999998</v>
      </c>
      <c r="M716" s="9">
        <v>11.6745</v>
      </c>
      <c r="N716" s="9">
        <v>4.7850000000000001</v>
      </c>
      <c r="O716" s="9">
        <v>0.36199999999999999</v>
      </c>
      <c r="P716" s="9">
        <v>1.2509999999999999</v>
      </c>
      <c r="Q716" s="9">
        <v>19.053000000000001</v>
      </c>
      <c r="R716" s="9"/>
      <c r="S716" s="11"/>
    </row>
    <row r="717" spans="1:19" ht="15.75">
      <c r="A717" s="13">
        <v>62975</v>
      </c>
      <c r="B717" s="8">
        <f>CHOOSE( CONTROL!$C$32, 21.8858, 21.8853) * CHOOSE(CONTROL!$C$15, $D$11, 100%, $F$11)</f>
        <v>21.8858</v>
      </c>
      <c r="C717" s="8">
        <f>CHOOSE( CONTROL!$C$32, 21.8937, 21.8933) * CHOOSE(CONTROL!$C$15, $D$11, 100%, $F$11)</f>
        <v>21.893699999999999</v>
      </c>
      <c r="D717" s="8">
        <f>CHOOSE( CONTROL!$C$32, 21.888, 21.8876) * CHOOSE( CONTROL!$C$15, $D$11, 100%, $F$11)</f>
        <v>21.888000000000002</v>
      </c>
      <c r="E717" s="12">
        <f>CHOOSE( CONTROL!$C$32, 21.8889, 21.8884) * CHOOSE( CONTROL!$C$15, $D$11, 100%, $F$11)</f>
        <v>21.8889</v>
      </c>
      <c r="F717" s="4">
        <f>CHOOSE( CONTROL!$C$32, 22.5927, 22.5923) * CHOOSE(CONTROL!$C$15, $D$11, 100%, $F$11)</f>
        <v>22.592700000000001</v>
      </c>
      <c r="G717" s="8">
        <f>CHOOSE( CONTROL!$C$32, 21.6352, 21.6347) * CHOOSE( CONTROL!$C$15, $D$11, 100%, $F$11)</f>
        <v>21.635200000000001</v>
      </c>
      <c r="H717" s="4">
        <f>CHOOSE( CONTROL!$C$32, 22.5748, 22.5743) * CHOOSE(CONTROL!$C$15, $D$11, 100%, $F$11)</f>
        <v>22.5748</v>
      </c>
      <c r="I717" s="8">
        <f>CHOOSE( CONTROL!$C$32, 21.3199, 21.3194) * CHOOSE(CONTROL!$C$15, $D$11, 100%, $F$11)</f>
        <v>21.319900000000001</v>
      </c>
      <c r="J717" s="4">
        <f>CHOOSE( CONTROL!$C$32, 21.2293, 21.2289) * CHOOSE(CONTROL!$C$15, $D$11, 100%, $F$11)</f>
        <v>21.229299999999999</v>
      </c>
      <c r="K717" s="4"/>
      <c r="L717" s="9">
        <v>30.7165</v>
      </c>
      <c r="M717" s="9">
        <v>12.063700000000001</v>
      </c>
      <c r="N717" s="9">
        <v>4.9444999999999997</v>
      </c>
      <c r="O717" s="9">
        <v>0.37409999999999999</v>
      </c>
      <c r="P717" s="9">
        <v>1.2927</v>
      </c>
      <c r="Q717" s="9">
        <v>19.688099999999999</v>
      </c>
      <c r="R717" s="9"/>
      <c r="S717" s="11"/>
    </row>
    <row r="718" spans="1:19" ht="15.75">
      <c r="A718" s="13">
        <v>63005</v>
      </c>
      <c r="B718" s="8">
        <f>CHOOSE( CONTROL!$C$32, 21.5341, 21.5336) * CHOOSE(CONTROL!$C$15, $D$11, 100%, $F$11)</f>
        <v>21.534099999999999</v>
      </c>
      <c r="C718" s="8">
        <f>CHOOSE( CONTROL!$C$32, 21.5421, 21.5416) * CHOOSE(CONTROL!$C$15, $D$11, 100%, $F$11)</f>
        <v>21.542100000000001</v>
      </c>
      <c r="D718" s="8">
        <f>CHOOSE( CONTROL!$C$32, 21.5368, 21.5363) * CHOOSE( CONTROL!$C$15, $D$11, 100%, $F$11)</f>
        <v>21.536799999999999</v>
      </c>
      <c r="E718" s="12">
        <f>CHOOSE( CONTROL!$C$32, 21.5375, 21.537) * CHOOSE( CONTROL!$C$15, $D$11, 100%, $F$11)</f>
        <v>21.537500000000001</v>
      </c>
      <c r="F718" s="4">
        <f>CHOOSE( CONTROL!$C$32, 22.241, 22.2406) * CHOOSE(CONTROL!$C$15, $D$11, 100%, $F$11)</f>
        <v>22.241</v>
      </c>
      <c r="G718" s="8">
        <f>CHOOSE( CONTROL!$C$32, 21.2879, 21.2875) * CHOOSE( CONTROL!$C$15, $D$11, 100%, $F$11)</f>
        <v>21.2879</v>
      </c>
      <c r="H718" s="4">
        <f>CHOOSE( CONTROL!$C$32, 22.2272, 22.2268) * CHOOSE(CONTROL!$C$15, $D$11, 100%, $F$11)</f>
        <v>22.2272</v>
      </c>
      <c r="I718" s="8">
        <f>CHOOSE( CONTROL!$C$32, 20.9798, 20.9794) * CHOOSE(CONTROL!$C$15, $D$11, 100%, $F$11)</f>
        <v>20.979800000000001</v>
      </c>
      <c r="J718" s="4">
        <f>CHOOSE( CONTROL!$C$32, 20.888, 20.8876) * CHOOSE(CONTROL!$C$15, $D$11, 100%, $F$11)</f>
        <v>20.888000000000002</v>
      </c>
      <c r="K718" s="4"/>
      <c r="L718" s="9">
        <v>29.7257</v>
      </c>
      <c r="M718" s="9">
        <v>11.6745</v>
      </c>
      <c r="N718" s="9">
        <v>4.7850000000000001</v>
      </c>
      <c r="O718" s="9">
        <v>0.36199999999999999</v>
      </c>
      <c r="P718" s="9">
        <v>1.2509999999999999</v>
      </c>
      <c r="Q718" s="9">
        <v>19.053000000000001</v>
      </c>
      <c r="R718" s="9"/>
      <c r="S718" s="11"/>
    </row>
    <row r="719" spans="1:19" ht="15.75">
      <c r="A719" s="13">
        <v>63036</v>
      </c>
      <c r="B719" s="8">
        <f>CHOOSE( CONTROL!$C$32, 22.4602, 22.4598) * CHOOSE(CONTROL!$C$15, $D$11, 100%, $F$11)</f>
        <v>22.4602</v>
      </c>
      <c r="C719" s="8">
        <f>CHOOSE( CONTROL!$C$32, 22.4682, 22.4677) * CHOOSE(CONTROL!$C$15, $D$11, 100%, $F$11)</f>
        <v>22.4682</v>
      </c>
      <c r="D719" s="8">
        <f>CHOOSE( CONTROL!$C$32, 22.4633, 22.4629) * CHOOSE( CONTROL!$C$15, $D$11, 100%, $F$11)</f>
        <v>22.4633</v>
      </c>
      <c r="E719" s="12">
        <f>CHOOSE( CONTROL!$C$32, 22.4639, 22.4634) * CHOOSE( CONTROL!$C$15, $D$11, 100%, $F$11)</f>
        <v>22.463899999999999</v>
      </c>
      <c r="F719" s="4">
        <f>CHOOSE( CONTROL!$C$32, 23.1672, 23.1667) * CHOOSE(CONTROL!$C$15, $D$11, 100%, $F$11)</f>
        <v>23.167200000000001</v>
      </c>
      <c r="G719" s="8">
        <f>CHOOSE( CONTROL!$C$32, 22.2036, 22.2031) * CHOOSE( CONTROL!$C$15, $D$11, 100%, $F$11)</f>
        <v>22.203600000000002</v>
      </c>
      <c r="H719" s="4">
        <f>CHOOSE( CONTROL!$C$32, 23.1425, 23.142) * CHOOSE(CONTROL!$C$15, $D$11, 100%, $F$11)</f>
        <v>23.142499999999998</v>
      </c>
      <c r="I719" s="8">
        <f>CHOOSE( CONTROL!$C$32, 21.8806, 21.8802) * CHOOSE(CONTROL!$C$15, $D$11, 100%, $F$11)</f>
        <v>21.880600000000001</v>
      </c>
      <c r="J719" s="4">
        <f>CHOOSE( CONTROL!$C$32, 21.7868, 21.7864) * CHOOSE(CONTROL!$C$15, $D$11, 100%, $F$11)</f>
        <v>21.786799999999999</v>
      </c>
      <c r="K719" s="4"/>
      <c r="L719" s="9">
        <v>30.7165</v>
      </c>
      <c r="M719" s="9">
        <v>12.063700000000001</v>
      </c>
      <c r="N719" s="9">
        <v>4.9444999999999997</v>
      </c>
      <c r="O719" s="9">
        <v>0.37409999999999999</v>
      </c>
      <c r="P719" s="9">
        <v>1.2927</v>
      </c>
      <c r="Q719" s="9">
        <v>19.688099999999999</v>
      </c>
      <c r="R719" s="9"/>
      <c r="S719" s="11"/>
    </row>
    <row r="720" spans="1:19" ht="15.75">
      <c r="A720" s="13">
        <v>63067</v>
      </c>
      <c r="B720" s="8">
        <f>CHOOSE( CONTROL!$C$32, 20.7273, 20.7269) * CHOOSE(CONTROL!$C$15, $D$11, 100%, $F$11)</f>
        <v>20.7273</v>
      </c>
      <c r="C720" s="8">
        <f>CHOOSE( CONTROL!$C$32, 20.7353, 20.7349) * CHOOSE(CONTROL!$C$15, $D$11, 100%, $F$11)</f>
        <v>20.735299999999999</v>
      </c>
      <c r="D720" s="8">
        <f>CHOOSE( CONTROL!$C$32, 20.7306, 20.7301) * CHOOSE( CONTROL!$C$15, $D$11, 100%, $F$11)</f>
        <v>20.730599999999999</v>
      </c>
      <c r="E720" s="12">
        <f>CHOOSE( CONTROL!$C$32, 20.7311, 20.7306) * CHOOSE( CONTROL!$C$15, $D$11, 100%, $F$11)</f>
        <v>20.731100000000001</v>
      </c>
      <c r="F720" s="4">
        <f>CHOOSE( CONTROL!$C$32, 21.4343, 21.4338) * CHOOSE(CONTROL!$C$15, $D$11, 100%, $F$11)</f>
        <v>21.4343</v>
      </c>
      <c r="G720" s="8">
        <f>CHOOSE( CONTROL!$C$32, 20.4911, 20.4906) * CHOOSE( CONTROL!$C$15, $D$11, 100%, $F$11)</f>
        <v>20.491099999999999</v>
      </c>
      <c r="H720" s="4">
        <f>CHOOSE( CONTROL!$C$32, 21.4299, 21.4295) * CHOOSE(CONTROL!$C$15, $D$11, 100%, $F$11)</f>
        <v>21.4299</v>
      </c>
      <c r="I720" s="8">
        <f>CHOOSE( CONTROL!$C$32, 20.1985, 20.198) * CHOOSE(CONTROL!$C$15, $D$11, 100%, $F$11)</f>
        <v>20.198499999999999</v>
      </c>
      <c r="J720" s="4">
        <f>CHOOSE( CONTROL!$C$32, 20.1051, 20.1046) * CHOOSE(CONTROL!$C$15, $D$11, 100%, $F$11)</f>
        <v>20.1051</v>
      </c>
      <c r="K720" s="4"/>
      <c r="L720" s="9">
        <v>30.7165</v>
      </c>
      <c r="M720" s="9">
        <v>12.063700000000001</v>
      </c>
      <c r="N720" s="9">
        <v>4.9444999999999997</v>
      </c>
      <c r="O720" s="9">
        <v>0.37409999999999999</v>
      </c>
      <c r="P720" s="9">
        <v>1.2927</v>
      </c>
      <c r="Q720" s="9">
        <v>19.688099999999999</v>
      </c>
      <c r="R720" s="9"/>
      <c r="S720" s="11"/>
    </row>
    <row r="721" spans="1:19" ht="15.75">
      <c r="A721" s="13">
        <v>63097</v>
      </c>
      <c r="B721" s="8">
        <f>CHOOSE( CONTROL!$C$32, 20.2934, 20.293) * CHOOSE(CONTROL!$C$15, $D$11, 100%, $F$11)</f>
        <v>20.293399999999998</v>
      </c>
      <c r="C721" s="8">
        <f>CHOOSE( CONTROL!$C$32, 20.3014, 20.3009) * CHOOSE(CONTROL!$C$15, $D$11, 100%, $F$11)</f>
        <v>20.301400000000001</v>
      </c>
      <c r="D721" s="8">
        <f>CHOOSE( CONTROL!$C$32, 20.2965, 20.2961) * CHOOSE( CONTROL!$C$15, $D$11, 100%, $F$11)</f>
        <v>20.296500000000002</v>
      </c>
      <c r="E721" s="12">
        <f>CHOOSE( CONTROL!$C$32, 20.2971, 20.2966) * CHOOSE( CONTROL!$C$15, $D$11, 100%, $F$11)</f>
        <v>20.2971</v>
      </c>
      <c r="F721" s="4">
        <f>CHOOSE( CONTROL!$C$32, 21.0004, 20.9999) * CHOOSE(CONTROL!$C$15, $D$11, 100%, $F$11)</f>
        <v>21.000399999999999</v>
      </c>
      <c r="G721" s="8">
        <f>CHOOSE( CONTROL!$C$32, 20.0621, 20.0617) * CHOOSE( CONTROL!$C$15, $D$11, 100%, $F$11)</f>
        <v>20.062100000000001</v>
      </c>
      <c r="H721" s="4">
        <f>CHOOSE( CONTROL!$C$32, 21.0011, 21.0006) * CHOOSE(CONTROL!$C$15, $D$11, 100%, $F$11)</f>
        <v>21.001100000000001</v>
      </c>
      <c r="I721" s="8">
        <f>CHOOSE( CONTROL!$C$32, 19.7766, 19.7762) * CHOOSE(CONTROL!$C$15, $D$11, 100%, $F$11)</f>
        <v>19.776599999999998</v>
      </c>
      <c r="J721" s="4">
        <f>CHOOSE( CONTROL!$C$32, 19.6839, 19.6835) * CHOOSE(CONTROL!$C$15, $D$11, 100%, $F$11)</f>
        <v>19.683900000000001</v>
      </c>
      <c r="K721" s="4"/>
      <c r="L721" s="9">
        <v>29.7257</v>
      </c>
      <c r="M721" s="9">
        <v>11.6745</v>
      </c>
      <c r="N721" s="9">
        <v>4.7850000000000001</v>
      </c>
      <c r="O721" s="9">
        <v>0.36199999999999999</v>
      </c>
      <c r="P721" s="9">
        <v>1.2509999999999999</v>
      </c>
      <c r="Q721" s="9">
        <v>19.053000000000001</v>
      </c>
      <c r="R721" s="9"/>
      <c r="S721" s="11"/>
    </row>
    <row r="722" spans="1:19" ht="15.75">
      <c r="A722" s="13">
        <v>63128</v>
      </c>
      <c r="B722" s="8">
        <f>CHOOSE( CONTROL!$C$32, 21.1925, 21.1922) * CHOOSE(CONTROL!$C$15, $D$11, 100%, $F$11)</f>
        <v>21.192499999999999</v>
      </c>
      <c r="C722" s="8">
        <f>CHOOSE( CONTROL!$C$32, 21.1978, 21.1975) * CHOOSE(CONTROL!$C$15, $D$11, 100%, $F$11)</f>
        <v>21.197800000000001</v>
      </c>
      <c r="D722" s="8">
        <f>CHOOSE( CONTROL!$C$32, 21.198, 21.1978) * CHOOSE( CONTROL!$C$15, $D$11, 100%, $F$11)</f>
        <v>21.198</v>
      </c>
      <c r="E722" s="12">
        <f>CHOOSE( CONTROL!$C$32, 21.1974, 21.1971) * CHOOSE( CONTROL!$C$15, $D$11, 100%, $F$11)</f>
        <v>21.197399999999998</v>
      </c>
      <c r="F722" s="4">
        <f>CHOOSE( CONTROL!$C$32, 21.9012, 21.9009) * CHOOSE(CONTROL!$C$15, $D$11, 100%, $F$11)</f>
        <v>21.901199999999999</v>
      </c>
      <c r="G722" s="8">
        <f>CHOOSE( CONTROL!$C$32, 20.9523, 20.9521) * CHOOSE( CONTROL!$C$15, $D$11, 100%, $F$11)</f>
        <v>20.952300000000001</v>
      </c>
      <c r="H722" s="4">
        <f>CHOOSE( CONTROL!$C$32, 21.8913, 21.8911) * CHOOSE(CONTROL!$C$15, $D$11, 100%, $F$11)</f>
        <v>21.891300000000001</v>
      </c>
      <c r="I722" s="8">
        <f>CHOOSE( CONTROL!$C$32, 20.652, 20.6517) * CHOOSE(CONTROL!$C$15, $D$11, 100%, $F$11)</f>
        <v>20.652000000000001</v>
      </c>
      <c r="J722" s="4">
        <f>CHOOSE( CONTROL!$C$32, 20.5582, 20.5579) * CHOOSE(CONTROL!$C$15, $D$11, 100%, $F$11)</f>
        <v>20.558199999999999</v>
      </c>
      <c r="K722" s="4"/>
      <c r="L722" s="9">
        <v>31.095300000000002</v>
      </c>
      <c r="M722" s="9">
        <v>12.063700000000001</v>
      </c>
      <c r="N722" s="9">
        <v>4.9444999999999997</v>
      </c>
      <c r="O722" s="9">
        <v>0.37409999999999999</v>
      </c>
      <c r="P722" s="9">
        <v>1.2927</v>
      </c>
      <c r="Q722" s="9">
        <v>19.688099999999999</v>
      </c>
      <c r="R722" s="9"/>
      <c r="S722" s="11"/>
    </row>
    <row r="723" spans="1:19" ht="15.75">
      <c r="A723" s="13">
        <v>63158</v>
      </c>
      <c r="B723" s="8">
        <f>CHOOSE( CONTROL!$C$32, 22.8551, 22.8549) * CHOOSE(CONTROL!$C$15, $D$11, 100%, $F$11)</f>
        <v>22.8551</v>
      </c>
      <c r="C723" s="8">
        <f>CHOOSE( CONTROL!$C$32, 22.8602, 22.8599) * CHOOSE(CONTROL!$C$15, $D$11, 100%, $F$11)</f>
        <v>22.860199999999999</v>
      </c>
      <c r="D723" s="8">
        <f>CHOOSE( CONTROL!$C$32, 22.8281, 22.8278) * CHOOSE( CONTROL!$C$15, $D$11, 100%, $F$11)</f>
        <v>22.828099999999999</v>
      </c>
      <c r="E723" s="12">
        <f>CHOOSE( CONTROL!$C$32, 22.8393, 22.839) * CHOOSE( CONTROL!$C$15, $D$11, 100%, $F$11)</f>
        <v>22.839300000000001</v>
      </c>
      <c r="F723" s="4">
        <f>CHOOSE( CONTROL!$C$32, 23.5204, 23.5201) * CHOOSE(CONTROL!$C$15, $D$11, 100%, $F$11)</f>
        <v>23.520399999999999</v>
      </c>
      <c r="G723" s="8">
        <f>CHOOSE( CONTROL!$C$32, 22.5848, 22.5846) * CHOOSE( CONTROL!$C$15, $D$11, 100%, $F$11)</f>
        <v>22.584800000000001</v>
      </c>
      <c r="H723" s="4">
        <f>CHOOSE( CONTROL!$C$32, 23.4916, 23.4913) * CHOOSE(CONTROL!$C$15, $D$11, 100%, $F$11)</f>
        <v>23.491599999999998</v>
      </c>
      <c r="I723" s="8">
        <f>CHOOSE( CONTROL!$C$32, 22.3176, 22.3173) * CHOOSE(CONTROL!$C$15, $D$11, 100%, $F$11)</f>
        <v>22.317599999999999</v>
      </c>
      <c r="J723" s="4">
        <f>CHOOSE( CONTROL!$C$32, 22.1722, 22.1719) * CHOOSE(CONTROL!$C$15, $D$11, 100%, $F$11)</f>
        <v>22.1722</v>
      </c>
      <c r="K723" s="4"/>
      <c r="L723" s="9">
        <v>28.360600000000002</v>
      </c>
      <c r="M723" s="9">
        <v>11.6745</v>
      </c>
      <c r="N723" s="9">
        <v>4.7850000000000001</v>
      </c>
      <c r="O723" s="9">
        <v>0.36199999999999999</v>
      </c>
      <c r="P723" s="9">
        <v>1.2509999999999999</v>
      </c>
      <c r="Q723" s="9">
        <v>19.053000000000001</v>
      </c>
      <c r="R723" s="9"/>
      <c r="S723" s="11"/>
    </row>
    <row r="724" spans="1:19" ht="15.75">
      <c r="A724" s="13">
        <v>63189</v>
      </c>
      <c r="B724" s="8">
        <f>CHOOSE( CONTROL!$C$32, 22.8136, 22.8133) * CHOOSE(CONTROL!$C$15, $D$11, 100%, $F$11)</f>
        <v>22.813600000000001</v>
      </c>
      <c r="C724" s="8">
        <f>CHOOSE( CONTROL!$C$32, 22.8187, 22.8184) * CHOOSE(CONTROL!$C$15, $D$11, 100%, $F$11)</f>
        <v>22.8187</v>
      </c>
      <c r="D724" s="8">
        <f>CHOOSE( CONTROL!$C$32, 22.7884, 22.7881) * CHOOSE( CONTROL!$C$15, $D$11, 100%, $F$11)</f>
        <v>22.788399999999999</v>
      </c>
      <c r="E724" s="12">
        <f>CHOOSE( CONTROL!$C$32, 22.7989, 22.7986) * CHOOSE( CONTROL!$C$15, $D$11, 100%, $F$11)</f>
        <v>22.7989</v>
      </c>
      <c r="F724" s="4">
        <f>CHOOSE( CONTROL!$C$32, 23.4789, 23.4786) * CHOOSE(CONTROL!$C$15, $D$11, 100%, $F$11)</f>
        <v>23.478899999999999</v>
      </c>
      <c r="G724" s="8">
        <f>CHOOSE( CONTROL!$C$32, 22.5451, 22.5448) * CHOOSE( CONTROL!$C$15, $D$11, 100%, $F$11)</f>
        <v>22.545100000000001</v>
      </c>
      <c r="H724" s="4">
        <f>CHOOSE( CONTROL!$C$32, 23.4505, 23.4503) * CHOOSE(CONTROL!$C$15, $D$11, 100%, $F$11)</f>
        <v>23.450500000000002</v>
      </c>
      <c r="I724" s="8">
        <f>CHOOSE( CONTROL!$C$32, 22.283, 22.2827) * CHOOSE(CONTROL!$C$15, $D$11, 100%, $F$11)</f>
        <v>22.283000000000001</v>
      </c>
      <c r="J724" s="4">
        <f>CHOOSE( CONTROL!$C$32, 22.1318, 22.1316) * CHOOSE(CONTROL!$C$15, $D$11, 100%, $F$11)</f>
        <v>22.131799999999998</v>
      </c>
      <c r="K724" s="4"/>
      <c r="L724" s="9">
        <v>29.306000000000001</v>
      </c>
      <c r="M724" s="9">
        <v>12.063700000000001</v>
      </c>
      <c r="N724" s="9">
        <v>4.9444999999999997</v>
      </c>
      <c r="O724" s="9">
        <v>0.37409999999999999</v>
      </c>
      <c r="P724" s="9">
        <v>1.2927</v>
      </c>
      <c r="Q724" s="9">
        <v>19.688099999999999</v>
      </c>
      <c r="R724" s="9"/>
      <c r="S724" s="11"/>
    </row>
    <row r="725" spans="1:19" ht="15.75">
      <c r="A725" s="13">
        <v>63220</v>
      </c>
      <c r="B725" s="8">
        <f>CHOOSE( CONTROL!$C$32, 23.4862, 23.486) * CHOOSE(CONTROL!$C$15, $D$11, 100%, $F$11)</f>
        <v>23.4862</v>
      </c>
      <c r="C725" s="8">
        <f>CHOOSE( CONTROL!$C$32, 23.4913, 23.491) * CHOOSE(CONTROL!$C$15, $D$11, 100%, $F$11)</f>
        <v>23.491299999999999</v>
      </c>
      <c r="D725" s="8">
        <f>CHOOSE( CONTROL!$C$32, 23.4889, 23.4887) * CHOOSE( CONTROL!$C$15, $D$11, 100%, $F$11)</f>
        <v>23.488900000000001</v>
      </c>
      <c r="E725" s="12">
        <f>CHOOSE( CONTROL!$C$32, 23.4892, 23.489) * CHOOSE( CONTROL!$C$15, $D$11, 100%, $F$11)</f>
        <v>23.4892</v>
      </c>
      <c r="F725" s="4">
        <f>CHOOSE( CONTROL!$C$32, 24.1515, 24.1512) * CHOOSE(CONTROL!$C$15, $D$11, 100%, $F$11)</f>
        <v>24.151499999999999</v>
      </c>
      <c r="G725" s="8">
        <f>CHOOSE( CONTROL!$C$32, 23.226, 23.2257) * CHOOSE( CONTROL!$C$15, $D$11, 100%, $F$11)</f>
        <v>23.225999999999999</v>
      </c>
      <c r="H725" s="4">
        <f>CHOOSE( CONTROL!$C$32, 24.1153, 24.1151) * CHOOSE(CONTROL!$C$15, $D$11, 100%, $F$11)</f>
        <v>24.115300000000001</v>
      </c>
      <c r="I725" s="8">
        <f>CHOOSE( CONTROL!$C$32, 22.9096, 22.9094) * CHOOSE(CONTROL!$C$15, $D$11, 100%, $F$11)</f>
        <v>22.909600000000001</v>
      </c>
      <c r="J725" s="4">
        <f>CHOOSE( CONTROL!$C$32, 22.7846, 22.7844) * CHOOSE(CONTROL!$C$15, $D$11, 100%, $F$11)</f>
        <v>22.784600000000001</v>
      </c>
      <c r="K725" s="4"/>
      <c r="L725" s="9">
        <v>29.306000000000001</v>
      </c>
      <c r="M725" s="9">
        <v>12.063700000000001</v>
      </c>
      <c r="N725" s="9">
        <v>4.9444999999999997</v>
      </c>
      <c r="O725" s="9">
        <v>0.37409999999999999</v>
      </c>
      <c r="P725" s="9">
        <v>1.2927</v>
      </c>
      <c r="Q725" s="9">
        <v>19.688099999999999</v>
      </c>
      <c r="R725" s="9"/>
      <c r="S725" s="11"/>
    </row>
    <row r="726" spans="1:19" ht="15.75">
      <c r="A726" s="13">
        <v>63248</v>
      </c>
      <c r="B726" s="8">
        <f>CHOOSE( CONTROL!$C$32, 21.9685, 21.9682) * CHOOSE(CONTROL!$C$15, $D$11, 100%, $F$11)</f>
        <v>21.968499999999999</v>
      </c>
      <c r="C726" s="8">
        <f>CHOOSE( CONTROL!$C$32, 21.9736, 21.9733) * CHOOSE(CONTROL!$C$15, $D$11, 100%, $F$11)</f>
        <v>21.973600000000001</v>
      </c>
      <c r="D726" s="8">
        <f>CHOOSE( CONTROL!$C$32, 21.9535, 21.9533) * CHOOSE( CONTROL!$C$15, $D$11, 100%, $F$11)</f>
        <v>21.953499999999998</v>
      </c>
      <c r="E726" s="12">
        <f>CHOOSE( CONTROL!$C$32, 21.9603, 21.9601) * CHOOSE( CONTROL!$C$15, $D$11, 100%, $F$11)</f>
        <v>21.9603</v>
      </c>
      <c r="F726" s="4">
        <f>CHOOSE( CONTROL!$C$32, 22.6338, 22.6335) * CHOOSE(CONTROL!$C$15, $D$11, 100%, $F$11)</f>
        <v>22.633800000000001</v>
      </c>
      <c r="G726" s="8">
        <f>CHOOSE( CONTROL!$C$32, 21.7149, 21.7146) * CHOOSE( CONTROL!$C$15, $D$11, 100%, $F$11)</f>
        <v>21.7149</v>
      </c>
      <c r="H726" s="4">
        <f>CHOOSE( CONTROL!$C$32, 22.6154, 22.6151) * CHOOSE(CONTROL!$C$15, $D$11, 100%, $F$11)</f>
        <v>22.615400000000001</v>
      </c>
      <c r="I726" s="8">
        <f>CHOOSE( CONTROL!$C$32, 21.4363, 21.4361) * CHOOSE(CONTROL!$C$15, $D$11, 100%, $F$11)</f>
        <v>21.436299999999999</v>
      </c>
      <c r="J726" s="4">
        <f>CHOOSE( CONTROL!$C$32, 21.3117, 21.3114) * CHOOSE(CONTROL!$C$15, $D$11, 100%, $F$11)</f>
        <v>21.311699999999998</v>
      </c>
      <c r="K726" s="4"/>
      <c r="L726" s="9">
        <v>26.469899999999999</v>
      </c>
      <c r="M726" s="9">
        <v>10.8962</v>
      </c>
      <c r="N726" s="9">
        <v>4.4660000000000002</v>
      </c>
      <c r="O726" s="9">
        <v>0.33789999999999998</v>
      </c>
      <c r="P726" s="9">
        <v>1.1676</v>
      </c>
      <c r="Q726" s="9">
        <v>17.782800000000002</v>
      </c>
      <c r="R726" s="9"/>
      <c r="S726" s="11"/>
    </row>
    <row r="727" spans="1:19" ht="15.75">
      <c r="A727" s="13">
        <v>63279</v>
      </c>
      <c r="B727" s="8">
        <f>CHOOSE( CONTROL!$C$32, 21.501, 21.5008) * CHOOSE(CONTROL!$C$15, $D$11, 100%, $F$11)</f>
        <v>21.501000000000001</v>
      </c>
      <c r="C727" s="8">
        <f>CHOOSE( CONTROL!$C$32, 21.5061, 21.5058) * CHOOSE(CONTROL!$C$15, $D$11, 100%, $F$11)</f>
        <v>21.5061</v>
      </c>
      <c r="D727" s="8">
        <f>CHOOSE( CONTROL!$C$32, 21.4761, 21.4758) * CHOOSE( CONTROL!$C$15, $D$11, 100%, $F$11)</f>
        <v>21.476099999999999</v>
      </c>
      <c r="E727" s="12">
        <f>CHOOSE( CONTROL!$C$32, 21.4865, 21.4862) * CHOOSE( CONTROL!$C$15, $D$11, 100%, $F$11)</f>
        <v>21.486499999999999</v>
      </c>
      <c r="F727" s="4">
        <f>CHOOSE( CONTROL!$C$32, 22.1663, 22.166) * CHOOSE(CONTROL!$C$15, $D$11, 100%, $F$11)</f>
        <v>22.1663</v>
      </c>
      <c r="G727" s="8">
        <f>CHOOSE( CONTROL!$C$32, 21.2397, 21.2394) * CHOOSE( CONTROL!$C$15, $D$11, 100%, $F$11)</f>
        <v>21.239699999999999</v>
      </c>
      <c r="H727" s="4">
        <f>CHOOSE( CONTROL!$C$32, 22.1534, 22.1531) * CHOOSE(CONTROL!$C$15, $D$11, 100%, $F$11)</f>
        <v>22.153400000000001</v>
      </c>
      <c r="I727" s="8">
        <f>CHOOSE( CONTROL!$C$32, 20.9473, 20.947) * CHOOSE(CONTROL!$C$15, $D$11, 100%, $F$11)</f>
        <v>20.947299999999998</v>
      </c>
      <c r="J727" s="4">
        <f>CHOOSE( CONTROL!$C$32, 20.858, 20.8577) * CHOOSE(CONTROL!$C$15, $D$11, 100%, $F$11)</f>
        <v>20.858000000000001</v>
      </c>
      <c r="K727" s="4"/>
      <c r="L727" s="9">
        <v>29.306000000000001</v>
      </c>
      <c r="M727" s="9">
        <v>12.063700000000001</v>
      </c>
      <c r="N727" s="9">
        <v>4.9444999999999997</v>
      </c>
      <c r="O727" s="9">
        <v>0.37409999999999999</v>
      </c>
      <c r="P727" s="9">
        <v>1.2927</v>
      </c>
      <c r="Q727" s="9">
        <v>19.688099999999999</v>
      </c>
      <c r="R727" s="9"/>
      <c r="S727" s="11"/>
    </row>
    <row r="728" spans="1:19" ht="15.75">
      <c r="A728" s="13">
        <v>63309</v>
      </c>
      <c r="B728" s="8">
        <f>CHOOSE( CONTROL!$C$32, 21.8284, 21.8282) * CHOOSE(CONTROL!$C$15, $D$11, 100%, $F$11)</f>
        <v>21.828399999999998</v>
      </c>
      <c r="C728" s="8">
        <f>CHOOSE( CONTROL!$C$32, 21.833, 21.8327) * CHOOSE(CONTROL!$C$15, $D$11, 100%, $F$11)</f>
        <v>21.832999999999998</v>
      </c>
      <c r="D728" s="8">
        <f>CHOOSE( CONTROL!$C$32, 21.8324, 21.8322) * CHOOSE( CONTROL!$C$15, $D$11, 100%, $F$11)</f>
        <v>21.8324</v>
      </c>
      <c r="E728" s="12">
        <f>CHOOSE( CONTROL!$C$32, 21.8321, 21.8319) * CHOOSE( CONTROL!$C$15, $D$11, 100%, $F$11)</f>
        <v>21.832100000000001</v>
      </c>
      <c r="F728" s="4">
        <f>CHOOSE( CONTROL!$C$32, 22.5368, 22.5365) * CHOOSE(CONTROL!$C$15, $D$11, 100%, $F$11)</f>
        <v>22.536799999999999</v>
      </c>
      <c r="G728" s="8">
        <f>CHOOSE( CONTROL!$C$32, 21.5795, 21.5792) * CHOOSE( CONTROL!$C$15, $D$11, 100%, $F$11)</f>
        <v>21.579499999999999</v>
      </c>
      <c r="H728" s="4">
        <f>CHOOSE( CONTROL!$C$32, 22.5195, 22.5192) * CHOOSE(CONTROL!$C$15, $D$11, 100%, $F$11)</f>
        <v>22.519500000000001</v>
      </c>
      <c r="I728" s="8">
        <f>CHOOSE( CONTROL!$C$32, 21.265, 21.2647) * CHOOSE(CONTROL!$C$15, $D$11, 100%, $F$11)</f>
        <v>21.265000000000001</v>
      </c>
      <c r="J728" s="4">
        <f>CHOOSE( CONTROL!$C$32, 21.175, 21.1747) * CHOOSE(CONTROL!$C$15, $D$11, 100%, $F$11)</f>
        <v>21.175000000000001</v>
      </c>
      <c r="K728" s="4"/>
      <c r="L728" s="9">
        <v>30.092199999999998</v>
      </c>
      <c r="M728" s="9">
        <v>11.6745</v>
      </c>
      <c r="N728" s="9">
        <v>4.7850000000000001</v>
      </c>
      <c r="O728" s="9">
        <v>0.36199999999999999</v>
      </c>
      <c r="P728" s="9">
        <v>1.2509999999999999</v>
      </c>
      <c r="Q728" s="9">
        <v>19.053000000000001</v>
      </c>
      <c r="R728" s="9"/>
      <c r="S728" s="11"/>
    </row>
    <row r="729" spans="1:19" ht="15.75">
      <c r="A729" s="13">
        <v>63340</v>
      </c>
      <c r="B729" s="8">
        <f>CHOOSE( CONTROL!$C$32, 22.4114, 22.4109) * CHOOSE(CONTROL!$C$15, $D$11, 100%, $F$11)</f>
        <v>22.4114</v>
      </c>
      <c r="C729" s="8">
        <f>CHOOSE( CONTROL!$C$32, 22.4193, 22.4189) * CHOOSE(CONTROL!$C$15, $D$11, 100%, $F$11)</f>
        <v>22.4193</v>
      </c>
      <c r="D729" s="8">
        <f>CHOOSE( CONTROL!$C$32, 22.4136, 22.4132) * CHOOSE( CONTROL!$C$15, $D$11, 100%, $F$11)</f>
        <v>22.413599999999999</v>
      </c>
      <c r="E729" s="12">
        <f>CHOOSE( CONTROL!$C$32, 22.4145, 22.414) * CHOOSE( CONTROL!$C$15, $D$11, 100%, $F$11)</f>
        <v>22.4145</v>
      </c>
      <c r="F729" s="4">
        <f>CHOOSE( CONTROL!$C$32, 23.1183, 23.1178) * CHOOSE(CONTROL!$C$15, $D$11, 100%, $F$11)</f>
        <v>23.118300000000001</v>
      </c>
      <c r="G729" s="8">
        <f>CHOOSE( CONTROL!$C$32, 22.1546, 22.1541) * CHOOSE( CONTROL!$C$15, $D$11, 100%, $F$11)</f>
        <v>22.154599999999999</v>
      </c>
      <c r="H729" s="4">
        <f>CHOOSE( CONTROL!$C$32, 23.0942, 23.0938) * CHOOSE(CONTROL!$C$15, $D$11, 100%, $F$11)</f>
        <v>23.094200000000001</v>
      </c>
      <c r="I729" s="8">
        <f>CHOOSE( CONTROL!$C$32, 21.8302, 21.8298) * CHOOSE(CONTROL!$C$15, $D$11, 100%, $F$11)</f>
        <v>21.830200000000001</v>
      </c>
      <c r="J729" s="4">
        <f>CHOOSE( CONTROL!$C$32, 21.7394, 21.739) * CHOOSE(CONTROL!$C$15, $D$11, 100%, $F$11)</f>
        <v>21.7394</v>
      </c>
      <c r="K729" s="4"/>
      <c r="L729" s="9">
        <v>30.7165</v>
      </c>
      <c r="M729" s="9">
        <v>12.063700000000001</v>
      </c>
      <c r="N729" s="9">
        <v>4.9444999999999997</v>
      </c>
      <c r="O729" s="9">
        <v>0.37409999999999999</v>
      </c>
      <c r="P729" s="9">
        <v>1.2927</v>
      </c>
      <c r="Q729" s="9">
        <v>19.688099999999999</v>
      </c>
      <c r="R729" s="9"/>
      <c r="S729" s="11"/>
    </row>
    <row r="730" spans="1:19" ht="15.75">
      <c r="A730" s="13">
        <v>63370</v>
      </c>
      <c r="B730" s="8">
        <f>CHOOSE( CONTROL!$C$32, 22.0512, 22.0508) * CHOOSE(CONTROL!$C$15, $D$11, 100%, $F$11)</f>
        <v>22.051200000000001</v>
      </c>
      <c r="C730" s="8">
        <f>CHOOSE( CONTROL!$C$32, 22.0592, 22.0587) * CHOOSE(CONTROL!$C$15, $D$11, 100%, $F$11)</f>
        <v>22.059200000000001</v>
      </c>
      <c r="D730" s="8">
        <f>CHOOSE( CONTROL!$C$32, 22.0539, 22.0534) * CHOOSE( CONTROL!$C$15, $D$11, 100%, $F$11)</f>
        <v>22.053899999999999</v>
      </c>
      <c r="E730" s="12">
        <f>CHOOSE( CONTROL!$C$32, 22.0546, 22.0541) * CHOOSE( CONTROL!$C$15, $D$11, 100%, $F$11)</f>
        <v>22.054600000000001</v>
      </c>
      <c r="F730" s="4">
        <f>CHOOSE( CONTROL!$C$32, 22.7582, 22.7577) * CHOOSE(CONTROL!$C$15, $D$11, 100%, $F$11)</f>
        <v>22.758199999999999</v>
      </c>
      <c r="G730" s="8">
        <f>CHOOSE( CONTROL!$C$32, 21.799, 21.7986) * CHOOSE( CONTROL!$C$15, $D$11, 100%, $F$11)</f>
        <v>21.798999999999999</v>
      </c>
      <c r="H730" s="4">
        <f>CHOOSE( CONTROL!$C$32, 22.7383, 22.7378) * CHOOSE(CONTROL!$C$15, $D$11, 100%, $F$11)</f>
        <v>22.738299999999999</v>
      </c>
      <c r="I730" s="8">
        <f>CHOOSE( CONTROL!$C$32, 21.4819, 21.4815) * CHOOSE(CONTROL!$C$15, $D$11, 100%, $F$11)</f>
        <v>21.4819</v>
      </c>
      <c r="J730" s="4">
        <f>CHOOSE( CONTROL!$C$32, 21.3899, 21.3894) * CHOOSE(CONTROL!$C$15, $D$11, 100%, $F$11)</f>
        <v>21.389900000000001</v>
      </c>
      <c r="K730" s="4"/>
      <c r="L730" s="9">
        <v>29.7257</v>
      </c>
      <c r="M730" s="9">
        <v>11.6745</v>
      </c>
      <c r="N730" s="9">
        <v>4.7850000000000001</v>
      </c>
      <c r="O730" s="9">
        <v>0.36199999999999999</v>
      </c>
      <c r="P730" s="9">
        <v>1.2509999999999999</v>
      </c>
      <c r="Q730" s="9">
        <v>19.053000000000001</v>
      </c>
      <c r="R730" s="9"/>
      <c r="S730" s="11"/>
    </row>
    <row r="731" spans="1:19" ht="15.75">
      <c r="A731" s="13">
        <v>63401</v>
      </c>
      <c r="B731" s="8">
        <f>CHOOSE( CONTROL!$C$32, 22.9996, 22.9991) * CHOOSE(CONTROL!$C$15, $D$11, 100%, $F$11)</f>
        <v>22.999600000000001</v>
      </c>
      <c r="C731" s="8">
        <f>CHOOSE( CONTROL!$C$32, 23.0076, 23.0071) * CHOOSE(CONTROL!$C$15, $D$11, 100%, $F$11)</f>
        <v>23.0076</v>
      </c>
      <c r="D731" s="8">
        <f>CHOOSE( CONTROL!$C$32, 23.0027, 23.0023) * CHOOSE( CONTROL!$C$15, $D$11, 100%, $F$11)</f>
        <v>23.002700000000001</v>
      </c>
      <c r="E731" s="12">
        <f>CHOOSE( CONTROL!$C$32, 23.0033, 23.0028) * CHOOSE( CONTROL!$C$15, $D$11, 100%, $F$11)</f>
        <v>23.003299999999999</v>
      </c>
      <c r="F731" s="4">
        <f>CHOOSE( CONTROL!$C$32, 23.7065, 23.7061) * CHOOSE(CONTROL!$C$15, $D$11, 100%, $F$11)</f>
        <v>23.706499999999998</v>
      </c>
      <c r="G731" s="8">
        <f>CHOOSE( CONTROL!$C$32, 22.7366, 22.7362) * CHOOSE( CONTROL!$C$15, $D$11, 100%, $F$11)</f>
        <v>22.736599999999999</v>
      </c>
      <c r="H731" s="4">
        <f>CHOOSE( CONTROL!$C$32, 23.6756, 23.6751) * CHOOSE(CONTROL!$C$15, $D$11, 100%, $F$11)</f>
        <v>23.675599999999999</v>
      </c>
      <c r="I731" s="8">
        <f>CHOOSE( CONTROL!$C$32, 22.4043, 22.4039) * CHOOSE(CONTROL!$C$15, $D$11, 100%, $F$11)</f>
        <v>22.404299999999999</v>
      </c>
      <c r="J731" s="4">
        <f>CHOOSE( CONTROL!$C$32, 22.3103, 22.3098) * CHOOSE(CONTROL!$C$15, $D$11, 100%, $F$11)</f>
        <v>22.310300000000002</v>
      </c>
      <c r="K731" s="4"/>
      <c r="L731" s="9">
        <v>30.7165</v>
      </c>
      <c r="M731" s="9">
        <v>12.063700000000001</v>
      </c>
      <c r="N731" s="9">
        <v>4.9444999999999997</v>
      </c>
      <c r="O731" s="9">
        <v>0.37409999999999999</v>
      </c>
      <c r="P731" s="9">
        <v>1.2927</v>
      </c>
      <c r="Q731" s="9">
        <v>19.688099999999999</v>
      </c>
      <c r="R731" s="9"/>
      <c r="S731" s="11"/>
    </row>
    <row r="732" spans="1:19" ht="15.75">
      <c r="A732" s="13">
        <v>63432</v>
      </c>
      <c r="B732" s="8">
        <f>CHOOSE( CONTROL!$C$32, 21.2251, 21.2246) * CHOOSE(CONTROL!$C$15, $D$11, 100%, $F$11)</f>
        <v>21.225100000000001</v>
      </c>
      <c r="C732" s="8">
        <f>CHOOSE( CONTROL!$C$32, 21.2331, 21.2326) * CHOOSE(CONTROL!$C$15, $D$11, 100%, $F$11)</f>
        <v>21.2331</v>
      </c>
      <c r="D732" s="8">
        <f>CHOOSE( CONTROL!$C$32, 21.2283, 21.2279) * CHOOSE( CONTROL!$C$15, $D$11, 100%, $F$11)</f>
        <v>21.228300000000001</v>
      </c>
      <c r="E732" s="12">
        <f>CHOOSE( CONTROL!$C$32, 21.2288, 21.2284) * CHOOSE( CONTROL!$C$15, $D$11, 100%, $F$11)</f>
        <v>21.2288</v>
      </c>
      <c r="F732" s="4">
        <f>CHOOSE( CONTROL!$C$32, 21.932, 21.9316) * CHOOSE(CONTROL!$C$15, $D$11, 100%, $F$11)</f>
        <v>21.931999999999999</v>
      </c>
      <c r="G732" s="8">
        <f>CHOOSE( CONTROL!$C$32, 20.983, 20.9826) * CHOOSE( CONTROL!$C$15, $D$11, 100%, $F$11)</f>
        <v>20.983000000000001</v>
      </c>
      <c r="H732" s="4">
        <f>CHOOSE( CONTROL!$C$32, 21.9218, 21.9214) * CHOOSE(CONTROL!$C$15, $D$11, 100%, $F$11)</f>
        <v>21.921800000000001</v>
      </c>
      <c r="I732" s="8">
        <f>CHOOSE( CONTROL!$C$32, 20.6818, 20.6813) * CHOOSE(CONTROL!$C$15, $D$11, 100%, $F$11)</f>
        <v>20.681799999999999</v>
      </c>
      <c r="J732" s="4">
        <f>CHOOSE( CONTROL!$C$32, 20.5881, 20.5877) * CHOOSE(CONTROL!$C$15, $D$11, 100%, $F$11)</f>
        <v>20.588100000000001</v>
      </c>
      <c r="K732" s="4"/>
      <c r="L732" s="9">
        <v>30.7165</v>
      </c>
      <c r="M732" s="9">
        <v>12.063700000000001</v>
      </c>
      <c r="N732" s="9">
        <v>4.9444999999999997</v>
      </c>
      <c r="O732" s="9">
        <v>0.37409999999999999</v>
      </c>
      <c r="P732" s="9">
        <v>1.2927</v>
      </c>
      <c r="Q732" s="9">
        <v>19.688099999999999</v>
      </c>
      <c r="R732" s="9"/>
      <c r="S732" s="11"/>
    </row>
    <row r="733" spans="1:19" ht="15.75">
      <c r="A733" s="13">
        <v>63462</v>
      </c>
      <c r="B733" s="8">
        <f>CHOOSE( CONTROL!$C$32, 20.7807, 20.7803) * CHOOSE(CONTROL!$C$15, $D$11, 100%, $F$11)</f>
        <v>20.7807</v>
      </c>
      <c r="C733" s="8">
        <f>CHOOSE( CONTROL!$C$32, 20.7887, 20.7882) * CHOOSE(CONTROL!$C$15, $D$11, 100%, $F$11)</f>
        <v>20.788699999999999</v>
      </c>
      <c r="D733" s="8">
        <f>CHOOSE( CONTROL!$C$32, 20.7838, 20.7834) * CHOOSE( CONTROL!$C$15, $D$11, 100%, $F$11)</f>
        <v>20.783799999999999</v>
      </c>
      <c r="E733" s="12">
        <f>CHOOSE( CONTROL!$C$32, 20.7844, 20.7839) * CHOOSE( CONTROL!$C$15, $D$11, 100%, $F$11)</f>
        <v>20.784400000000002</v>
      </c>
      <c r="F733" s="4">
        <f>CHOOSE( CONTROL!$C$32, 21.4877, 21.4872) * CHOOSE(CONTROL!$C$15, $D$11, 100%, $F$11)</f>
        <v>21.4877</v>
      </c>
      <c r="G733" s="8">
        <f>CHOOSE( CONTROL!$C$32, 20.5437, 20.5433) * CHOOSE( CONTROL!$C$15, $D$11, 100%, $F$11)</f>
        <v>20.543700000000001</v>
      </c>
      <c r="H733" s="4">
        <f>CHOOSE( CONTROL!$C$32, 21.4827, 21.4822) * CHOOSE(CONTROL!$C$15, $D$11, 100%, $F$11)</f>
        <v>21.482700000000001</v>
      </c>
      <c r="I733" s="8">
        <f>CHOOSE( CONTROL!$C$32, 20.2498, 20.2494) * CHOOSE(CONTROL!$C$15, $D$11, 100%, $F$11)</f>
        <v>20.2498</v>
      </c>
      <c r="J733" s="4">
        <f>CHOOSE( CONTROL!$C$32, 20.1569, 20.1564) * CHOOSE(CONTROL!$C$15, $D$11, 100%, $F$11)</f>
        <v>20.1569</v>
      </c>
      <c r="K733" s="4"/>
      <c r="L733" s="9">
        <v>29.7257</v>
      </c>
      <c r="M733" s="9">
        <v>11.6745</v>
      </c>
      <c r="N733" s="9">
        <v>4.7850000000000001</v>
      </c>
      <c r="O733" s="9">
        <v>0.36199999999999999</v>
      </c>
      <c r="P733" s="9">
        <v>1.2509999999999999</v>
      </c>
      <c r="Q733" s="9">
        <v>19.053000000000001</v>
      </c>
      <c r="R733" s="9"/>
      <c r="S733" s="11"/>
    </row>
    <row r="734" spans="1:19" ht="15.75">
      <c r="A734" s="13">
        <v>63493</v>
      </c>
      <c r="B734" s="8">
        <f>CHOOSE( CONTROL!$C$32, 21.7015, 21.7012) * CHOOSE(CONTROL!$C$15, $D$11, 100%, $F$11)</f>
        <v>21.701499999999999</v>
      </c>
      <c r="C734" s="8">
        <f>CHOOSE( CONTROL!$C$32, 21.7068, 21.7065) * CHOOSE(CONTROL!$C$15, $D$11, 100%, $F$11)</f>
        <v>21.706800000000001</v>
      </c>
      <c r="D734" s="8">
        <f>CHOOSE( CONTROL!$C$32, 21.707, 21.7067) * CHOOSE( CONTROL!$C$15, $D$11, 100%, $F$11)</f>
        <v>21.707000000000001</v>
      </c>
      <c r="E734" s="12">
        <f>CHOOSE( CONTROL!$C$32, 21.7064, 21.7061) * CHOOSE( CONTROL!$C$15, $D$11, 100%, $F$11)</f>
        <v>21.706399999999999</v>
      </c>
      <c r="F734" s="4">
        <f>CHOOSE( CONTROL!$C$32, 22.4101, 22.4099) * CHOOSE(CONTROL!$C$15, $D$11, 100%, $F$11)</f>
        <v>22.4101</v>
      </c>
      <c r="G734" s="8">
        <f>CHOOSE( CONTROL!$C$32, 21.4553, 21.4551) * CHOOSE( CONTROL!$C$15, $D$11, 100%, $F$11)</f>
        <v>21.455300000000001</v>
      </c>
      <c r="H734" s="4">
        <f>CHOOSE( CONTROL!$C$32, 22.3943, 22.3941) * CHOOSE(CONTROL!$C$15, $D$11, 100%, $F$11)</f>
        <v>22.394300000000001</v>
      </c>
      <c r="I734" s="8">
        <f>CHOOSE( CONTROL!$C$32, 21.1462, 21.1459) * CHOOSE(CONTROL!$C$15, $D$11, 100%, $F$11)</f>
        <v>21.1462</v>
      </c>
      <c r="J734" s="4">
        <f>CHOOSE( CONTROL!$C$32, 21.0521, 21.0519) * CHOOSE(CONTROL!$C$15, $D$11, 100%, $F$11)</f>
        <v>21.052099999999999</v>
      </c>
      <c r="K734" s="4"/>
      <c r="L734" s="9">
        <v>31.095300000000002</v>
      </c>
      <c r="M734" s="9">
        <v>12.063700000000001</v>
      </c>
      <c r="N734" s="9">
        <v>4.9444999999999997</v>
      </c>
      <c r="O734" s="9">
        <v>0.37409999999999999</v>
      </c>
      <c r="P734" s="9">
        <v>1.2927</v>
      </c>
      <c r="Q734" s="9">
        <v>19.688099999999999</v>
      </c>
      <c r="R734" s="9"/>
      <c r="S734" s="11"/>
    </row>
    <row r="735" spans="1:19" ht="15.75">
      <c r="A735" s="13">
        <v>63523</v>
      </c>
      <c r="B735" s="8">
        <f>CHOOSE( CONTROL!$C$32, 23.4041, 23.4038) * CHOOSE(CONTROL!$C$15, $D$11, 100%, $F$11)</f>
        <v>23.4041</v>
      </c>
      <c r="C735" s="8">
        <f>CHOOSE( CONTROL!$C$32, 23.4091, 23.4089) * CHOOSE(CONTROL!$C$15, $D$11, 100%, $F$11)</f>
        <v>23.409099999999999</v>
      </c>
      <c r="D735" s="8">
        <f>CHOOSE( CONTROL!$C$32, 23.377, 23.3767) * CHOOSE( CONTROL!$C$15, $D$11, 100%, $F$11)</f>
        <v>23.376999999999999</v>
      </c>
      <c r="E735" s="12">
        <f>CHOOSE( CONTROL!$C$32, 23.3882, 23.3879) * CHOOSE( CONTROL!$C$15, $D$11, 100%, $F$11)</f>
        <v>23.388200000000001</v>
      </c>
      <c r="F735" s="4">
        <f>CHOOSE( CONTROL!$C$32, 24.0693, 24.0691) * CHOOSE(CONTROL!$C$15, $D$11, 100%, $F$11)</f>
        <v>24.069299999999998</v>
      </c>
      <c r="G735" s="8">
        <f>CHOOSE( CONTROL!$C$32, 23.1273, 23.1271) * CHOOSE( CONTROL!$C$15, $D$11, 100%, $F$11)</f>
        <v>23.127300000000002</v>
      </c>
      <c r="H735" s="4">
        <f>CHOOSE( CONTROL!$C$32, 24.0341, 24.0338) * CHOOSE(CONTROL!$C$15, $D$11, 100%, $F$11)</f>
        <v>24.034099999999999</v>
      </c>
      <c r="I735" s="8">
        <f>CHOOSE( CONTROL!$C$32, 22.8506, 22.8504) * CHOOSE(CONTROL!$C$15, $D$11, 100%, $F$11)</f>
        <v>22.8506</v>
      </c>
      <c r="J735" s="4">
        <f>CHOOSE( CONTROL!$C$32, 22.7049, 22.7046) * CHOOSE(CONTROL!$C$15, $D$11, 100%, $F$11)</f>
        <v>22.704899999999999</v>
      </c>
      <c r="K735" s="4"/>
      <c r="L735" s="9">
        <v>28.360600000000002</v>
      </c>
      <c r="M735" s="9">
        <v>11.6745</v>
      </c>
      <c r="N735" s="9">
        <v>4.7850000000000001</v>
      </c>
      <c r="O735" s="9">
        <v>0.36199999999999999</v>
      </c>
      <c r="P735" s="9">
        <v>1.2509999999999999</v>
      </c>
      <c r="Q735" s="9">
        <v>19.053000000000001</v>
      </c>
      <c r="R735" s="9"/>
      <c r="S735" s="11"/>
    </row>
    <row r="736" spans="1:19" ht="15.75">
      <c r="A736" s="13">
        <v>63554</v>
      </c>
      <c r="B736" s="8">
        <f>CHOOSE( CONTROL!$C$32, 23.3615, 23.3612) * CHOOSE(CONTROL!$C$15, $D$11, 100%, $F$11)</f>
        <v>23.361499999999999</v>
      </c>
      <c r="C736" s="8">
        <f>CHOOSE( CONTROL!$C$32, 23.3666, 23.3663) * CHOOSE(CONTROL!$C$15, $D$11, 100%, $F$11)</f>
        <v>23.366599999999998</v>
      </c>
      <c r="D736" s="8">
        <f>CHOOSE( CONTROL!$C$32, 23.3363, 23.336) * CHOOSE( CONTROL!$C$15, $D$11, 100%, $F$11)</f>
        <v>23.336300000000001</v>
      </c>
      <c r="E736" s="12">
        <f>CHOOSE( CONTROL!$C$32, 23.3468, 23.3465) * CHOOSE( CONTROL!$C$15, $D$11, 100%, $F$11)</f>
        <v>23.346800000000002</v>
      </c>
      <c r="F736" s="4">
        <f>CHOOSE( CONTROL!$C$32, 24.0268, 24.0265) * CHOOSE(CONTROL!$C$15, $D$11, 100%, $F$11)</f>
        <v>24.026800000000001</v>
      </c>
      <c r="G736" s="8">
        <f>CHOOSE( CONTROL!$C$32, 23.0866, 23.0863) * CHOOSE( CONTROL!$C$15, $D$11, 100%, $F$11)</f>
        <v>23.086600000000001</v>
      </c>
      <c r="H736" s="4">
        <f>CHOOSE( CONTROL!$C$32, 23.9921, 23.9918) * CHOOSE(CONTROL!$C$15, $D$11, 100%, $F$11)</f>
        <v>23.992100000000001</v>
      </c>
      <c r="I736" s="8">
        <f>CHOOSE( CONTROL!$C$32, 22.815, 22.8147) * CHOOSE(CONTROL!$C$15, $D$11, 100%, $F$11)</f>
        <v>22.815000000000001</v>
      </c>
      <c r="J736" s="4">
        <f>CHOOSE( CONTROL!$C$32, 22.6636, 22.6633) * CHOOSE(CONTROL!$C$15, $D$11, 100%, $F$11)</f>
        <v>22.663599999999999</v>
      </c>
      <c r="K736" s="4"/>
      <c r="L736" s="9">
        <v>29.306000000000001</v>
      </c>
      <c r="M736" s="9">
        <v>12.063700000000001</v>
      </c>
      <c r="N736" s="9">
        <v>4.9444999999999997</v>
      </c>
      <c r="O736" s="9">
        <v>0.37409999999999999</v>
      </c>
      <c r="P736" s="9">
        <v>1.2927</v>
      </c>
      <c r="Q736" s="9">
        <v>19.688099999999999</v>
      </c>
      <c r="R736" s="9"/>
      <c r="S736" s="11"/>
    </row>
    <row r="737" spans="1:19" ht="15.75">
      <c r="A737" s="13">
        <v>63585</v>
      </c>
      <c r="B737" s="8">
        <f>CHOOSE( CONTROL!$C$32, 24.0503, 24.0501) * CHOOSE(CONTROL!$C$15, $D$11, 100%, $F$11)</f>
        <v>24.0503</v>
      </c>
      <c r="C737" s="8">
        <f>CHOOSE( CONTROL!$C$32, 24.0554, 24.0551) * CHOOSE(CONTROL!$C$15, $D$11, 100%, $F$11)</f>
        <v>24.055399999999999</v>
      </c>
      <c r="D737" s="8">
        <f>CHOOSE( CONTROL!$C$32, 24.053, 24.0528) * CHOOSE( CONTROL!$C$15, $D$11, 100%, $F$11)</f>
        <v>24.053000000000001</v>
      </c>
      <c r="E737" s="12">
        <f>CHOOSE( CONTROL!$C$32, 24.0533, 24.0531) * CHOOSE( CONTROL!$C$15, $D$11, 100%, $F$11)</f>
        <v>24.0533</v>
      </c>
      <c r="F737" s="4">
        <f>CHOOSE( CONTROL!$C$32, 24.7156, 24.7153) * CHOOSE(CONTROL!$C$15, $D$11, 100%, $F$11)</f>
        <v>24.715599999999998</v>
      </c>
      <c r="G737" s="8">
        <f>CHOOSE( CONTROL!$C$32, 23.7835, 23.7832) * CHOOSE( CONTROL!$C$15, $D$11, 100%, $F$11)</f>
        <v>23.7835</v>
      </c>
      <c r="H737" s="4">
        <f>CHOOSE( CONTROL!$C$32, 24.6728, 24.6725) * CHOOSE(CONTROL!$C$15, $D$11, 100%, $F$11)</f>
        <v>24.672799999999999</v>
      </c>
      <c r="I737" s="8">
        <f>CHOOSE( CONTROL!$C$32, 23.4574, 23.4571) * CHOOSE(CONTROL!$C$15, $D$11, 100%, $F$11)</f>
        <v>23.4574</v>
      </c>
      <c r="J737" s="4">
        <f>CHOOSE( CONTROL!$C$32, 23.3321, 23.3318) * CHOOSE(CONTROL!$C$15, $D$11, 100%, $F$11)</f>
        <v>23.332100000000001</v>
      </c>
      <c r="K737" s="4"/>
      <c r="L737" s="9">
        <v>29.306000000000001</v>
      </c>
      <c r="M737" s="9">
        <v>12.063700000000001</v>
      </c>
      <c r="N737" s="9">
        <v>4.9444999999999997</v>
      </c>
      <c r="O737" s="9">
        <v>0.37409999999999999</v>
      </c>
      <c r="P737" s="9">
        <v>1.2927</v>
      </c>
      <c r="Q737" s="9">
        <v>19.688099999999999</v>
      </c>
      <c r="R737" s="9"/>
      <c r="S737" s="11"/>
    </row>
    <row r="738" spans="1:19" ht="15.75">
      <c r="A738" s="13">
        <v>63613</v>
      </c>
      <c r="B738" s="8">
        <f>CHOOSE( CONTROL!$C$32, 22.4961, 22.4958) * CHOOSE(CONTROL!$C$15, $D$11, 100%, $F$11)</f>
        <v>22.496099999999998</v>
      </c>
      <c r="C738" s="8">
        <f>CHOOSE( CONTROL!$C$32, 22.5012, 22.5009) * CHOOSE(CONTROL!$C$15, $D$11, 100%, $F$11)</f>
        <v>22.501200000000001</v>
      </c>
      <c r="D738" s="8">
        <f>CHOOSE( CONTROL!$C$32, 22.4812, 22.4809) * CHOOSE( CONTROL!$C$15, $D$11, 100%, $F$11)</f>
        <v>22.481200000000001</v>
      </c>
      <c r="E738" s="12">
        <f>CHOOSE( CONTROL!$C$32, 22.488, 22.4877) * CHOOSE( CONTROL!$C$15, $D$11, 100%, $F$11)</f>
        <v>22.488</v>
      </c>
      <c r="F738" s="4">
        <f>CHOOSE( CONTROL!$C$32, 23.1614, 23.1611) * CHOOSE(CONTROL!$C$15, $D$11, 100%, $F$11)</f>
        <v>23.1614</v>
      </c>
      <c r="G738" s="8">
        <f>CHOOSE( CONTROL!$C$32, 22.2364, 22.2361) * CHOOSE( CONTROL!$C$15, $D$11, 100%, $F$11)</f>
        <v>22.2364</v>
      </c>
      <c r="H738" s="4">
        <f>CHOOSE( CONTROL!$C$32, 23.1368, 23.1365) * CHOOSE(CONTROL!$C$15, $D$11, 100%, $F$11)</f>
        <v>23.136800000000001</v>
      </c>
      <c r="I738" s="8">
        <f>CHOOSE( CONTROL!$C$32, 21.9487, 21.9484) * CHOOSE(CONTROL!$C$15, $D$11, 100%, $F$11)</f>
        <v>21.948699999999999</v>
      </c>
      <c r="J738" s="4">
        <f>CHOOSE( CONTROL!$C$32, 21.8237, 21.8235) * CHOOSE(CONTROL!$C$15, $D$11, 100%, $F$11)</f>
        <v>21.823699999999999</v>
      </c>
      <c r="K738" s="4"/>
      <c r="L738" s="9">
        <v>26.469899999999999</v>
      </c>
      <c r="M738" s="9">
        <v>10.8962</v>
      </c>
      <c r="N738" s="9">
        <v>4.4660000000000002</v>
      </c>
      <c r="O738" s="9">
        <v>0.33789999999999998</v>
      </c>
      <c r="P738" s="9">
        <v>1.1676</v>
      </c>
      <c r="Q738" s="9">
        <v>17.782800000000002</v>
      </c>
      <c r="R738" s="9"/>
      <c r="S738" s="11"/>
    </row>
    <row r="739" spans="1:19" ht="15.75">
      <c r="A739" s="13">
        <v>63644</v>
      </c>
      <c r="B739" s="8">
        <f>CHOOSE( CONTROL!$C$32, 22.0174, 22.0171) * CHOOSE(CONTROL!$C$15, $D$11, 100%, $F$11)</f>
        <v>22.017399999999999</v>
      </c>
      <c r="C739" s="8">
        <f>CHOOSE( CONTROL!$C$32, 22.0225, 22.0222) * CHOOSE(CONTROL!$C$15, $D$11, 100%, $F$11)</f>
        <v>22.022500000000001</v>
      </c>
      <c r="D739" s="8">
        <f>CHOOSE( CONTROL!$C$32, 21.9925, 21.9922) * CHOOSE( CONTROL!$C$15, $D$11, 100%, $F$11)</f>
        <v>21.9925</v>
      </c>
      <c r="E739" s="12">
        <f>CHOOSE( CONTROL!$C$32, 22.0029, 22.0026) * CHOOSE( CONTROL!$C$15, $D$11, 100%, $F$11)</f>
        <v>22.0029</v>
      </c>
      <c r="F739" s="4">
        <f>CHOOSE( CONTROL!$C$32, 22.6827, 22.6824) * CHOOSE(CONTROL!$C$15, $D$11, 100%, $F$11)</f>
        <v>22.682700000000001</v>
      </c>
      <c r="G739" s="8">
        <f>CHOOSE( CONTROL!$C$32, 21.75, 21.7498) * CHOOSE( CONTROL!$C$15, $D$11, 100%, $F$11)</f>
        <v>21.75</v>
      </c>
      <c r="H739" s="4">
        <f>CHOOSE( CONTROL!$C$32, 22.6637, 22.6634) * CHOOSE(CONTROL!$C$15, $D$11, 100%, $F$11)</f>
        <v>22.663699999999999</v>
      </c>
      <c r="I739" s="8">
        <f>CHOOSE( CONTROL!$C$32, 21.4487, 21.4484) * CHOOSE(CONTROL!$C$15, $D$11, 100%, $F$11)</f>
        <v>21.448699999999999</v>
      </c>
      <c r="J739" s="4">
        <f>CHOOSE( CONTROL!$C$32, 21.3592, 21.3589) * CHOOSE(CONTROL!$C$15, $D$11, 100%, $F$11)</f>
        <v>21.359200000000001</v>
      </c>
      <c r="K739" s="4"/>
      <c r="L739" s="9">
        <v>29.306000000000001</v>
      </c>
      <c r="M739" s="9">
        <v>12.063700000000001</v>
      </c>
      <c r="N739" s="9">
        <v>4.9444999999999997</v>
      </c>
      <c r="O739" s="9">
        <v>0.37409999999999999</v>
      </c>
      <c r="P739" s="9">
        <v>1.2927</v>
      </c>
      <c r="Q739" s="9">
        <v>19.688099999999999</v>
      </c>
      <c r="R739" s="9"/>
      <c r="S739" s="11"/>
    </row>
    <row r="740" spans="1:19" ht="15.75">
      <c r="A740" s="13">
        <v>63674</v>
      </c>
      <c r="B740" s="8">
        <f>CHOOSE( CONTROL!$C$32, 22.3527, 22.3524) * CHOOSE(CONTROL!$C$15, $D$11, 100%, $F$11)</f>
        <v>22.352699999999999</v>
      </c>
      <c r="C740" s="8">
        <f>CHOOSE( CONTROL!$C$32, 22.3572, 22.3569) * CHOOSE(CONTROL!$C$15, $D$11, 100%, $F$11)</f>
        <v>22.357199999999999</v>
      </c>
      <c r="D740" s="8">
        <f>CHOOSE( CONTROL!$C$32, 22.3567, 22.3564) * CHOOSE( CONTROL!$C$15, $D$11, 100%, $F$11)</f>
        <v>22.3567</v>
      </c>
      <c r="E740" s="12">
        <f>CHOOSE( CONTROL!$C$32, 22.3564, 22.3561) * CHOOSE( CONTROL!$C$15, $D$11, 100%, $F$11)</f>
        <v>22.356400000000001</v>
      </c>
      <c r="F740" s="4">
        <f>CHOOSE( CONTROL!$C$32, 23.061, 23.0607) * CHOOSE(CONTROL!$C$15, $D$11, 100%, $F$11)</f>
        <v>23.061</v>
      </c>
      <c r="G740" s="8">
        <f>CHOOSE( CONTROL!$C$32, 22.0976, 22.0973) * CHOOSE( CONTROL!$C$15, $D$11, 100%, $F$11)</f>
        <v>22.0976</v>
      </c>
      <c r="H740" s="4">
        <f>CHOOSE( CONTROL!$C$32, 23.0376, 23.0373) * CHOOSE(CONTROL!$C$15, $D$11, 100%, $F$11)</f>
        <v>23.037600000000001</v>
      </c>
      <c r="I740" s="8">
        <f>CHOOSE( CONTROL!$C$32, 21.774, 21.7737) * CHOOSE(CONTROL!$C$15, $D$11, 100%, $F$11)</f>
        <v>21.774000000000001</v>
      </c>
      <c r="J740" s="4">
        <f>CHOOSE( CONTROL!$C$32, 21.6838, 21.6835) * CHOOSE(CONTROL!$C$15, $D$11, 100%, $F$11)</f>
        <v>21.683800000000002</v>
      </c>
      <c r="K740" s="4"/>
      <c r="L740" s="9">
        <v>30.092199999999998</v>
      </c>
      <c r="M740" s="9">
        <v>11.6745</v>
      </c>
      <c r="N740" s="9">
        <v>4.7850000000000001</v>
      </c>
      <c r="O740" s="9">
        <v>0.36199999999999999</v>
      </c>
      <c r="P740" s="9">
        <v>1.2509999999999999</v>
      </c>
      <c r="Q740" s="9">
        <v>19.053000000000001</v>
      </c>
      <c r="R740" s="9"/>
      <c r="S740" s="11"/>
    </row>
    <row r="741" spans="1:19" ht="15.75">
      <c r="A741" s="13">
        <v>63705</v>
      </c>
      <c r="B741" s="8">
        <f>CHOOSE( CONTROL!$C$32, 22.9496, 22.9491) * CHOOSE(CONTROL!$C$15, $D$11, 100%, $F$11)</f>
        <v>22.9496</v>
      </c>
      <c r="C741" s="8">
        <f>CHOOSE( CONTROL!$C$32, 22.9575, 22.9571) * CHOOSE(CONTROL!$C$15, $D$11, 100%, $F$11)</f>
        <v>22.9575</v>
      </c>
      <c r="D741" s="8">
        <f>CHOOSE( CONTROL!$C$32, 22.9518, 22.9514) * CHOOSE( CONTROL!$C$15, $D$11, 100%, $F$11)</f>
        <v>22.951799999999999</v>
      </c>
      <c r="E741" s="12">
        <f>CHOOSE( CONTROL!$C$32, 22.9527, 22.9522) * CHOOSE( CONTROL!$C$15, $D$11, 100%, $F$11)</f>
        <v>22.9527</v>
      </c>
      <c r="F741" s="4">
        <f>CHOOSE( CONTROL!$C$32, 23.6565, 23.6561) * CHOOSE(CONTROL!$C$15, $D$11, 100%, $F$11)</f>
        <v>23.656500000000001</v>
      </c>
      <c r="G741" s="8">
        <f>CHOOSE( CONTROL!$C$32, 22.6865, 22.686) * CHOOSE( CONTROL!$C$15, $D$11, 100%, $F$11)</f>
        <v>22.686499999999999</v>
      </c>
      <c r="H741" s="4">
        <f>CHOOSE( CONTROL!$C$32, 23.6261, 23.6257) * CHOOSE(CONTROL!$C$15, $D$11, 100%, $F$11)</f>
        <v>23.626100000000001</v>
      </c>
      <c r="I741" s="8">
        <f>CHOOSE( CONTROL!$C$32, 22.3528, 22.3524) * CHOOSE(CONTROL!$C$15, $D$11, 100%, $F$11)</f>
        <v>22.352799999999998</v>
      </c>
      <c r="J741" s="4">
        <f>CHOOSE( CONTROL!$C$32, 22.2617, 22.2613) * CHOOSE(CONTROL!$C$15, $D$11, 100%, $F$11)</f>
        <v>22.261700000000001</v>
      </c>
      <c r="K741" s="4"/>
      <c r="L741" s="9">
        <v>30.7165</v>
      </c>
      <c r="M741" s="9">
        <v>12.063700000000001</v>
      </c>
      <c r="N741" s="9">
        <v>4.9444999999999997</v>
      </c>
      <c r="O741" s="9">
        <v>0.37409999999999999</v>
      </c>
      <c r="P741" s="9">
        <v>1.2927</v>
      </c>
      <c r="Q741" s="9">
        <v>19.688099999999999</v>
      </c>
      <c r="R741" s="9"/>
      <c r="S741" s="11"/>
    </row>
    <row r="742" spans="1:19" ht="15.75">
      <c r="A742" s="13">
        <v>63735</v>
      </c>
      <c r="B742" s="8">
        <f>CHOOSE( CONTROL!$C$32, 22.5808, 22.5803) * CHOOSE(CONTROL!$C$15, $D$11, 100%, $F$11)</f>
        <v>22.5808</v>
      </c>
      <c r="C742" s="8">
        <f>CHOOSE( CONTROL!$C$32, 22.5888, 22.5883) * CHOOSE(CONTROL!$C$15, $D$11, 100%, $F$11)</f>
        <v>22.588799999999999</v>
      </c>
      <c r="D742" s="8">
        <f>CHOOSE( CONTROL!$C$32, 22.5835, 22.583) * CHOOSE( CONTROL!$C$15, $D$11, 100%, $F$11)</f>
        <v>22.583500000000001</v>
      </c>
      <c r="E742" s="12">
        <f>CHOOSE( CONTROL!$C$32, 22.5842, 22.5837) * CHOOSE( CONTROL!$C$15, $D$11, 100%, $F$11)</f>
        <v>22.584199999999999</v>
      </c>
      <c r="F742" s="4">
        <f>CHOOSE( CONTROL!$C$32, 23.2877, 23.2873) * CHOOSE(CONTROL!$C$15, $D$11, 100%, $F$11)</f>
        <v>23.287700000000001</v>
      </c>
      <c r="G742" s="8">
        <f>CHOOSE( CONTROL!$C$32, 22.3224, 22.3219) * CHOOSE( CONTROL!$C$15, $D$11, 100%, $F$11)</f>
        <v>22.322399999999998</v>
      </c>
      <c r="H742" s="4">
        <f>CHOOSE( CONTROL!$C$32, 23.2616, 23.2612) * CHOOSE(CONTROL!$C$15, $D$11, 100%, $F$11)</f>
        <v>23.261600000000001</v>
      </c>
      <c r="I742" s="8">
        <f>CHOOSE( CONTROL!$C$32, 21.9961, 21.9957) * CHOOSE(CONTROL!$C$15, $D$11, 100%, $F$11)</f>
        <v>21.996099999999998</v>
      </c>
      <c r="J742" s="4">
        <f>CHOOSE( CONTROL!$C$32, 21.9038, 21.9034) * CHOOSE(CONTROL!$C$15, $D$11, 100%, $F$11)</f>
        <v>21.9038</v>
      </c>
      <c r="K742" s="4"/>
      <c r="L742" s="9">
        <v>29.7257</v>
      </c>
      <c r="M742" s="9">
        <v>11.6745</v>
      </c>
      <c r="N742" s="9">
        <v>4.7850000000000001</v>
      </c>
      <c r="O742" s="9">
        <v>0.36199999999999999</v>
      </c>
      <c r="P742" s="9">
        <v>1.2509999999999999</v>
      </c>
      <c r="Q742" s="9">
        <v>19.053000000000001</v>
      </c>
      <c r="R742" s="9"/>
      <c r="S742" s="11"/>
    </row>
    <row r="743" spans="1:19" ht="15.75">
      <c r="A743" s="13">
        <v>63766</v>
      </c>
      <c r="B743" s="8">
        <f>CHOOSE( CONTROL!$C$32, 23.5519, 23.5515) * CHOOSE(CONTROL!$C$15, $D$11, 100%, $F$11)</f>
        <v>23.5519</v>
      </c>
      <c r="C743" s="8">
        <f>CHOOSE( CONTROL!$C$32, 23.5599, 23.5595) * CHOOSE(CONTROL!$C$15, $D$11, 100%, $F$11)</f>
        <v>23.559899999999999</v>
      </c>
      <c r="D743" s="8">
        <f>CHOOSE( CONTROL!$C$32, 23.5551, 23.5546) * CHOOSE( CONTROL!$C$15, $D$11, 100%, $F$11)</f>
        <v>23.555099999999999</v>
      </c>
      <c r="E743" s="12">
        <f>CHOOSE( CONTROL!$C$32, 23.5556, 23.5552) * CHOOSE( CONTROL!$C$15, $D$11, 100%, $F$11)</f>
        <v>23.555599999999998</v>
      </c>
      <c r="F743" s="4">
        <f>CHOOSE( CONTROL!$C$32, 24.2589, 24.2584) * CHOOSE(CONTROL!$C$15, $D$11, 100%, $F$11)</f>
        <v>24.258900000000001</v>
      </c>
      <c r="G743" s="8">
        <f>CHOOSE( CONTROL!$C$32, 23.2825, 23.2821) * CHOOSE( CONTROL!$C$15, $D$11, 100%, $F$11)</f>
        <v>23.282499999999999</v>
      </c>
      <c r="H743" s="4">
        <f>CHOOSE( CONTROL!$C$32, 24.2214, 24.221) * CHOOSE(CONTROL!$C$15, $D$11, 100%, $F$11)</f>
        <v>24.221399999999999</v>
      </c>
      <c r="I743" s="8">
        <f>CHOOSE( CONTROL!$C$32, 22.9407, 22.9402) * CHOOSE(CONTROL!$C$15, $D$11, 100%, $F$11)</f>
        <v>22.9407</v>
      </c>
      <c r="J743" s="4">
        <f>CHOOSE( CONTROL!$C$32, 22.8463, 22.8459) * CHOOSE(CONTROL!$C$15, $D$11, 100%, $F$11)</f>
        <v>22.846299999999999</v>
      </c>
      <c r="K743" s="4"/>
      <c r="L743" s="9">
        <v>30.7165</v>
      </c>
      <c r="M743" s="9">
        <v>12.063700000000001</v>
      </c>
      <c r="N743" s="9">
        <v>4.9444999999999997</v>
      </c>
      <c r="O743" s="9">
        <v>0.37409999999999999</v>
      </c>
      <c r="P743" s="9">
        <v>1.2927</v>
      </c>
      <c r="Q743" s="9">
        <v>19.688099999999999</v>
      </c>
      <c r="R743" s="9"/>
      <c r="S743" s="11"/>
    </row>
    <row r="744" spans="1:19" ht="15.75">
      <c r="A744" s="13">
        <v>63797</v>
      </c>
      <c r="B744" s="8">
        <f>CHOOSE( CONTROL!$C$32, 21.7348, 21.7343) * CHOOSE(CONTROL!$C$15, $D$11, 100%, $F$11)</f>
        <v>21.7348</v>
      </c>
      <c r="C744" s="8">
        <f>CHOOSE( CONTROL!$C$32, 21.7428, 21.7423) * CHOOSE(CONTROL!$C$15, $D$11, 100%, $F$11)</f>
        <v>21.742799999999999</v>
      </c>
      <c r="D744" s="8">
        <f>CHOOSE( CONTROL!$C$32, 21.7381, 21.7376) * CHOOSE( CONTROL!$C$15, $D$11, 100%, $F$11)</f>
        <v>21.738099999999999</v>
      </c>
      <c r="E744" s="12">
        <f>CHOOSE( CONTROL!$C$32, 21.7386, 21.7381) * CHOOSE( CONTROL!$C$15, $D$11, 100%, $F$11)</f>
        <v>21.738600000000002</v>
      </c>
      <c r="F744" s="4">
        <f>CHOOSE( CONTROL!$C$32, 22.4417, 22.4413) * CHOOSE(CONTROL!$C$15, $D$11, 100%, $F$11)</f>
        <v>22.441700000000001</v>
      </c>
      <c r="G744" s="8">
        <f>CHOOSE( CONTROL!$C$32, 21.4867, 21.4863) * CHOOSE( CONTROL!$C$15, $D$11, 100%, $F$11)</f>
        <v>21.486699999999999</v>
      </c>
      <c r="H744" s="4">
        <f>CHOOSE( CONTROL!$C$32, 22.4256, 22.4251) * CHOOSE(CONTROL!$C$15, $D$11, 100%, $F$11)</f>
        <v>22.425599999999999</v>
      </c>
      <c r="I744" s="8">
        <f>CHOOSE( CONTROL!$C$32, 21.1767, 21.1763) * CHOOSE(CONTROL!$C$15, $D$11, 100%, $F$11)</f>
        <v>21.1767</v>
      </c>
      <c r="J744" s="4">
        <f>CHOOSE( CONTROL!$C$32, 21.0828, 21.0824) * CHOOSE(CONTROL!$C$15, $D$11, 100%, $F$11)</f>
        <v>21.082799999999999</v>
      </c>
      <c r="K744" s="4"/>
      <c r="L744" s="9">
        <v>30.7165</v>
      </c>
      <c r="M744" s="9">
        <v>12.063700000000001</v>
      </c>
      <c r="N744" s="9">
        <v>4.9444999999999997</v>
      </c>
      <c r="O744" s="9">
        <v>0.37409999999999999</v>
      </c>
      <c r="P744" s="9">
        <v>1.2927</v>
      </c>
      <c r="Q744" s="9">
        <v>19.688099999999999</v>
      </c>
      <c r="R744" s="9"/>
      <c r="S744" s="11"/>
    </row>
    <row r="745" spans="1:19" ht="15.75">
      <c r="A745" s="13">
        <v>63827</v>
      </c>
      <c r="B745" s="8">
        <f>CHOOSE( CONTROL!$C$32, 21.2798, 21.2793) * CHOOSE(CONTROL!$C$15, $D$11, 100%, $F$11)</f>
        <v>21.279800000000002</v>
      </c>
      <c r="C745" s="8">
        <f>CHOOSE( CONTROL!$C$32, 21.2877, 21.2873) * CHOOSE(CONTROL!$C$15, $D$11, 100%, $F$11)</f>
        <v>21.287700000000001</v>
      </c>
      <c r="D745" s="8">
        <f>CHOOSE( CONTROL!$C$32, 21.2829, 21.2824) * CHOOSE( CONTROL!$C$15, $D$11, 100%, $F$11)</f>
        <v>21.282900000000001</v>
      </c>
      <c r="E745" s="12">
        <f>CHOOSE( CONTROL!$C$32, 21.2834, 21.283) * CHOOSE( CONTROL!$C$15, $D$11, 100%, $F$11)</f>
        <v>21.2834</v>
      </c>
      <c r="F745" s="4">
        <f>CHOOSE( CONTROL!$C$32, 21.9867, 21.9862) * CHOOSE(CONTROL!$C$15, $D$11, 100%, $F$11)</f>
        <v>21.986699999999999</v>
      </c>
      <c r="G745" s="8">
        <f>CHOOSE( CONTROL!$C$32, 21.0369, 21.0365) * CHOOSE( CONTROL!$C$15, $D$11, 100%, $F$11)</f>
        <v>21.036899999999999</v>
      </c>
      <c r="H745" s="4">
        <f>CHOOSE( CONTROL!$C$32, 21.9759, 21.9754) * CHOOSE(CONTROL!$C$15, $D$11, 100%, $F$11)</f>
        <v>21.975899999999999</v>
      </c>
      <c r="I745" s="8">
        <f>CHOOSE( CONTROL!$C$32, 20.7344, 20.7339) * CHOOSE(CONTROL!$C$15, $D$11, 100%, $F$11)</f>
        <v>20.734400000000001</v>
      </c>
      <c r="J745" s="4">
        <f>CHOOSE( CONTROL!$C$32, 20.6412, 20.6407) * CHOOSE(CONTROL!$C$15, $D$11, 100%, $F$11)</f>
        <v>20.641200000000001</v>
      </c>
      <c r="K745" s="4"/>
      <c r="L745" s="9">
        <v>29.7257</v>
      </c>
      <c r="M745" s="9">
        <v>11.6745</v>
      </c>
      <c r="N745" s="9">
        <v>4.7850000000000001</v>
      </c>
      <c r="O745" s="9">
        <v>0.36199999999999999</v>
      </c>
      <c r="P745" s="9">
        <v>1.2509999999999999</v>
      </c>
      <c r="Q745" s="9">
        <v>19.053000000000001</v>
      </c>
      <c r="R745" s="9"/>
      <c r="S745" s="11"/>
    </row>
    <row r="746" spans="1:19" ht="15.75">
      <c r="A746" s="13">
        <v>63858</v>
      </c>
      <c r="B746" s="8">
        <f>CHOOSE( CONTROL!$C$32, 22.2227, 22.2224) * CHOOSE(CONTROL!$C$15, $D$11, 100%, $F$11)</f>
        <v>22.2227</v>
      </c>
      <c r="C746" s="8">
        <f>CHOOSE( CONTROL!$C$32, 22.228, 22.2277) * CHOOSE(CONTROL!$C$15, $D$11, 100%, $F$11)</f>
        <v>22.228000000000002</v>
      </c>
      <c r="D746" s="8">
        <f>CHOOSE( CONTROL!$C$32, 22.2282, 22.2279) * CHOOSE( CONTROL!$C$15, $D$11, 100%, $F$11)</f>
        <v>22.228200000000001</v>
      </c>
      <c r="E746" s="12">
        <f>CHOOSE( CONTROL!$C$32, 22.2276, 22.2273) * CHOOSE( CONTROL!$C$15, $D$11, 100%, $F$11)</f>
        <v>22.227599999999999</v>
      </c>
      <c r="F746" s="4">
        <f>CHOOSE( CONTROL!$C$32, 22.9313, 22.9311) * CHOOSE(CONTROL!$C$15, $D$11, 100%, $F$11)</f>
        <v>22.9313</v>
      </c>
      <c r="G746" s="8">
        <f>CHOOSE( CONTROL!$C$32, 21.9704, 21.9702) * CHOOSE( CONTROL!$C$15, $D$11, 100%, $F$11)</f>
        <v>21.970400000000001</v>
      </c>
      <c r="H746" s="4">
        <f>CHOOSE( CONTROL!$C$32, 22.9094, 22.9092) * CHOOSE(CONTROL!$C$15, $D$11, 100%, $F$11)</f>
        <v>22.909400000000002</v>
      </c>
      <c r="I746" s="8">
        <f>CHOOSE( CONTROL!$C$32, 21.6523, 21.652) * CHOOSE(CONTROL!$C$15, $D$11, 100%, $F$11)</f>
        <v>21.6523</v>
      </c>
      <c r="J746" s="4">
        <f>CHOOSE( CONTROL!$C$32, 21.5579, 21.5577) * CHOOSE(CONTROL!$C$15, $D$11, 100%, $F$11)</f>
        <v>21.5579</v>
      </c>
      <c r="K746" s="4"/>
      <c r="L746" s="9">
        <v>31.095300000000002</v>
      </c>
      <c r="M746" s="9">
        <v>12.063700000000001</v>
      </c>
      <c r="N746" s="9">
        <v>4.9444999999999997</v>
      </c>
      <c r="O746" s="9">
        <v>0.37409999999999999</v>
      </c>
      <c r="P746" s="9">
        <v>1.2927</v>
      </c>
      <c r="Q746" s="9">
        <v>19.688099999999999</v>
      </c>
      <c r="R746" s="9"/>
      <c r="S746" s="11"/>
    </row>
    <row r="747" spans="1:19" ht="15.75">
      <c r="A747" s="13">
        <v>63888</v>
      </c>
      <c r="B747" s="8">
        <f>CHOOSE( CONTROL!$C$32, 23.9662, 23.9659) * CHOOSE(CONTROL!$C$15, $D$11, 100%, $F$11)</f>
        <v>23.966200000000001</v>
      </c>
      <c r="C747" s="8">
        <f>CHOOSE( CONTROL!$C$32, 23.9713, 23.971) * CHOOSE(CONTROL!$C$15, $D$11, 100%, $F$11)</f>
        <v>23.971299999999999</v>
      </c>
      <c r="D747" s="8">
        <f>CHOOSE( CONTROL!$C$32, 23.9391, 23.9388) * CHOOSE( CONTROL!$C$15, $D$11, 100%, $F$11)</f>
        <v>23.9391</v>
      </c>
      <c r="E747" s="12">
        <f>CHOOSE( CONTROL!$C$32, 23.9503, 23.95) * CHOOSE( CONTROL!$C$15, $D$11, 100%, $F$11)</f>
        <v>23.950299999999999</v>
      </c>
      <c r="F747" s="4">
        <f>CHOOSE( CONTROL!$C$32, 24.6315, 24.6312) * CHOOSE(CONTROL!$C$15, $D$11, 100%, $F$11)</f>
        <v>24.631499999999999</v>
      </c>
      <c r="G747" s="8">
        <f>CHOOSE( CONTROL!$C$32, 23.6829, 23.6826) * CHOOSE( CONTROL!$C$15, $D$11, 100%, $F$11)</f>
        <v>23.6829</v>
      </c>
      <c r="H747" s="4">
        <f>CHOOSE( CONTROL!$C$32, 24.5896, 24.5894) * CHOOSE(CONTROL!$C$15, $D$11, 100%, $F$11)</f>
        <v>24.589600000000001</v>
      </c>
      <c r="I747" s="8">
        <f>CHOOSE( CONTROL!$C$32, 23.3964, 23.3962) * CHOOSE(CONTROL!$C$15, $D$11, 100%, $F$11)</f>
        <v>23.3964</v>
      </c>
      <c r="J747" s="4">
        <f>CHOOSE( CONTROL!$C$32, 23.2504, 23.2502) * CHOOSE(CONTROL!$C$15, $D$11, 100%, $F$11)</f>
        <v>23.250399999999999</v>
      </c>
      <c r="K747" s="4"/>
      <c r="L747" s="9">
        <v>28.360600000000002</v>
      </c>
      <c r="M747" s="9">
        <v>11.6745</v>
      </c>
      <c r="N747" s="9">
        <v>4.7850000000000001</v>
      </c>
      <c r="O747" s="9">
        <v>0.36199999999999999</v>
      </c>
      <c r="P747" s="9">
        <v>1.2509999999999999</v>
      </c>
      <c r="Q747" s="9">
        <v>19.053000000000001</v>
      </c>
      <c r="R747" s="9"/>
      <c r="S747" s="11"/>
    </row>
    <row r="748" spans="1:19" ht="15.75">
      <c r="A748" s="13">
        <v>63919</v>
      </c>
      <c r="B748" s="8">
        <f>CHOOSE( CONTROL!$C$32, 23.9226, 23.9223) * CHOOSE(CONTROL!$C$15, $D$11, 100%, $F$11)</f>
        <v>23.922599999999999</v>
      </c>
      <c r="C748" s="8">
        <f>CHOOSE( CONTROL!$C$32, 23.9277, 23.9274) * CHOOSE(CONTROL!$C$15, $D$11, 100%, $F$11)</f>
        <v>23.927700000000002</v>
      </c>
      <c r="D748" s="8">
        <f>CHOOSE( CONTROL!$C$32, 23.8974, 23.8971) * CHOOSE( CONTROL!$C$15, $D$11, 100%, $F$11)</f>
        <v>23.897400000000001</v>
      </c>
      <c r="E748" s="12">
        <f>CHOOSE( CONTROL!$C$32, 23.9079, 23.9076) * CHOOSE( CONTROL!$C$15, $D$11, 100%, $F$11)</f>
        <v>23.907900000000001</v>
      </c>
      <c r="F748" s="4">
        <f>CHOOSE( CONTROL!$C$32, 24.5879, 24.5876) * CHOOSE(CONTROL!$C$15, $D$11, 100%, $F$11)</f>
        <v>24.587900000000001</v>
      </c>
      <c r="G748" s="8">
        <f>CHOOSE( CONTROL!$C$32, 23.6411, 23.6409) * CHOOSE( CONTROL!$C$15, $D$11, 100%, $F$11)</f>
        <v>23.641100000000002</v>
      </c>
      <c r="H748" s="4">
        <f>CHOOSE( CONTROL!$C$32, 24.5466, 24.5463) * CHOOSE(CONTROL!$C$15, $D$11, 100%, $F$11)</f>
        <v>24.546600000000002</v>
      </c>
      <c r="I748" s="8">
        <f>CHOOSE( CONTROL!$C$32, 23.3598, 23.3596) * CHOOSE(CONTROL!$C$15, $D$11, 100%, $F$11)</f>
        <v>23.3598</v>
      </c>
      <c r="J748" s="4">
        <f>CHOOSE( CONTROL!$C$32, 23.2081, 23.2079) * CHOOSE(CONTROL!$C$15, $D$11, 100%, $F$11)</f>
        <v>23.208100000000002</v>
      </c>
      <c r="K748" s="4"/>
      <c r="L748" s="9">
        <v>29.306000000000001</v>
      </c>
      <c r="M748" s="9">
        <v>12.063700000000001</v>
      </c>
      <c r="N748" s="9">
        <v>4.9444999999999997</v>
      </c>
      <c r="O748" s="9">
        <v>0.37409999999999999</v>
      </c>
      <c r="P748" s="9">
        <v>1.2927</v>
      </c>
      <c r="Q748" s="9">
        <v>19.688099999999999</v>
      </c>
      <c r="R748" s="9"/>
      <c r="S748" s="11"/>
    </row>
    <row r="749" spans="1:19" ht="15.75">
      <c r="A749" s="13">
        <v>63950</v>
      </c>
      <c r="B749" s="8">
        <f>CHOOSE( CONTROL!$C$32, 24.628, 24.6277) * CHOOSE(CONTROL!$C$15, $D$11, 100%, $F$11)</f>
        <v>24.628</v>
      </c>
      <c r="C749" s="8">
        <f>CHOOSE( CONTROL!$C$32, 24.633, 24.6328) * CHOOSE(CONTROL!$C$15, $D$11, 100%, $F$11)</f>
        <v>24.632999999999999</v>
      </c>
      <c r="D749" s="8">
        <f>CHOOSE( CONTROL!$C$32, 24.6307, 24.6304) * CHOOSE( CONTROL!$C$15, $D$11, 100%, $F$11)</f>
        <v>24.630700000000001</v>
      </c>
      <c r="E749" s="12">
        <f>CHOOSE( CONTROL!$C$32, 24.631, 24.6307) * CHOOSE( CONTROL!$C$15, $D$11, 100%, $F$11)</f>
        <v>24.631</v>
      </c>
      <c r="F749" s="4">
        <f>CHOOSE( CONTROL!$C$32, 25.2932, 25.293) * CHOOSE(CONTROL!$C$15, $D$11, 100%, $F$11)</f>
        <v>25.293199999999999</v>
      </c>
      <c r="G749" s="8">
        <f>CHOOSE( CONTROL!$C$32, 24.3544, 24.3541) * CHOOSE( CONTROL!$C$15, $D$11, 100%, $F$11)</f>
        <v>24.354399999999998</v>
      </c>
      <c r="H749" s="4">
        <f>CHOOSE( CONTROL!$C$32, 25.2437, 25.2434) * CHOOSE(CONTROL!$C$15, $D$11, 100%, $F$11)</f>
        <v>25.2437</v>
      </c>
      <c r="I749" s="8">
        <f>CHOOSE( CONTROL!$C$32, 24.0182, 24.018) * CHOOSE(CONTROL!$C$15, $D$11, 100%, $F$11)</f>
        <v>24.0182</v>
      </c>
      <c r="J749" s="4">
        <f>CHOOSE( CONTROL!$C$32, 23.8927, 23.8924) * CHOOSE(CONTROL!$C$15, $D$11, 100%, $F$11)</f>
        <v>23.892700000000001</v>
      </c>
      <c r="K749" s="4"/>
      <c r="L749" s="9">
        <v>29.306000000000001</v>
      </c>
      <c r="M749" s="9">
        <v>12.063700000000001</v>
      </c>
      <c r="N749" s="9">
        <v>4.9444999999999997</v>
      </c>
      <c r="O749" s="9">
        <v>0.37409999999999999</v>
      </c>
      <c r="P749" s="9">
        <v>1.2927</v>
      </c>
      <c r="Q749" s="9">
        <v>19.688099999999999</v>
      </c>
      <c r="R749" s="9"/>
      <c r="S749" s="11"/>
    </row>
    <row r="750" spans="1:19" ht="15.75">
      <c r="A750" s="13">
        <v>63978</v>
      </c>
      <c r="B750" s="8">
        <f>CHOOSE( CONTROL!$C$32, 23.0364, 23.0361) * CHOOSE(CONTROL!$C$15, $D$11, 100%, $F$11)</f>
        <v>23.0364</v>
      </c>
      <c r="C750" s="8">
        <f>CHOOSE( CONTROL!$C$32, 23.0415, 23.0412) * CHOOSE(CONTROL!$C$15, $D$11, 100%, $F$11)</f>
        <v>23.041499999999999</v>
      </c>
      <c r="D750" s="8">
        <f>CHOOSE( CONTROL!$C$32, 23.0215, 23.0212) * CHOOSE( CONTROL!$C$15, $D$11, 100%, $F$11)</f>
        <v>23.0215</v>
      </c>
      <c r="E750" s="12">
        <f>CHOOSE( CONTROL!$C$32, 23.0283, 23.028) * CHOOSE( CONTROL!$C$15, $D$11, 100%, $F$11)</f>
        <v>23.028300000000002</v>
      </c>
      <c r="F750" s="4">
        <f>CHOOSE( CONTROL!$C$32, 23.7017, 23.7014) * CHOOSE(CONTROL!$C$15, $D$11, 100%, $F$11)</f>
        <v>23.701699999999999</v>
      </c>
      <c r="G750" s="8">
        <f>CHOOSE( CONTROL!$C$32, 22.7703, 22.7701) * CHOOSE( CONTROL!$C$15, $D$11, 100%, $F$11)</f>
        <v>22.770299999999999</v>
      </c>
      <c r="H750" s="4">
        <f>CHOOSE( CONTROL!$C$32, 23.6708, 23.6705) * CHOOSE(CONTROL!$C$15, $D$11, 100%, $F$11)</f>
        <v>23.6708</v>
      </c>
      <c r="I750" s="8">
        <f>CHOOSE( CONTROL!$C$32, 22.4733, 22.473) * CHOOSE(CONTROL!$C$15, $D$11, 100%, $F$11)</f>
        <v>22.473299999999998</v>
      </c>
      <c r="J750" s="4">
        <f>CHOOSE( CONTROL!$C$32, 22.3481, 22.3478) * CHOOSE(CONTROL!$C$15, $D$11, 100%, $F$11)</f>
        <v>22.348099999999999</v>
      </c>
      <c r="K750" s="4"/>
      <c r="L750" s="9">
        <v>26.469899999999999</v>
      </c>
      <c r="M750" s="9">
        <v>10.8962</v>
      </c>
      <c r="N750" s="9">
        <v>4.4660000000000002</v>
      </c>
      <c r="O750" s="9">
        <v>0.33789999999999998</v>
      </c>
      <c r="P750" s="9">
        <v>1.1676</v>
      </c>
      <c r="Q750" s="9">
        <v>17.782800000000002</v>
      </c>
      <c r="R750" s="9"/>
      <c r="S750" s="11"/>
    </row>
    <row r="751" spans="1:19" ht="15.75">
      <c r="A751" s="13">
        <v>64009</v>
      </c>
      <c r="B751" s="8">
        <f>CHOOSE( CONTROL!$C$32, 22.5462, 22.5459) * CHOOSE(CONTROL!$C$15, $D$11, 100%, $F$11)</f>
        <v>22.546199999999999</v>
      </c>
      <c r="C751" s="8">
        <f>CHOOSE( CONTROL!$C$32, 22.5513, 22.551) * CHOOSE(CONTROL!$C$15, $D$11, 100%, $F$11)</f>
        <v>22.551300000000001</v>
      </c>
      <c r="D751" s="8">
        <f>CHOOSE( CONTROL!$C$32, 22.5213, 22.521) * CHOOSE( CONTROL!$C$15, $D$11, 100%, $F$11)</f>
        <v>22.5213</v>
      </c>
      <c r="E751" s="12">
        <f>CHOOSE( CONTROL!$C$32, 22.5317, 22.5314) * CHOOSE( CONTROL!$C$15, $D$11, 100%, $F$11)</f>
        <v>22.531700000000001</v>
      </c>
      <c r="F751" s="4">
        <f>CHOOSE( CONTROL!$C$32, 23.2115, 23.2112) * CHOOSE(CONTROL!$C$15, $D$11, 100%, $F$11)</f>
        <v>23.211500000000001</v>
      </c>
      <c r="G751" s="8">
        <f>CHOOSE( CONTROL!$C$32, 22.2726, 22.2724) * CHOOSE( CONTROL!$C$15, $D$11, 100%, $F$11)</f>
        <v>22.272600000000001</v>
      </c>
      <c r="H751" s="4">
        <f>CHOOSE( CONTROL!$C$32, 23.1863, 23.186) * CHOOSE(CONTROL!$C$15, $D$11, 100%, $F$11)</f>
        <v>23.186299999999999</v>
      </c>
      <c r="I751" s="8">
        <f>CHOOSE( CONTROL!$C$32, 21.9621, 21.9619) * CHOOSE(CONTROL!$C$15, $D$11, 100%, $F$11)</f>
        <v>21.9621</v>
      </c>
      <c r="J751" s="4">
        <f>CHOOSE( CONTROL!$C$32, 21.8724, 21.8721) * CHOOSE(CONTROL!$C$15, $D$11, 100%, $F$11)</f>
        <v>21.872399999999999</v>
      </c>
      <c r="K751" s="4"/>
      <c r="L751" s="9">
        <v>29.306000000000001</v>
      </c>
      <c r="M751" s="9">
        <v>12.063700000000001</v>
      </c>
      <c r="N751" s="9">
        <v>4.9444999999999997</v>
      </c>
      <c r="O751" s="9">
        <v>0.37409999999999999</v>
      </c>
      <c r="P751" s="9">
        <v>1.2927</v>
      </c>
      <c r="Q751" s="9">
        <v>19.688099999999999</v>
      </c>
      <c r="R751" s="9"/>
      <c r="S751" s="11"/>
    </row>
    <row r="752" spans="1:19" ht="15.75">
      <c r="A752" s="13">
        <v>64039</v>
      </c>
      <c r="B752" s="8">
        <f>CHOOSE( CONTROL!$C$32, 22.8895, 22.8892) * CHOOSE(CONTROL!$C$15, $D$11, 100%, $F$11)</f>
        <v>22.889500000000002</v>
      </c>
      <c r="C752" s="8">
        <f>CHOOSE( CONTROL!$C$32, 22.894, 22.8938) * CHOOSE(CONTROL!$C$15, $D$11, 100%, $F$11)</f>
        <v>22.893999999999998</v>
      </c>
      <c r="D752" s="8">
        <f>CHOOSE( CONTROL!$C$32, 22.8935, 22.8933) * CHOOSE( CONTROL!$C$15, $D$11, 100%, $F$11)</f>
        <v>22.8935</v>
      </c>
      <c r="E752" s="12">
        <f>CHOOSE( CONTROL!$C$32, 22.8932, 22.8929) * CHOOSE( CONTROL!$C$15, $D$11, 100%, $F$11)</f>
        <v>22.8932</v>
      </c>
      <c r="F752" s="4">
        <f>CHOOSE( CONTROL!$C$32, 23.5978, 23.5976) * CHOOSE(CONTROL!$C$15, $D$11, 100%, $F$11)</f>
        <v>23.597799999999999</v>
      </c>
      <c r="G752" s="8">
        <f>CHOOSE( CONTROL!$C$32, 22.6282, 22.6279) * CHOOSE( CONTROL!$C$15, $D$11, 100%, $F$11)</f>
        <v>22.6282</v>
      </c>
      <c r="H752" s="4">
        <f>CHOOSE( CONTROL!$C$32, 23.5681, 23.5679) * CHOOSE(CONTROL!$C$15, $D$11, 100%, $F$11)</f>
        <v>23.568100000000001</v>
      </c>
      <c r="I752" s="8">
        <f>CHOOSE( CONTROL!$C$32, 22.2952, 22.295) * CHOOSE(CONTROL!$C$15, $D$11, 100%, $F$11)</f>
        <v>22.295200000000001</v>
      </c>
      <c r="J752" s="4">
        <f>CHOOSE( CONTROL!$C$32, 22.2048, 22.2045) * CHOOSE(CONTROL!$C$15, $D$11, 100%, $F$11)</f>
        <v>22.204799999999999</v>
      </c>
      <c r="K752" s="4"/>
      <c r="L752" s="9">
        <v>30.092199999999998</v>
      </c>
      <c r="M752" s="9">
        <v>11.6745</v>
      </c>
      <c r="N752" s="9">
        <v>4.7850000000000001</v>
      </c>
      <c r="O752" s="9">
        <v>0.36199999999999999</v>
      </c>
      <c r="P752" s="9">
        <v>1.2509999999999999</v>
      </c>
      <c r="Q752" s="9">
        <v>19.053000000000001</v>
      </c>
      <c r="R752" s="9"/>
      <c r="S752" s="11"/>
    </row>
    <row r="753" spans="1:19" ht="15.75">
      <c r="A753" s="13">
        <v>64070</v>
      </c>
      <c r="B753" s="8">
        <f>CHOOSE( CONTROL!$C$32, 23.5007, 23.5003) * CHOOSE(CONTROL!$C$15, $D$11, 100%, $F$11)</f>
        <v>23.500699999999998</v>
      </c>
      <c r="C753" s="8">
        <f>CHOOSE( CONTROL!$C$32, 23.5087, 23.5082) * CHOOSE(CONTROL!$C$15, $D$11, 100%, $F$11)</f>
        <v>23.508700000000001</v>
      </c>
      <c r="D753" s="8">
        <f>CHOOSE( CONTROL!$C$32, 23.503, 23.5025) * CHOOSE( CONTROL!$C$15, $D$11, 100%, $F$11)</f>
        <v>23.503</v>
      </c>
      <c r="E753" s="12">
        <f>CHOOSE( CONTROL!$C$32, 23.5038, 23.5034) * CHOOSE( CONTROL!$C$15, $D$11, 100%, $F$11)</f>
        <v>23.503799999999998</v>
      </c>
      <c r="F753" s="4">
        <f>CHOOSE( CONTROL!$C$32, 24.2076, 24.2072) * CHOOSE(CONTROL!$C$15, $D$11, 100%, $F$11)</f>
        <v>24.207599999999999</v>
      </c>
      <c r="G753" s="8">
        <f>CHOOSE( CONTROL!$C$32, 23.2312, 23.2307) * CHOOSE( CONTROL!$C$15, $D$11, 100%, $F$11)</f>
        <v>23.231200000000001</v>
      </c>
      <c r="H753" s="4">
        <f>CHOOSE( CONTROL!$C$32, 24.1708, 24.1703) * CHOOSE(CONTROL!$C$15, $D$11, 100%, $F$11)</f>
        <v>24.1708</v>
      </c>
      <c r="I753" s="8">
        <f>CHOOSE( CONTROL!$C$32, 22.888, 22.8875) * CHOOSE(CONTROL!$C$15, $D$11, 100%, $F$11)</f>
        <v>22.888000000000002</v>
      </c>
      <c r="J753" s="4">
        <f>CHOOSE( CONTROL!$C$32, 22.7966, 22.7962) * CHOOSE(CONTROL!$C$15, $D$11, 100%, $F$11)</f>
        <v>22.796600000000002</v>
      </c>
      <c r="K753" s="4"/>
      <c r="L753" s="9">
        <v>30.7165</v>
      </c>
      <c r="M753" s="9">
        <v>12.063700000000001</v>
      </c>
      <c r="N753" s="9">
        <v>4.9444999999999997</v>
      </c>
      <c r="O753" s="9">
        <v>0.37409999999999999</v>
      </c>
      <c r="P753" s="9">
        <v>1.2927</v>
      </c>
      <c r="Q753" s="9">
        <v>19.688099999999999</v>
      </c>
      <c r="R753" s="9"/>
      <c r="S753" s="11"/>
    </row>
    <row r="754" spans="1:19" ht="15.75">
      <c r="A754" s="13">
        <v>64100</v>
      </c>
      <c r="B754" s="8">
        <f>CHOOSE( CONTROL!$C$32, 23.1231, 23.1226) * CHOOSE(CONTROL!$C$15, $D$11, 100%, $F$11)</f>
        <v>23.123100000000001</v>
      </c>
      <c r="C754" s="8">
        <f>CHOOSE( CONTROL!$C$32, 23.131, 23.1306) * CHOOSE(CONTROL!$C$15, $D$11, 100%, $F$11)</f>
        <v>23.131</v>
      </c>
      <c r="D754" s="8">
        <f>CHOOSE( CONTROL!$C$32, 23.1257, 23.1253) * CHOOSE( CONTROL!$C$15, $D$11, 100%, $F$11)</f>
        <v>23.125699999999998</v>
      </c>
      <c r="E754" s="12">
        <f>CHOOSE( CONTROL!$C$32, 23.1264, 23.126) * CHOOSE( CONTROL!$C$15, $D$11, 100%, $F$11)</f>
        <v>23.1264</v>
      </c>
      <c r="F754" s="4">
        <f>CHOOSE( CONTROL!$C$32, 23.83, 23.8295) * CHOOSE(CONTROL!$C$15, $D$11, 100%, $F$11)</f>
        <v>23.83</v>
      </c>
      <c r="G754" s="8">
        <f>CHOOSE( CONTROL!$C$32, 22.8583, 22.8578) * CHOOSE( CONTROL!$C$15, $D$11, 100%, $F$11)</f>
        <v>22.8583</v>
      </c>
      <c r="H754" s="4">
        <f>CHOOSE( CONTROL!$C$32, 23.7976, 23.7971) * CHOOSE(CONTROL!$C$15, $D$11, 100%, $F$11)</f>
        <v>23.797599999999999</v>
      </c>
      <c r="I754" s="8">
        <f>CHOOSE( CONTROL!$C$32, 22.5227, 22.5222) * CHOOSE(CONTROL!$C$15, $D$11, 100%, $F$11)</f>
        <v>22.5227</v>
      </c>
      <c r="J754" s="4">
        <f>CHOOSE( CONTROL!$C$32, 22.4301, 22.4297) * CHOOSE(CONTROL!$C$15, $D$11, 100%, $F$11)</f>
        <v>22.430099999999999</v>
      </c>
      <c r="K754" s="4"/>
      <c r="L754" s="9">
        <v>29.7257</v>
      </c>
      <c r="M754" s="9">
        <v>11.6745</v>
      </c>
      <c r="N754" s="9">
        <v>4.7850000000000001</v>
      </c>
      <c r="O754" s="9">
        <v>0.36199999999999999</v>
      </c>
      <c r="P754" s="9">
        <v>1.2509999999999999</v>
      </c>
      <c r="Q754" s="9">
        <v>19.053000000000001</v>
      </c>
      <c r="R754" s="9"/>
      <c r="S754" s="11"/>
    </row>
    <row r="755" spans="1:19" ht="15.75">
      <c r="A755" s="13">
        <v>64131</v>
      </c>
      <c r="B755" s="8">
        <f>CHOOSE( CONTROL!$C$32, 24.1175, 24.1171) * CHOOSE(CONTROL!$C$15, $D$11, 100%, $F$11)</f>
        <v>24.1175</v>
      </c>
      <c r="C755" s="8">
        <f>CHOOSE( CONTROL!$C$32, 24.1255, 24.1251) * CHOOSE(CONTROL!$C$15, $D$11, 100%, $F$11)</f>
        <v>24.125499999999999</v>
      </c>
      <c r="D755" s="8">
        <f>CHOOSE( CONTROL!$C$32, 24.1207, 24.1202) * CHOOSE( CONTROL!$C$15, $D$11, 100%, $F$11)</f>
        <v>24.120699999999999</v>
      </c>
      <c r="E755" s="12">
        <f>CHOOSE( CONTROL!$C$32, 24.1212, 24.1208) * CHOOSE( CONTROL!$C$15, $D$11, 100%, $F$11)</f>
        <v>24.121200000000002</v>
      </c>
      <c r="F755" s="4">
        <f>CHOOSE( CONTROL!$C$32, 24.8245, 24.824) * CHOOSE(CONTROL!$C$15, $D$11, 100%, $F$11)</f>
        <v>24.8245</v>
      </c>
      <c r="G755" s="8">
        <f>CHOOSE( CONTROL!$C$32, 23.8415, 23.841) * CHOOSE( CONTROL!$C$15, $D$11, 100%, $F$11)</f>
        <v>23.8415</v>
      </c>
      <c r="H755" s="4">
        <f>CHOOSE( CONTROL!$C$32, 24.7804, 24.78) * CHOOSE(CONTROL!$C$15, $D$11, 100%, $F$11)</f>
        <v>24.7804</v>
      </c>
      <c r="I755" s="8">
        <f>CHOOSE( CONTROL!$C$32, 23.4899, 23.4894) * CHOOSE(CONTROL!$C$15, $D$11, 100%, $F$11)</f>
        <v>23.489899999999999</v>
      </c>
      <c r="J755" s="4">
        <f>CHOOSE( CONTROL!$C$32, 23.3953, 23.3948) * CHOOSE(CONTROL!$C$15, $D$11, 100%, $F$11)</f>
        <v>23.395299999999999</v>
      </c>
      <c r="K755" s="4"/>
      <c r="L755" s="9">
        <v>30.7165</v>
      </c>
      <c r="M755" s="9">
        <v>12.063700000000001</v>
      </c>
      <c r="N755" s="9">
        <v>4.9444999999999997</v>
      </c>
      <c r="O755" s="9">
        <v>0.37409999999999999</v>
      </c>
      <c r="P755" s="9">
        <v>1.2927</v>
      </c>
      <c r="Q755" s="9">
        <v>19.688099999999999</v>
      </c>
      <c r="R755" s="9"/>
      <c r="S755" s="11"/>
    </row>
    <row r="756" spans="1:19" ht="15.75">
      <c r="A756" s="13">
        <v>64162</v>
      </c>
      <c r="B756" s="8">
        <f>CHOOSE( CONTROL!$C$32, 22.2567, 22.2563) * CHOOSE(CONTROL!$C$15, $D$11, 100%, $F$11)</f>
        <v>22.256699999999999</v>
      </c>
      <c r="C756" s="8">
        <f>CHOOSE( CONTROL!$C$32, 22.2647, 22.2643) * CHOOSE(CONTROL!$C$15, $D$11, 100%, $F$11)</f>
        <v>22.264700000000001</v>
      </c>
      <c r="D756" s="8">
        <f>CHOOSE( CONTROL!$C$32, 22.26, 22.2596) * CHOOSE( CONTROL!$C$15, $D$11, 100%, $F$11)</f>
        <v>22.26</v>
      </c>
      <c r="E756" s="12">
        <f>CHOOSE( CONTROL!$C$32, 22.2605, 22.2601) * CHOOSE( CONTROL!$C$15, $D$11, 100%, $F$11)</f>
        <v>22.2605</v>
      </c>
      <c r="F756" s="4">
        <f>CHOOSE( CONTROL!$C$32, 22.9637, 22.9632) * CHOOSE(CONTROL!$C$15, $D$11, 100%, $F$11)</f>
        <v>22.963699999999999</v>
      </c>
      <c r="G756" s="8">
        <f>CHOOSE( CONTROL!$C$32, 22.0026, 22.0021) * CHOOSE( CONTROL!$C$15, $D$11, 100%, $F$11)</f>
        <v>22.002600000000001</v>
      </c>
      <c r="H756" s="4">
        <f>CHOOSE( CONTROL!$C$32, 22.9414, 22.941) * CHOOSE(CONTROL!$C$15, $D$11, 100%, $F$11)</f>
        <v>22.941400000000002</v>
      </c>
      <c r="I756" s="8">
        <f>CHOOSE( CONTROL!$C$32, 21.6835, 21.6831) * CHOOSE(CONTROL!$C$15, $D$11, 100%, $F$11)</f>
        <v>21.683499999999999</v>
      </c>
      <c r="J756" s="4">
        <f>CHOOSE( CONTROL!$C$32, 21.5894, 21.5889) * CHOOSE(CONTROL!$C$15, $D$11, 100%, $F$11)</f>
        <v>21.589400000000001</v>
      </c>
      <c r="K756" s="4"/>
      <c r="L756" s="9">
        <v>30.7165</v>
      </c>
      <c r="M756" s="9">
        <v>12.063700000000001</v>
      </c>
      <c r="N756" s="9">
        <v>4.9444999999999997</v>
      </c>
      <c r="O756" s="9">
        <v>0.37409999999999999</v>
      </c>
      <c r="P756" s="9">
        <v>1.2927</v>
      </c>
      <c r="Q756" s="9">
        <v>19.688099999999999</v>
      </c>
      <c r="R756" s="9"/>
      <c r="S756" s="11"/>
    </row>
    <row r="757" spans="1:19" ht="15.75">
      <c r="A757" s="13">
        <v>64192</v>
      </c>
      <c r="B757" s="8">
        <f>CHOOSE( CONTROL!$C$32, 21.7908, 21.7903) * CHOOSE(CONTROL!$C$15, $D$11, 100%, $F$11)</f>
        <v>21.790800000000001</v>
      </c>
      <c r="C757" s="8">
        <f>CHOOSE( CONTROL!$C$32, 21.7988, 21.7983) * CHOOSE(CONTROL!$C$15, $D$11, 100%, $F$11)</f>
        <v>21.7988</v>
      </c>
      <c r="D757" s="8">
        <f>CHOOSE( CONTROL!$C$32, 21.7939, 21.7934) * CHOOSE( CONTROL!$C$15, $D$11, 100%, $F$11)</f>
        <v>21.793900000000001</v>
      </c>
      <c r="E757" s="12">
        <f>CHOOSE( CONTROL!$C$32, 21.7945, 21.794) * CHOOSE( CONTROL!$C$15, $D$11, 100%, $F$11)</f>
        <v>21.794499999999999</v>
      </c>
      <c r="F757" s="4">
        <f>CHOOSE( CONTROL!$C$32, 22.4977, 22.4973) * CHOOSE(CONTROL!$C$15, $D$11, 100%, $F$11)</f>
        <v>22.497699999999998</v>
      </c>
      <c r="G757" s="8">
        <f>CHOOSE( CONTROL!$C$32, 21.542, 21.5415) * CHOOSE( CONTROL!$C$15, $D$11, 100%, $F$11)</f>
        <v>21.542000000000002</v>
      </c>
      <c r="H757" s="4">
        <f>CHOOSE( CONTROL!$C$32, 22.4809, 22.4804) * CHOOSE(CONTROL!$C$15, $D$11, 100%, $F$11)</f>
        <v>22.480899999999998</v>
      </c>
      <c r="I757" s="8">
        <f>CHOOSE( CONTROL!$C$32, 21.2305, 21.2301) * CHOOSE(CONTROL!$C$15, $D$11, 100%, $F$11)</f>
        <v>21.230499999999999</v>
      </c>
      <c r="J757" s="4">
        <f>CHOOSE( CONTROL!$C$32, 21.1371, 21.1367) * CHOOSE(CONTROL!$C$15, $D$11, 100%, $F$11)</f>
        <v>21.1371</v>
      </c>
      <c r="K757" s="4"/>
      <c r="L757" s="9">
        <v>29.7257</v>
      </c>
      <c r="M757" s="9">
        <v>11.6745</v>
      </c>
      <c r="N757" s="9">
        <v>4.7850000000000001</v>
      </c>
      <c r="O757" s="9">
        <v>0.36199999999999999</v>
      </c>
      <c r="P757" s="9">
        <v>1.2509999999999999</v>
      </c>
      <c r="Q757" s="9">
        <v>19.053000000000001</v>
      </c>
      <c r="R757" s="9"/>
      <c r="S757" s="11"/>
    </row>
    <row r="758" spans="1:19" ht="15.75">
      <c r="A758" s="13">
        <v>64223</v>
      </c>
      <c r="B758" s="8">
        <f>CHOOSE( CONTROL!$C$32, 22.7564, 22.7561) * CHOOSE(CONTROL!$C$15, $D$11, 100%, $F$11)</f>
        <v>22.756399999999999</v>
      </c>
      <c r="C758" s="8">
        <f>CHOOSE( CONTROL!$C$32, 22.7617, 22.7614) * CHOOSE(CONTROL!$C$15, $D$11, 100%, $F$11)</f>
        <v>22.761700000000001</v>
      </c>
      <c r="D758" s="8">
        <f>CHOOSE( CONTROL!$C$32, 22.7619, 22.7616) * CHOOSE( CONTROL!$C$15, $D$11, 100%, $F$11)</f>
        <v>22.761900000000001</v>
      </c>
      <c r="E758" s="12">
        <f>CHOOSE( CONTROL!$C$32, 22.7613, 22.761) * CHOOSE( CONTROL!$C$15, $D$11, 100%, $F$11)</f>
        <v>22.761299999999999</v>
      </c>
      <c r="F758" s="4">
        <f>CHOOSE( CONTROL!$C$32, 23.465, 23.4648) * CHOOSE(CONTROL!$C$15, $D$11, 100%, $F$11)</f>
        <v>23.465</v>
      </c>
      <c r="G758" s="8">
        <f>CHOOSE( CONTROL!$C$32, 22.4979, 22.4976) * CHOOSE( CONTROL!$C$15, $D$11, 100%, $F$11)</f>
        <v>22.497900000000001</v>
      </c>
      <c r="H758" s="4">
        <f>CHOOSE( CONTROL!$C$32, 23.4369, 23.4366) * CHOOSE(CONTROL!$C$15, $D$11, 100%, $F$11)</f>
        <v>23.436900000000001</v>
      </c>
      <c r="I758" s="8">
        <f>CHOOSE( CONTROL!$C$32, 22.1705, 22.1702) * CHOOSE(CONTROL!$C$15, $D$11, 100%, $F$11)</f>
        <v>22.170500000000001</v>
      </c>
      <c r="J758" s="4">
        <f>CHOOSE( CONTROL!$C$32, 22.0759, 22.0757) * CHOOSE(CONTROL!$C$15, $D$11, 100%, $F$11)</f>
        <v>22.075900000000001</v>
      </c>
      <c r="K758" s="4"/>
      <c r="L758" s="9">
        <v>31.095300000000002</v>
      </c>
      <c r="M758" s="9">
        <v>12.063700000000001</v>
      </c>
      <c r="N758" s="9">
        <v>4.9444999999999997</v>
      </c>
      <c r="O758" s="9">
        <v>0.37409999999999999</v>
      </c>
      <c r="P758" s="9">
        <v>1.2927</v>
      </c>
      <c r="Q758" s="9">
        <v>19.688099999999999</v>
      </c>
      <c r="R758" s="9"/>
      <c r="S758" s="11"/>
    </row>
    <row r="759" spans="1:19" ht="15.75">
      <c r="A759" s="13">
        <v>64253</v>
      </c>
      <c r="B759" s="8">
        <f>CHOOSE( CONTROL!$C$32, 24.5418, 24.5415) * CHOOSE(CONTROL!$C$15, $D$11, 100%, $F$11)</f>
        <v>24.541799999999999</v>
      </c>
      <c r="C759" s="8">
        <f>CHOOSE( CONTROL!$C$32, 24.5469, 24.5466) * CHOOSE(CONTROL!$C$15, $D$11, 100%, $F$11)</f>
        <v>24.546900000000001</v>
      </c>
      <c r="D759" s="8">
        <f>CHOOSE( CONTROL!$C$32, 24.5147, 24.5145) * CHOOSE( CONTROL!$C$15, $D$11, 100%, $F$11)</f>
        <v>24.514700000000001</v>
      </c>
      <c r="E759" s="12">
        <f>CHOOSE( CONTROL!$C$32, 24.5259, 24.5257) * CHOOSE( CONTROL!$C$15, $D$11, 100%, $F$11)</f>
        <v>24.5259</v>
      </c>
      <c r="F759" s="4">
        <f>CHOOSE( CONTROL!$C$32, 25.2071, 25.2068) * CHOOSE(CONTROL!$C$15, $D$11, 100%, $F$11)</f>
        <v>25.207100000000001</v>
      </c>
      <c r="G759" s="8">
        <f>CHOOSE( CONTROL!$C$32, 24.2518, 24.2515) * CHOOSE( CONTROL!$C$15, $D$11, 100%, $F$11)</f>
        <v>24.251799999999999</v>
      </c>
      <c r="H759" s="4">
        <f>CHOOSE( CONTROL!$C$32, 25.1585, 25.1583) * CHOOSE(CONTROL!$C$15, $D$11, 100%, $F$11)</f>
        <v>25.1585</v>
      </c>
      <c r="I759" s="8">
        <f>CHOOSE( CONTROL!$C$32, 23.9553, 23.9551) * CHOOSE(CONTROL!$C$15, $D$11, 100%, $F$11)</f>
        <v>23.955300000000001</v>
      </c>
      <c r="J759" s="4">
        <f>CHOOSE( CONTROL!$C$32, 23.8091, 23.8088) * CHOOSE(CONTROL!$C$15, $D$11, 100%, $F$11)</f>
        <v>23.809100000000001</v>
      </c>
      <c r="K759" s="4"/>
      <c r="L759" s="9">
        <v>28.360600000000002</v>
      </c>
      <c r="M759" s="9">
        <v>11.6745</v>
      </c>
      <c r="N759" s="9">
        <v>4.7850000000000001</v>
      </c>
      <c r="O759" s="9">
        <v>0.36199999999999999</v>
      </c>
      <c r="P759" s="9">
        <v>1.2509999999999999</v>
      </c>
      <c r="Q759" s="9">
        <v>19.053000000000001</v>
      </c>
      <c r="R759" s="9"/>
      <c r="S759" s="11"/>
    </row>
    <row r="760" spans="1:19" ht="15.75">
      <c r="A760" s="13">
        <v>64284</v>
      </c>
      <c r="B760" s="8">
        <f>CHOOSE( CONTROL!$C$32, 24.4972, 24.4969) * CHOOSE(CONTROL!$C$15, $D$11, 100%, $F$11)</f>
        <v>24.497199999999999</v>
      </c>
      <c r="C760" s="8">
        <f>CHOOSE( CONTROL!$C$32, 24.5023, 24.502) * CHOOSE(CONTROL!$C$15, $D$11, 100%, $F$11)</f>
        <v>24.502300000000002</v>
      </c>
      <c r="D760" s="8">
        <f>CHOOSE( CONTROL!$C$32, 24.472, 24.4717) * CHOOSE( CONTROL!$C$15, $D$11, 100%, $F$11)</f>
        <v>24.472000000000001</v>
      </c>
      <c r="E760" s="12">
        <f>CHOOSE( CONTROL!$C$32, 24.4825, 24.4822) * CHOOSE( CONTROL!$C$15, $D$11, 100%, $F$11)</f>
        <v>24.482500000000002</v>
      </c>
      <c r="F760" s="4">
        <f>CHOOSE( CONTROL!$C$32, 25.1625, 25.1622) * CHOOSE(CONTROL!$C$15, $D$11, 100%, $F$11)</f>
        <v>25.162500000000001</v>
      </c>
      <c r="G760" s="8">
        <f>CHOOSE( CONTROL!$C$32, 24.209, 24.2087) * CHOOSE( CONTROL!$C$15, $D$11, 100%, $F$11)</f>
        <v>24.209</v>
      </c>
      <c r="H760" s="4">
        <f>CHOOSE( CONTROL!$C$32, 25.1144, 25.1142) * CHOOSE(CONTROL!$C$15, $D$11, 100%, $F$11)</f>
        <v>25.1144</v>
      </c>
      <c r="I760" s="8">
        <f>CHOOSE( CONTROL!$C$32, 23.9177, 23.9175) * CHOOSE(CONTROL!$C$15, $D$11, 100%, $F$11)</f>
        <v>23.9177</v>
      </c>
      <c r="J760" s="4">
        <f>CHOOSE( CONTROL!$C$32, 23.7658, 23.7655) * CHOOSE(CONTROL!$C$15, $D$11, 100%, $F$11)</f>
        <v>23.765799999999999</v>
      </c>
      <c r="K760" s="4"/>
      <c r="L760" s="9">
        <v>29.306000000000001</v>
      </c>
      <c r="M760" s="9">
        <v>12.063700000000001</v>
      </c>
      <c r="N760" s="9">
        <v>4.9444999999999997</v>
      </c>
      <c r="O760" s="9">
        <v>0.37409999999999999</v>
      </c>
      <c r="P760" s="9">
        <v>1.2927</v>
      </c>
      <c r="Q760" s="9">
        <v>19.688099999999999</v>
      </c>
      <c r="R760" s="9"/>
      <c r="S760" s="11"/>
    </row>
    <row r="761" spans="1:19" ht="15.75">
      <c r="A761" s="13">
        <v>64315</v>
      </c>
      <c r="B761" s="8">
        <f>CHOOSE( CONTROL!$C$32, 25.2195, 25.2192) * CHOOSE(CONTROL!$C$15, $D$11, 100%, $F$11)</f>
        <v>25.2195</v>
      </c>
      <c r="C761" s="8">
        <f>CHOOSE( CONTROL!$C$32, 25.2246, 25.2243) * CHOOSE(CONTROL!$C$15, $D$11, 100%, $F$11)</f>
        <v>25.224599999999999</v>
      </c>
      <c r="D761" s="8">
        <f>CHOOSE( CONTROL!$C$32, 25.2222, 25.2219) * CHOOSE( CONTROL!$C$15, $D$11, 100%, $F$11)</f>
        <v>25.222200000000001</v>
      </c>
      <c r="E761" s="12">
        <f>CHOOSE( CONTROL!$C$32, 25.2225, 25.2222) * CHOOSE( CONTROL!$C$15, $D$11, 100%, $F$11)</f>
        <v>25.2225</v>
      </c>
      <c r="F761" s="4">
        <f>CHOOSE( CONTROL!$C$32, 25.8848, 25.8845) * CHOOSE(CONTROL!$C$15, $D$11, 100%, $F$11)</f>
        <v>25.884799999999998</v>
      </c>
      <c r="G761" s="8">
        <f>CHOOSE( CONTROL!$C$32, 24.939, 24.9387) * CHOOSE( CONTROL!$C$15, $D$11, 100%, $F$11)</f>
        <v>24.939</v>
      </c>
      <c r="H761" s="4">
        <f>CHOOSE( CONTROL!$C$32, 25.8283, 25.828) * CHOOSE(CONTROL!$C$15, $D$11, 100%, $F$11)</f>
        <v>25.828299999999999</v>
      </c>
      <c r="I761" s="8">
        <f>CHOOSE( CONTROL!$C$32, 24.5926, 24.5923) * CHOOSE(CONTROL!$C$15, $D$11, 100%, $F$11)</f>
        <v>24.592600000000001</v>
      </c>
      <c r="J761" s="4">
        <f>CHOOSE( CONTROL!$C$32, 24.4668, 24.4665) * CHOOSE(CONTROL!$C$15, $D$11, 100%, $F$11)</f>
        <v>24.466799999999999</v>
      </c>
      <c r="K761" s="4"/>
      <c r="L761" s="9">
        <v>29.306000000000001</v>
      </c>
      <c r="M761" s="9">
        <v>12.063700000000001</v>
      </c>
      <c r="N761" s="9">
        <v>4.9444999999999997</v>
      </c>
      <c r="O761" s="9">
        <v>0.37409999999999999</v>
      </c>
      <c r="P761" s="9">
        <v>1.2927</v>
      </c>
      <c r="Q761" s="9">
        <v>19.688099999999999</v>
      </c>
      <c r="R761" s="9"/>
      <c r="S761" s="11"/>
    </row>
    <row r="762" spans="1:19" ht="15.75">
      <c r="A762" s="13">
        <v>64344</v>
      </c>
      <c r="B762" s="8">
        <f>CHOOSE( CONTROL!$C$32, 23.5897, 23.5894) * CHOOSE(CONTROL!$C$15, $D$11, 100%, $F$11)</f>
        <v>23.589700000000001</v>
      </c>
      <c r="C762" s="8">
        <f>CHOOSE( CONTROL!$C$32, 23.5948, 23.5945) * CHOOSE(CONTROL!$C$15, $D$11, 100%, $F$11)</f>
        <v>23.594799999999999</v>
      </c>
      <c r="D762" s="8">
        <f>CHOOSE( CONTROL!$C$32, 23.5747, 23.5745) * CHOOSE( CONTROL!$C$15, $D$11, 100%, $F$11)</f>
        <v>23.5747</v>
      </c>
      <c r="E762" s="12">
        <f>CHOOSE( CONTROL!$C$32, 23.5815, 23.5813) * CHOOSE( CONTROL!$C$15, $D$11, 100%, $F$11)</f>
        <v>23.581499999999998</v>
      </c>
      <c r="F762" s="4">
        <f>CHOOSE( CONTROL!$C$32, 24.255, 24.2547) * CHOOSE(CONTROL!$C$15, $D$11, 100%, $F$11)</f>
        <v>24.254999999999999</v>
      </c>
      <c r="G762" s="8">
        <f>CHOOSE( CONTROL!$C$32, 23.3171, 23.3169) * CHOOSE( CONTROL!$C$15, $D$11, 100%, $F$11)</f>
        <v>23.3171</v>
      </c>
      <c r="H762" s="4">
        <f>CHOOSE( CONTROL!$C$32, 24.2176, 24.2173) * CHOOSE(CONTROL!$C$15, $D$11, 100%, $F$11)</f>
        <v>24.217600000000001</v>
      </c>
      <c r="I762" s="8">
        <f>CHOOSE( CONTROL!$C$32, 23.0105, 23.0102) * CHOOSE(CONTROL!$C$15, $D$11, 100%, $F$11)</f>
        <v>23.0105</v>
      </c>
      <c r="J762" s="4">
        <f>CHOOSE( CONTROL!$C$32, 22.885, 22.8848) * CHOOSE(CONTROL!$C$15, $D$11, 100%, $F$11)</f>
        <v>22.885000000000002</v>
      </c>
      <c r="K762" s="4"/>
      <c r="L762" s="9">
        <v>27.415299999999998</v>
      </c>
      <c r="M762" s="9">
        <v>11.285299999999999</v>
      </c>
      <c r="N762" s="9">
        <v>4.6254999999999997</v>
      </c>
      <c r="O762" s="9">
        <v>0.34989999999999999</v>
      </c>
      <c r="P762" s="9">
        <v>1.2093</v>
      </c>
      <c r="Q762" s="9">
        <v>18.417899999999999</v>
      </c>
      <c r="R762" s="9"/>
      <c r="S762" s="11"/>
    </row>
    <row r="763" spans="1:19" ht="15.75">
      <c r="A763" s="13">
        <v>64375</v>
      </c>
      <c r="B763" s="8">
        <f>CHOOSE( CONTROL!$C$32, 23.0877, 23.0875) * CHOOSE(CONTROL!$C$15, $D$11, 100%, $F$11)</f>
        <v>23.087700000000002</v>
      </c>
      <c r="C763" s="8">
        <f>CHOOSE( CONTROL!$C$32, 23.0928, 23.0925) * CHOOSE(CONTROL!$C$15, $D$11, 100%, $F$11)</f>
        <v>23.0928</v>
      </c>
      <c r="D763" s="8">
        <f>CHOOSE( CONTROL!$C$32, 23.0628, 23.0625) * CHOOSE( CONTROL!$C$15, $D$11, 100%, $F$11)</f>
        <v>23.062799999999999</v>
      </c>
      <c r="E763" s="12">
        <f>CHOOSE( CONTROL!$C$32, 23.0732, 23.0729) * CHOOSE( CONTROL!$C$15, $D$11, 100%, $F$11)</f>
        <v>23.0732</v>
      </c>
      <c r="F763" s="4">
        <f>CHOOSE( CONTROL!$C$32, 23.753, 23.7527) * CHOOSE(CONTROL!$C$15, $D$11, 100%, $F$11)</f>
        <v>23.753</v>
      </c>
      <c r="G763" s="8">
        <f>CHOOSE( CONTROL!$C$32, 22.8078, 22.8075) * CHOOSE( CONTROL!$C$15, $D$11, 100%, $F$11)</f>
        <v>22.8078</v>
      </c>
      <c r="H763" s="4">
        <f>CHOOSE( CONTROL!$C$32, 23.7215, 23.7212) * CHOOSE(CONTROL!$C$15, $D$11, 100%, $F$11)</f>
        <v>23.721499999999999</v>
      </c>
      <c r="I763" s="8">
        <f>CHOOSE( CONTROL!$C$32, 22.4879, 22.4876) * CHOOSE(CONTROL!$C$15, $D$11, 100%, $F$11)</f>
        <v>22.4879</v>
      </c>
      <c r="J763" s="4">
        <f>CHOOSE( CONTROL!$C$32, 22.3979, 22.3976) * CHOOSE(CONTROL!$C$15, $D$11, 100%, $F$11)</f>
        <v>22.3979</v>
      </c>
      <c r="K763" s="4"/>
      <c r="L763" s="9">
        <v>29.306000000000001</v>
      </c>
      <c r="M763" s="9">
        <v>12.063700000000001</v>
      </c>
      <c r="N763" s="9">
        <v>4.9444999999999997</v>
      </c>
      <c r="O763" s="9">
        <v>0.37409999999999999</v>
      </c>
      <c r="P763" s="9">
        <v>1.2927</v>
      </c>
      <c r="Q763" s="9">
        <v>19.688099999999999</v>
      </c>
      <c r="R763" s="9"/>
      <c r="S763" s="11"/>
    </row>
    <row r="764" spans="1:19" ht="15.75">
      <c r="A764" s="13">
        <v>64405</v>
      </c>
      <c r="B764" s="8">
        <f>CHOOSE( CONTROL!$C$32, 23.4393, 23.439) * CHOOSE(CONTROL!$C$15, $D$11, 100%, $F$11)</f>
        <v>23.439299999999999</v>
      </c>
      <c r="C764" s="8">
        <f>CHOOSE( CONTROL!$C$32, 23.4438, 23.4435) * CHOOSE(CONTROL!$C$15, $D$11, 100%, $F$11)</f>
        <v>23.4438</v>
      </c>
      <c r="D764" s="8">
        <f>CHOOSE( CONTROL!$C$32, 23.4433, 23.443) * CHOOSE( CONTROL!$C$15, $D$11, 100%, $F$11)</f>
        <v>23.443300000000001</v>
      </c>
      <c r="E764" s="12">
        <f>CHOOSE( CONTROL!$C$32, 23.443, 23.4427) * CHOOSE( CONTROL!$C$15, $D$11, 100%, $F$11)</f>
        <v>23.443000000000001</v>
      </c>
      <c r="F764" s="4">
        <f>CHOOSE( CONTROL!$C$32, 24.1476, 24.1473) * CHOOSE(CONTROL!$C$15, $D$11, 100%, $F$11)</f>
        <v>24.147600000000001</v>
      </c>
      <c r="G764" s="8">
        <f>CHOOSE( CONTROL!$C$32, 23.1715, 23.1712) * CHOOSE( CONTROL!$C$15, $D$11, 100%, $F$11)</f>
        <v>23.171500000000002</v>
      </c>
      <c r="H764" s="4">
        <f>CHOOSE( CONTROL!$C$32, 24.1114, 24.1111) * CHOOSE(CONTROL!$C$15, $D$11, 100%, $F$11)</f>
        <v>24.1114</v>
      </c>
      <c r="I764" s="8">
        <f>CHOOSE( CONTROL!$C$32, 22.829, 22.8288) * CHOOSE(CONTROL!$C$15, $D$11, 100%, $F$11)</f>
        <v>22.829000000000001</v>
      </c>
      <c r="J764" s="4">
        <f>CHOOSE( CONTROL!$C$32, 22.7383, 22.738) * CHOOSE(CONTROL!$C$15, $D$11, 100%, $F$11)</f>
        <v>22.738299999999999</v>
      </c>
      <c r="K764" s="4"/>
      <c r="L764" s="9">
        <v>30.092199999999998</v>
      </c>
      <c r="M764" s="9">
        <v>11.6745</v>
      </c>
      <c r="N764" s="9">
        <v>4.7850000000000001</v>
      </c>
      <c r="O764" s="9">
        <v>0.36199999999999999</v>
      </c>
      <c r="P764" s="9">
        <v>1.2509999999999999</v>
      </c>
      <c r="Q764" s="9">
        <v>19.053000000000001</v>
      </c>
      <c r="R764" s="9"/>
      <c r="S764" s="11"/>
    </row>
    <row r="765" spans="1:19" ht="15.75">
      <c r="A765" s="13">
        <v>64436</v>
      </c>
      <c r="B765" s="8">
        <f>CHOOSE( CONTROL!$C$32, 24.0651, 24.0646) * CHOOSE(CONTROL!$C$15, $D$11, 100%, $F$11)</f>
        <v>24.065100000000001</v>
      </c>
      <c r="C765" s="8">
        <f>CHOOSE( CONTROL!$C$32, 24.0731, 24.0726) * CHOOSE(CONTROL!$C$15, $D$11, 100%, $F$11)</f>
        <v>24.0731</v>
      </c>
      <c r="D765" s="8">
        <f>CHOOSE( CONTROL!$C$32, 24.0674, 24.0669) * CHOOSE( CONTROL!$C$15, $D$11, 100%, $F$11)</f>
        <v>24.067399999999999</v>
      </c>
      <c r="E765" s="12">
        <f>CHOOSE( CONTROL!$C$32, 24.0682, 24.0677) * CHOOSE( CONTROL!$C$15, $D$11, 100%, $F$11)</f>
        <v>24.068200000000001</v>
      </c>
      <c r="F765" s="4">
        <f>CHOOSE( CONTROL!$C$32, 24.772, 24.7716) * CHOOSE(CONTROL!$C$15, $D$11, 100%, $F$11)</f>
        <v>24.771999999999998</v>
      </c>
      <c r="G765" s="8">
        <f>CHOOSE( CONTROL!$C$32, 23.789, 23.7885) * CHOOSE( CONTROL!$C$15, $D$11, 100%, $F$11)</f>
        <v>23.789000000000001</v>
      </c>
      <c r="H765" s="4">
        <f>CHOOSE( CONTROL!$C$32, 24.7286, 24.7281) * CHOOSE(CONTROL!$C$15, $D$11, 100%, $F$11)</f>
        <v>24.7286</v>
      </c>
      <c r="I765" s="8">
        <f>CHOOSE( CONTROL!$C$32, 23.436, 23.4355) * CHOOSE(CONTROL!$C$15, $D$11, 100%, $F$11)</f>
        <v>23.436</v>
      </c>
      <c r="J765" s="4">
        <f>CHOOSE( CONTROL!$C$32, 23.3443, 23.3439) * CHOOSE(CONTROL!$C$15, $D$11, 100%, $F$11)</f>
        <v>23.3443</v>
      </c>
      <c r="K765" s="4"/>
      <c r="L765" s="9">
        <v>30.7165</v>
      </c>
      <c r="M765" s="9">
        <v>12.063700000000001</v>
      </c>
      <c r="N765" s="9">
        <v>4.9444999999999997</v>
      </c>
      <c r="O765" s="9">
        <v>0.37409999999999999</v>
      </c>
      <c r="P765" s="9">
        <v>1.2927</v>
      </c>
      <c r="Q765" s="9">
        <v>19.688099999999999</v>
      </c>
      <c r="R765" s="9"/>
      <c r="S765" s="11"/>
    </row>
    <row r="766" spans="1:19" ht="15.75">
      <c r="A766" s="13">
        <v>64466</v>
      </c>
      <c r="B766" s="8">
        <f>CHOOSE( CONTROL!$C$32, 23.6784, 23.6779) * CHOOSE(CONTROL!$C$15, $D$11, 100%, $F$11)</f>
        <v>23.6784</v>
      </c>
      <c r="C766" s="8">
        <f>CHOOSE( CONTROL!$C$32, 23.6863, 23.6859) * CHOOSE(CONTROL!$C$15, $D$11, 100%, $F$11)</f>
        <v>23.686299999999999</v>
      </c>
      <c r="D766" s="8">
        <f>CHOOSE( CONTROL!$C$32, 23.681, 23.6806) * CHOOSE( CONTROL!$C$15, $D$11, 100%, $F$11)</f>
        <v>23.681000000000001</v>
      </c>
      <c r="E766" s="12">
        <f>CHOOSE( CONTROL!$C$32, 23.6817, 23.6813) * CHOOSE( CONTROL!$C$15, $D$11, 100%, $F$11)</f>
        <v>23.681699999999999</v>
      </c>
      <c r="F766" s="4">
        <f>CHOOSE( CONTROL!$C$32, 24.3853, 24.3849) * CHOOSE(CONTROL!$C$15, $D$11, 100%, $F$11)</f>
        <v>24.385300000000001</v>
      </c>
      <c r="G766" s="8">
        <f>CHOOSE( CONTROL!$C$32, 23.4071, 23.4066) * CHOOSE( CONTROL!$C$15, $D$11, 100%, $F$11)</f>
        <v>23.4071</v>
      </c>
      <c r="H766" s="4">
        <f>CHOOSE( CONTROL!$C$32, 24.3464, 24.3459) * CHOOSE(CONTROL!$C$15, $D$11, 100%, $F$11)</f>
        <v>24.346399999999999</v>
      </c>
      <c r="I766" s="8">
        <f>CHOOSE( CONTROL!$C$32, 23.0619, 23.0614) * CHOOSE(CONTROL!$C$15, $D$11, 100%, $F$11)</f>
        <v>23.061900000000001</v>
      </c>
      <c r="J766" s="4">
        <f>CHOOSE( CONTROL!$C$32, 22.969, 22.9686) * CHOOSE(CONTROL!$C$15, $D$11, 100%, $F$11)</f>
        <v>22.969000000000001</v>
      </c>
      <c r="K766" s="4"/>
      <c r="L766" s="9">
        <v>29.7257</v>
      </c>
      <c r="M766" s="9">
        <v>11.6745</v>
      </c>
      <c r="N766" s="9">
        <v>4.7850000000000001</v>
      </c>
      <c r="O766" s="9">
        <v>0.36199999999999999</v>
      </c>
      <c r="P766" s="9">
        <v>1.2509999999999999</v>
      </c>
      <c r="Q766" s="9">
        <v>19.053000000000001</v>
      </c>
      <c r="R766" s="9"/>
      <c r="S766" s="11"/>
    </row>
    <row r="767" spans="1:19" ht="15.75">
      <c r="A767" s="13">
        <v>64497</v>
      </c>
      <c r="B767" s="8">
        <f>CHOOSE( CONTROL!$C$32, 24.6968, 24.6963) * CHOOSE(CONTROL!$C$15, $D$11, 100%, $F$11)</f>
        <v>24.6968</v>
      </c>
      <c r="C767" s="8">
        <f>CHOOSE( CONTROL!$C$32, 24.7047, 24.7043) * CHOOSE(CONTROL!$C$15, $D$11, 100%, $F$11)</f>
        <v>24.704699999999999</v>
      </c>
      <c r="D767" s="8">
        <f>CHOOSE( CONTROL!$C$32, 24.6999, 24.6994) * CHOOSE( CONTROL!$C$15, $D$11, 100%, $F$11)</f>
        <v>24.6999</v>
      </c>
      <c r="E767" s="12">
        <f>CHOOSE( CONTROL!$C$32, 24.7004, 24.7) * CHOOSE( CONTROL!$C$15, $D$11, 100%, $F$11)</f>
        <v>24.700399999999998</v>
      </c>
      <c r="F767" s="4">
        <f>CHOOSE( CONTROL!$C$32, 25.4037, 25.4032) * CHOOSE(CONTROL!$C$15, $D$11, 100%, $F$11)</f>
        <v>25.403700000000001</v>
      </c>
      <c r="G767" s="8">
        <f>CHOOSE( CONTROL!$C$32, 24.4139, 24.4135) * CHOOSE( CONTROL!$C$15, $D$11, 100%, $F$11)</f>
        <v>24.413900000000002</v>
      </c>
      <c r="H767" s="4">
        <f>CHOOSE( CONTROL!$C$32, 25.3528, 25.3524) * CHOOSE(CONTROL!$C$15, $D$11, 100%, $F$11)</f>
        <v>25.352799999999998</v>
      </c>
      <c r="I767" s="8">
        <f>CHOOSE( CONTROL!$C$32, 24.0523, 24.0518) * CHOOSE(CONTROL!$C$15, $D$11, 100%, $F$11)</f>
        <v>24.052299999999999</v>
      </c>
      <c r="J767" s="4">
        <f>CHOOSE( CONTROL!$C$32, 23.9574, 23.9569) * CHOOSE(CONTROL!$C$15, $D$11, 100%, $F$11)</f>
        <v>23.9574</v>
      </c>
      <c r="K767" s="4"/>
      <c r="L767" s="9">
        <v>30.7165</v>
      </c>
      <c r="M767" s="9">
        <v>12.063700000000001</v>
      </c>
      <c r="N767" s="9">
        <v>4.9444999999999997</v>
      </c>
      <c r="O767" s="9">
        <v>0.37409999999999999</v>
      </c>
      <c r="P767" s="9">
        <v>1.2927</v>
      </c>
      <c r="Q767" s="9">
        <v>19.688099999999999</v>
      </c>
      <c r="R767" s="9"/>
      <c r="S767" s="11"/>
    </row>
    <row r="768" spans="1:19" ht="15.75">
      <c r="A768" s="13">
        <v>64528</v>
      </c>
      <c r="B768" s="8">
        <f>CHOOSE( CONTROL!$C$32, 22.7912, 22.7908) * CHOOSE(CONTROL!$C$15, $D$11, 100%, $F$11)</f>
        <v>22.7912</v>
      </c>
      <c r="C768" s="8">
        <f>CHOOSE( CONTROL!$C$32, 22.7992, 22.7988) * CHOOSE(CONTROL!$C$15, $D$11, 100%, $F$11)</f>
        <v>22.799199999999999</v>
      </c>
      <c r="D768" s="8">
        <f>CHOOSE( CONTROL!$C$32, 22.7945, 22.794) * CHOOSE( CONTROL!$C$15, $D$11, 100%, $F$11)</f>
        <v>22.794499999999999</v>
      </c>
      <c r="E768" s="12">
        <f>CHOOSE( CONTROL!$C$32, 22.795, 22.7945) * CHOOSE( CONTROL!$C$15, $D$11, 100%, $F$11)</f>
        <v>22.795000000000002</v>
      </c>
      <c r="F768" s="4">
        <f>CHOOSE( CONTROL!$C$32, 23.4982, 23.4977) * CHOOSE(CONTROL!$C$15, $D$11, 100%, $F$11)</f>
        <v>23.498200000000001</v>
      </c>
      <c r="G768" s="8">
        <f>CHOOSE( CONTROL!$C$32, 22.5308, 22.5304) * CHOOSE( CONTROL!$C$15, $D$11, 100%, $F$11)</f>
        <v>22.530799999999999</v>
      </c>
      <c r="H768" s="4">
        <f>CHOOSE( CONTROL!$C$32, 23.4696, 23.4692) * CHOOSE(CONTROL!$C$15, $D$11, 100%, $F$11)</f>
        <v>23.4696</v>
      </c>
      <c r="I768" s="8">
        <f>CHOOSE( CONTROL!$C$32, 22.2025, 22.2021) * CHOOSE(CONTROL!$C$15, $D$11, 100%, $F$11)</f>
        <v>22.202500000000001</v>
      </c>
      <c r="J768" s="4">
        <f>CHOOSE( CONTROL!$C$32, 22.1081, 22.1076) * CHOOSE(CONTROL!$C$15, $D$11, 100%, $F$11)</f>
        <v>22.1081</v>
      </c>
      <c r="K768" s="4"/>
      <c r="L768" s="9">
        <v>30.7165</v>
      </c>
      <c r="M768" s="9">
        <v>12.063700000000001</v>
      </c>
      <c r="N768" s="9">
        <v>4.9444999999999997</v>
      </c>
      <c r="O768" s="9">
        <v>0.37409999999999999</v>
      </c>
      <c r="P768" s="9">
        <v>1.2927</v>
      </c>
      <c r="Q768" s="9">
        <v>19.688099999999999</v>
      </c>
      <c r="R768" s="9"/>
      <c r="S768" s="11"/>
    </row>
    <row r="769" spans="1:19" ht="15.75">
      <c r="A769" s="13">
        <v>64558</v>
      </c>
      <c r="B769" s="8">
        <f>CHOOSE( CONTROL!$C$32, 22.3141, 22.3136) * CHOOSE(CONTROL!$C$15, $D$11, 100%, $F$11)</f>
        <v>22.3141</v>
      </c>
      <c r="C769" s="8">
        <f>CHOOSE( CONTROL!$C$32, 22.3221, 22.3216) * CHOOSE(CONTROL!$C$15, $D$11, 100%, $F$11)</f>
        <v>22.322099999999999</v>
      </c>
      <c r="D769" s="8">
        <f>CHOOSE( CONTROL!$C$32, 22.3172, 22.3167) * CHOOSE( CONTROL!$C$15, $D$11, 100%, $F$11)</f>
        <v>22.3172</v>
      </c>
      <c r="E769" s="12">
        <f>CHOOSE( CONTROL!$C$32, 22.3178, 22.3173) * CHOOSE( CONTROL!$C$15, $D$11, 100%, $F$11)</f>
        <v>22.317799999999998</v>
      </c>
      <c r="F769" s="4">
        <f>CHOOSE( CONTROL!$C$32, 23.021, 23.0206) * CHOOSE(CONTROL!$C$15, $D$11, 100%, $F$11)</f>
        <v>23.021000000000001</v>
      </c>
      <c r="G769" s="8">
        <f>CHOOSE( CONTROL!$C$32, 22.0591, 22.0587) * CHOOSE( CONTROL!$C$15, $D$11, 100%, $F$11)</f>
        <v>22.059100000000001</v>
      </c>
      <c r="H769" s="4">
        <f>CHOOSE( CONTROL!$C$32, 22.9981, 22.9976) * CHOOSE(CONTROL!$C$15, $D$11, 100%, $F$11)</f>
        <v>22.998100000000001</v>
      </c>
      <c r="I769" s="8">
        <f>CHOOSE( CONTROL!$C$32, 21.7387, 21.7382) * CHOOSE(CONTROL!$C$15, $D$11, 100%, $F$11)</f>
        <v>21.738700000000001</v>
      </c>
      <c r="J769" s="4">
        <f>CHOOSE( CONTROL!$C$32, 21.645, 21.6445) * CHOOSE(CONTROL!$C$15, $D$11, 100%, $F$11)</f>
        <v>21.645</v>
      </c>
      <c r="K769" s="4"/>
      <c r="L769" s="9">
        <v>29.7257</v>
      </c>
      <c r="M769" s="9">
        <v>11.6745</v>
      </c>
      <c r="N769" s="9">
        <v>4.7850000000000001</v>
      </c>
      <c r="O769" s="9">
        <v>0.36199999999999999</v>
      </c>
      <c r="P769" s="9">
        <v>1.2509999999999999</v>
      </c>
      <c r="Q769" s="9">
        <v>19.053000000000001</v>
      </c>
      <c r="R769" s="9"/>
      <c r="S769" s="11"/>
    </row>
    <row r="770" spans="1:19" ht="15.75">
      <c r="A770" s="13">
        <v>64589</v>
      </c>
      <c r="B770" s="8">
        <f>CHOOSE( CONTROL!$C$32, 23.3029, 23.3027) * CHOOSE(CONTROL!$C$15, $D$11, 100%, $F$11)</f>
        <v>23.302900000000001</v>
      </c>
      <c r="C770" s="8">
        <f>CHOOSE( CONTROL!$C$32, 23.3083, 23.308) * CHOOSE(CONTROL!$C$15, $D$11, 100%, $F$11)</f>
        <v>23.308299999999999</v>
      </c>
      <c r="D770" s="8">
        <f>CHOOSE( CONTROL!$C$32, 23.3085, 23.3082) * CHOOSE( CONTROL!$C$15, $D$11, 100%, $F$11)</f>
        <v>23.308499999999999</v>
      </c>
      <c r="E770" s="12">
        <f>CHOOSE( CONTROL!$C$32, 23.3079, 23.3076) * CHOOSE( CONTROL!$C$15, $D$11, 100%, $F$11)</f>
        <v>23.3079</v>
      </c>
      <c r="F770" s="4">
        <f>CHOOSE( CONTROL!$C$32, 24.0116, 24.0113) * CHOOSE(CONTROL!$C$15, $D$11, 100%, $F$11)</f>
        <v>24.011600000000001</v>
      </c>
      <c r="G770" s="8">
        <f>CHOOSE( CONTROL!$C$32, 23.038, 23.0378) * CHOOSE( CONTROL!$C$15, $D$11, 100%, $F$11)</f>
        <v>23.038</v>
      </c>
      <c r="H770" s="4">
        <f>CHOOSE( CONTROL!$C$32, 23.977, 23.9768) * CHOOSE(CONTROL!$C$15, $D$11, 100%, $F$11)</f>
        <v>23.977</v>
      </c>
      <c r="I770" s="8">
        <f>CHOOSE( CONTROL!$C$32, 22.7012, 22.7009) * CHOOSE(CONTROL!$C$15, $D$11, 100%, $F$11)</f>
        <v>22.7012</v>
      </c>
      <c r="J770" s="4">
        <f>CHOOSE( CONTROL!$C$32, 22.6063, 22.6061) * CHOOSE(CONTROL!$C$15, $D$11, 100%, $F$11)</f>
        <v>22.606300000000001</v>
      </c>
      <c r="K770" s="4"/>
      <c r="L770" s="9">
        <v>31.095300000000002</v>
      </c>
      <c r="M770" s="9">
        <v>12.063700000000001</v>
      </c>
      <c r="N770" s="9">
        <v>4.9444999999999997</v>
      </c>
      <c r="O770" s="9">
        <v>0.37409999999999999</v>
      </c>
      <c r="P770" s="9">
        <v>1.2927</v>
      </c>
      <c r="Q770" s="9">
        <v>19.688099999999999</v>
      </c>
      <c r="R770" s="9"/>
      <c r="S770" s="11"/>
    </row>
    <row r="771" spans="1:19" ht="15.75">
      <c r="A771" s="13">
        <v>64619</v>
      </c>
      <c r="B771" s="8">
        <f>CHOOSE( CONTROL!$C$32, 25.1313, 25.131) * CHOOSE(CONTROL!$C$15, $D$11, 100%, $F$11)</f>
        <v>25.1313</v>
      </c>
      <c r="C771" s="8">
        <f>CHOOSE( CONTROL!$C$32, 25.1363, 25.1361) * CHOOSE(CONTROL!$C$15, $D$11, 100%, $F$11)</f>
        <v>25.136299999999999</v>
      </c>
      <c r="D771" s="8">
        <f>CHOOSE( CONTROL!$C$32, 25.1042, 25.1039) * CHOOSE( CONTROL!$C$15, $D$11, 100%, $F$11)</f>
        <v>25.104199999999999</v>
      </c>
      <c r="E771" s="12">
        <f>CHOOSE( CONTROL!$C$32, 25.1154, 25.1151) * CHOOSE( CONTROL!$C$15, $D$11, 100%, $F$11)</f>
        <v>25.115400000000001</v>
      </c>
      <c r="F771" s="4">
        <f>CHOOSE( CONTROL!$C$32, 25.7965, 25.7963) * CHOOSE(CONTROL!$C$15, $D$11, 100%, $F$11)</f>
        <v>25.796500000000002</v>
      </c>
      <c r="G771" s="8">
        <f>CHOOSE( CONTROL!$C$32, 24.8343, 24.834) * CHOOSE( CONTROL!$C$15, $D$11, 100%, $F$11)</f>
        <v>24.834299999999999</v>
      </c>
      <c r="H771" s="4">
        <f>CHOOSE( CONTROL!$C$32, 25.7411, 25.7408) * CHOOSE(CONTROL!$C$15, $D$11, 100%, $F$11)</f>
        <v>25.741099999999999</v>
      </c>
      <c r="I771" s="8">
        <f>CHOOSE( CONTROL!$C$32, 24.5277, 24.5274) * CHOOSE(CONTROL!$C$15, $D$11, 100%, $F$11)</f>
        <v>24.527699999999999</v>
      </c>
      <c r="J771" s="4">
        <f>CHOOSE( CONTROL!$C$32, 24.3811, 24.3809) * CHOOSE(CONTROL!$C$15, $D$11, 100%, $F$11)</f>
        <v>24.3811</v>
      </c>
      <c r="K771" s="4"/>
      <c r="L771" s="9">
        <v>28.360600000000002</v>
      </c>
      <c r="M771" s="9">
        <v>11.6745</v>
      </c>
      <c r="N771" s="9">
        <v>4.7850000000000001</v>
      </c>
      <c r="O771" s="9">
        <v>0.36199999999999999</v>
      </c>
      <c r="P771" s="9">
        <v>1.2509999999999999</v>
      </c>
      <c r="Q771" s="9">
        <v>19.053000000000001</v>
      </c>
      <c r="R771" s="9"/>
      <c r="S771" s="11"/>
    </row>
    <row r="772" spans="1:19" ht="15.75">
      <c r="A772" s="13">
        <v>64650</v>
      </c>
      <c r="B772" s="8">
        <f>CHOOSE( CONTROL!$C$32, 25.0856, 25.0853) * CHOOSE(CONTROL!$C$15, $D$11, 100%, $F$11)</f>
        <v>25.085599999999999</v>
      </c>
      <c r="C772" s="8">
        <f>CHOOSE( CONTROL!$C$32, 25.0906, 25.0904) * CHOOSE(CONTROL!$C$15, $D$11, 100%, $F$11)</f>
        <v>25.090599999999998</v>
      </c>
      <c r="D772" s="8">
        <f>CHOOSE( CONTROL!$C$32, 25.0603, 25.0601) * CHOOSE( CONTROL!$C$15, $D$11, 100%, $F$11)</f>
        <v>25.060300000000002</v>
      </c>
      <c r="E772" s="12">
        <f>CHOOSE( CONTROL!$C$32, 25.0708, 25.0706) * CHOOSE( CONTROL!$C$15, $D$11, 100%, $F$11)</f>
        <v>25.070799999999998</v>
      </c>
      <c r="F772" s="4">
        <f>CHOOSE( CONTROL!$C$32, 25.7508, 25.7506) * CHOOSE(CONTROL!$C$15, $D$11, 100%, $F$11)</f>
        <v>25.750800000000002</v>
      </c>
      <c r="G772" s="8">
        <f>CHOOSE( CONTROL!$C$32, 24.7905, 24.7902) * CHOOSE( CONTROL!$C$15, $D$11, 100%, $F$11)</f>
        <v>24.790500000000002</v>
      </c>
      <c r="H772" s="4">
        <f>CHOOSE( CONTROL!$C$32, 25.6959, 25.6957) * CHOOSE(CONTROL!$C$15, $D$11, 100%, $F$11)</f>
        <v>25.695900000000002</v>
      </c>
      <c r="I772" s="8">
        <f>CHOOSE( CONTROL!$C$32, 24.489, 24.4888) * CHOOSE(CONTROL!$C$15, $D$11, 100%, $F$11)</f>
        <v>24.489000000000001</v>
      </c>
      <c r="J772" s="4">
        <f>CHOOSE( CONTROL!$C$32, 24.3368, 24.3365) * CHOOSE(CONTROL!$C$15, $D$11, 100%, $F$11)</f>
        <v>24.3368</v>
      </c>
      <c r="K772" s="4"/>
      <c r="L772" s="9">
        <v>29.306000000000001</v>
      </c>
      <c r="M772" s="9">
        <v>12.063700000000001</v>
      </c>
      <c r="N772" s="9">
        <v>4.9444999999999997</v>
      </c>
      <c r="O772" s="9">
        <v>0.37409999999999999</v>
      </c>
      <c r="P772" s="9">
        <v>1.2927</v>
      </c>
      <c r="Q772" s="9">
        <v>19.688099999999999</v>
      </c>
      <c r="R772" s="9"/>
      <c r="S772" s="11"/>
    </row>
    <row r="773" spans="1:19" ht="15.75">
      <c r="A773" s="13">
        <v>64681</v>
      </c>
      <c r="B773" s="8">
        <f>CHOOSE( CONTROL!$C$32, 25.8252, 25.825) * CHOOSE(CONTROL!$C$15, $D$11, 100%, $F$11)</f>
        <v>25.825199999999999</v>
      </c>
      <c r="C773" s="8">
        <f>CHOOSE( CONTROL!$C$32, 25.8303, 25.83) * CHOOSE(CONTROL!$C$15, $D$11, 100%, $F$11)</f>
        <v>25.830300000000001</v>
      </c>
      <c r="D773" s="8">
        <f>CHOOSE( CONTROL!$C$32, 25.8279, 25.8277) * CHOOSE( CONTROL!$C$15, $D$11, 100%, $F$11)</f>
        <v>25.8279</v>
      </c>
      <c r="E773" s="12">
        <f>CHOOSE( CONTROL!$C$32, 25.8282, 25.828) * CHOOSE( CONTROL!$C$15, $D$11, 100%, $F$11)</f>
        <v>25.828199999999999</v>
      </c>
      <c r="F773" s="4">
        <f>CHOOSE( CONTROL!$C$32, 26.4905, 26.4902) * CHOOSE(CONTROL!$C$15, $D$11, 100%, $F$11)</f>
        <v>26.490500000000001</v>
      </c>
      <c r="G773" s="8">
        <f>CHOOSE( CONTROL!$C$32, 25.5376, 25.5373) * CHOOSE( CONTROL!$C$15, $D$11, 100%, $F$11)</f>
        <v>25.537600000000001</v>
      </c>
      <c r="H773" s="4">
        <f>CHOOSE( CONTROL!$C$32, 26.4269, 26.4267) * CHOOSE(CONTROL!$C$15, $D$11, 100%, $F$11)</f>
        <v>26.4269</v>
      </c>
      <c r="I773" s="8">
        <f>CHOOSE( CONTROL!$C$32, 25.1808, 25.1805) * CHOOSE(CONTROL!$C$15, $D$11, 100%, $F$11)</f>
        <v>25.180800000000001</v>
      </c>
      <c r="J773" s="4">
        <f>CHOOSE( CONTROL!$C$32, 25.0546, 25.0544) * CHOOSE(CONTROL!$C$15, $D$11, 100%, $F$11)</f>
        <v>25.054600000000001</v>
      </c>
      <c r="K773" s="4"/>
      <c r="L773" s="9">
        <v>29.306000000000001</v>
      </c>
      <c r="M773" s="9">
        <v>12.063700000000001</v>
      </c>
      <c r="N773" s="9">
        <v>4.9444999999999997</v>
      </c>
      <c r="O773" s="9">
        <v>0.37409999999999999</v>
      </c>
      <c r="P773" s="9">
        <v>1.2927</v>
      </c>
      <c r="Q773" s="9">
        <v>19.688099999999999</v>
      </c>
      <c r="R773" s="9"/>
      <c r="S773" s="11"/>
    </row>
    <row r="774" spans="1:19" ht="15.75">
      <c r="A774" s="13">
        <v>64709</v>
      </c>
      <c r="B774" s="8">
        <f>CHOOSE( CONTROL!$C$32, 24.1563, 24.156) * CHOOSE(CONTROL!$C$15, $D$11, 100%, $F$11)</f>
        <v>24.156300000000002</v>
      </c>
      <c r="C774" s="8">
        <f>CHOOSE( CONTROL!$C$32, 24.1613, 24.1611) * CHOOSE(CONTROL!$C$15, $D$11, 100%, $F$11)</f>
        <v>24.161300000000001</v>
      </c>
      <c r="D774" s="8">
        <f>CHOOSE( CONTROL!$C$32, 24.1413, 24.141) * CHOOSE( CONTROL!$C$15, $D$11, 100%, $F$11)</f>
        <v>24.141300000000001</v>
      </c>
      <c r="E774" s="12">
        <f>CHOOSE( CONTROL!$C$32, 24.1481, 24.1478) * CHOOSE( CONTROL!$C$15, $D$11, 100%, $F$11)</f>
        <v>24.148099999999999</v>
      </c>
      <c r="F774" s="4">
        <f>CHOOSE( CONTROL!$C$32, 24.8216, 24.8213) * CHOOSE(CONTROL!$C$15, $D$11, 100%, $F$11)</f>
        <v>24.8216</v>
      </c>
      <c r="G774" s="8">
        <f>CHOOSE( CONTROL!$C$32, 23.8771, 23.8768) * CHOOSE( CONTROL!$C$15, $D$11, 100%, $F$11)</f>
        <v>23.877099999999999</v>
      </c>
      <c r="H774" s="4">
        <f>CHOOSE( CONTROL!$C$32, 24.7775, 24.7772) * CHOOSE(CONTROL!$C$15, $D$11, 100%, $F$11)</f>
        <v>24.7775</v>
      </c>
      <c r="I774" s="8">
        <f>CHOOSE( CONTROL!$C$32, 23.5607, 23.5604) * CHOOSE(CONTROL!$C$15, $D$11, 100%, $F$11)</f>
        <v>23.560700000000001</v>
      </c>
      <c r="J774" s="4">
        <f>CHOOSE( CONTROL!$C$32, 23.4349, 23.4346) * CHOOSE(CONTROL!$C$15, $D$11, 100%, $F$11)</f>
        <v>23.434899999999999</v>
      </c>
      <c r="K774" s="4"/>
      <c r="L774" s="9">
        <v>26.469899999999999</v>
      </c>
      <c r="M774" s="9">
        <v>10.8962</v>
      </c>
      <c r="N774" s="9">
        <v>4.4660000000000002</v>
      </c>
      <c r="O774" s="9">
        <v>0.33789999999999998</v>
      </c>
      <c r="P774" s="9">
        <v>1.1676</v>
      </c>
      <c r="Q774" s="9">
        <v>17.782800000000002</v>
      </c>
      <c r="R774" s="9"/>
      <c r="S774" s="11"/>
    </row>
    <row r="775" spans="1:19" ht="15.75">
      <c r="A775" s="13">
        <v>64740</v>
      </c>
      <c r="B775" s="8">
        <f>CHOOSE( CONTROL!$C$32, 23.6422, 23.642) * CHOOSE(CONTROL!$C$15, $D$11, 100%, $F$11)</f>
        <v>23.642199999999999</v>
      </c>
      <c r="C775" s="8">
        <f>CHOOSE( CONTROL!$C$32, 23.6473, 23.647) * CHOOSE(CONTROL!$C$15, $D$11, 100%, $F$11)</f>
        <v>23.647300000000001</v>
      </c>
      <c r="D775" s="8">
        <f>CHOOSE( CONTROL!$C$32, 23.6173, 23.6171) * CHOOSE( CONTROL!$C$15, $D$11, 100%, $F$11)</f>
        <v>23.6173</v>
      </c>
      <c r="E775" s="12">
        <f>CHOOSE( CONTROL!$C$32, 23.6277, 23.6275) * CHOOSE( CONTROL!$C$15, $D$11, 100%, $F$11)</f>
        <v>23.627700000000001</v>
      </c>
      <c r="F775" s="4">
        <f>CHOOSE( CONTROL!$C$32, 24.3075, 24.3072) * CHOOSE(CONTROL!$C$15, $D$11, 100%, $F$11)</f>
        <v>24.307500000000001</v>
      </c>
      <c r="G775" s="8">
        <f>CHOOSE( CONTROL!$C$32, 23.3558, 23.3555) * CHOOSE( CONTROL!$C$15, $D$11, 100%, $F$11)</f>
        <v>23.355799999999999</v>
      </c>
      <c r="H775" s="4">
        <f>CHOOSE( CONTROL!$C$32, 24.2695, 24.2692) * CHOOSE(CONTROL!$C$15, $D$11, 100%, $F$11)</f>
        <v>24.269500000000001</v>
      </c>
      <c r="I775" s="8">
        <f>CHOOSE( CONTROL!$C$32, 23.0263, 23.0261) * CHOOSE(CONTROL!$C$15, $D$11, 100%, $F$11)</f>
        <v>23.026299999999999</v>
      </c>
      <c r="J775" s="4">
        <f>CHOOSE( CONTROL!$C$32, 22.936, 22.9358) * CHOOSE(CONTROL!$C$15, $D$11, 100%, $F$11)</f>
        <v>22.936</v>
      </c>
      <c r="K775" s="4"/>
      <c r="L775" s="9">
        <v>29.306000000000001</v>
      </c>
      <c r="M775" s="9">
        <v>12.063700000000001</v>
      </c>
      <c r="N775" s="9">
        <v>4.9444999999999997</v>
      </c>
      <c r="O775" s="9">
        <v>0.37409999999999999</v>
      </c>
      <c r="P775" s="9">
        <v>1.2927</v>
      </c>
      <c r="Q775" s="9">
        <v>19.688099999999999</v>
      </c>
      <c r="R775" s="9"/>
      <c r="S775" s="11"/>
    </row>
    <row r="776" spans="1:19" ht="15.75">
      <c r="A776" s="13">
        <v>64770</v>
      </c>
      <c r="B776" s="8">
        <f>CHOOSE( CONTROL!$C$32, 24.0022, 24.0019) * CHOOSE(CONTROL!$C$15, $D$11, 100%, $F$11)</f>
        <v>24.002199999999998</v>
      </c>
      <c r="C776" s="8">
        <f>CHOOSE( CONTROL!$C$32, 24.0067, 24.0064) * CHOOSE(CONTROL!$C$15, $D$11, 100%, $F$11)</f>
        <v>24.006699999999999</v>
      </c>
      <c r="D776" s="8">
        <f>CHOOSE( CONTROL!$C$32, 24.0062, 24.0059) * CHOOSE( CONTROL!$C$15, $D$11, 100%, $F$11)</f>
        <v>24.0062</v>
      </c>
      <c r="E776" s="12">
        <f>CHOOSE( CONTROL!$C$32, 24.0059, 24.0056) * CHOOSE( CONTROL!$C$15, $D$11, 100%, $F$11)</f>
        <v>24.0059</v>
      </c>
      <c r="F776" s="4">
        <f>CHOOSE( CONTROL!$C$32, 24.7105, 24.7102) * CHOOSE(CONTROL!$C$15, $D$11, 100%, $F$11)</f>
        <v>24.7105</v>
      </c>
      <c r="G776" s="8">
        <f>CHOOSE( CONTROL!$C$32, 23.7278, 23.7275) * CHOOSE( CONTROL!$C$15, $D$11, 100%, $F$11)</f>
        <v>23.727799999999998</v>
      </c>
      <c r="H776" s="4">
        <f>CHOOSE( CONTROL!$C$32, 24.6678, 24.6675) * CHOOSE(CONTROL!$C$15, $D$11, 100%, $F$11)</f>
        <v>24.6678</v>
      </c>
      <c r="I776" s="8">
        <f>CHOOSE( CONTROL!$C$32, 23.3756, 23.3754) * CHOOSE(CONTROL!$C$15, $D$11, 100%, $F$11)</f>
        <v>23.375599999999999</v>
      </c>
      <c r="J776" s="4">
        <f>CHOOSE( CONTROL!$C$32, 23.2846, 23.2844) * CHOOSE(CONTROL!$C$15, $D$11, 100%, $F$11)</f>
        <v>23.284600000000001</v>
      </c>
      <c r="K776" s="4"/>
      <c r="L776" s="9">
        <v>30.092199999999998</v>
      </c>
      <c r="M776" s="9">
        <v>11.6745</v>
      </c>
      <c r="N776" s="9">
        <v>4.7850000000000001</v>
      </c>
      <c r="O776" s="9">
        <v>0.36199999999999999</v>
      </c>
      <c r="P776" s="9">
        <v>1.2509999999999999</v>
      </c>
      <c r="Q776" s="9">
        <v>19.053000000000001</v>
      </c>
      <c r="R776" s="9"/>
      <c r="S776" s="11"/>
    </row>
    <row r="777" spans="1:19" ht="15.75">
      <c r="A777" s="13">
        <v>64801</v>
      </c>
      <c r="B777" s="8">
        <f>CHOOSE( CONTROL!$C$32, 24.643, 24.6426) * CHOOSE(CONTROL!$C$15, $D$11, 100%, $F$11)</f>
        <v>24.643000000000001</v>
      </c>
      <c r="C777" s="8">
        <f>CHOOSE( CONTROL!$C$32, 24.651, 24.6506) * CHOOSE(CONTROL!$C$15, $D$11, 100%, $F$11)</f>
        <v>24.651</v>
      </c>
      <c r="D777" s="8">
        <f>CHOOSE( CONTROL!$C$32, 24.6453, 24.6449) * CHOOSE( CONTROL!$C$15, $D$11, 100%, $F$11)</f>
        <v>24.645299999999999</v>
      </c>
      <c r="E777" s="12">
        <f>CHOOSE( CONTROL!$C$32, 24.6461, 24.6457) * CHOOSE( CONTROL!$C$15, $D$11, 100%, $F$11)</f>
        <v>24.646100000000001</v>
      </c>
      <c r="F777" s="4">
        <f>CHOOSE( CONTROL!$C$32, 25.35, 25.3495) * CHOOSE(CONTROL!$C$15, $D$11, 100%, $F$11)</f>
        <v>25.35</v>
      </c>
      <c r="G777" s="8">
        <f>CHOOSE( CONTROL!$C$32, 24.3601, 24.3597) * CHOOSE( CONTROL!$C$15, $D$11, 100%, $F$11)</f>
        <v>24.360099999999999</v>
      </c>
      <c r="H777" s="4">
        <f>CHOOSE( CONTROL!$C$32, 25.2997, 25.2993) * CHOOSE(CONTROL!$C$15, $D$11, 100%, $F$11)</f>
        <v>25.299700000000001</v>
      </c>
      <c r="I777" s="8">
        <f>CHOOSE( CONTROL!$C$32, 23.9971, 23.9967) * CHOOSE(CONTROL!$C$15, $D$11, 100%, $F$11)</f>
        <v>23.9971</v>
      </c>
      <c r="J777" s="4">
        <f>CHOOSE( CONTROL!$C$32, 23.9052, 23.9048) * CHOOSE(CONTROL!$C$15, $D$11, 100%, $F$11)</f>
        <v>23.905200000000001</v>
      </c>
      <c r="K777" s="4"/>
      <c r="L777" s="9">
        <v>30.7165</v>
      </c>
      <c r="M777" s="9">
        <v>12.063700000000001</v>
      </c>
      <c r="N777" s="9">
        <v>4.9444999999999997</v>
      </c>
      <c r="O777" s="9">
        <v>0.37409999999999999</v>
      </c>
      <c r="P777" s="9">
        <v>1.2927</v>
      </c>
      <c r="Q777" s="9">
        <v>19.688099999999999</v>
      </c>
      <c r="R777" s="9"/>
      <c r="S777" s="11"/>
    </row>
    <row r="778" spans="1:19" ht="15.75">
      <c r="A778" s="13">
        <v>64831</v>
      </c>
      <c r="B778" s="8">
        <f>CHOOSE( CONTROL!$C$32, 24.247, 24.2466) * CHOOSE(CONTROL!$C$15, $D$11, 100%, $F$11)</f>
        <v>24.247</v>
      </c>
      <c r="C778" s="8">
        <f>CHOOSE( CONTROL!$C$32, 24.255, 24.2545) * CHOOSE(CONTROL!$C$15, $D$11, 100%, $F$11)</f>
        <v>24.254999999999999</v>
      </c>
      <c r="D778" s="8">
        <f>CHOOSE( CONTROL!$C$32, 24.2497, 24.2492) * CHOOSE( CONTROL!$C$15, $D$11, 100%, $F$11)</f>
        <v>24.249700000000001</v>
      </c>
      <c r="E778" s="12">
        <f>CHOOSE( CONTROL!$C$32, 24.2504, 24.2499) * CHOOSE( CONTROL!$C$15, $D$11, 100%, $F$11)</f>
        <v>24.250399999999999</v>
      </c>
      <c r="F778" s="4">
        <f>CHOOSE( CONTROL!$C$32, 24.954, 24.9535) * CHOOSE(CONTROL!$C$15, $D$11, 100%, $F$11)</f>
        <v>24.954000000000001</v>
      </c>
      <c r="G778" s="8">
        <f>CHOOSE( CONTROL!$C$32, 23.9691, 23.9686) * CHOOSE( CONTROL!$C$15, $D$11, 100%, $F$11)</f>
        <v>23.969100000000001</v>
      </c>
      <c r="H778" s="4">
        <f>CHOOSE( CONTROL!$C$32, 24.9084, 24.9079) * CHOOSE(CONTROL!$C$15, $D$11, 100%, $F$11)</f>
        <v>24.9084</v>
      </c>
      <c r="I778" s="8">
        <f>CHOOSE( CONTROL!$C$32, 23.614, 23.6136) * CHOOSE(CONTROL!$C$15, $D$11, 100%, $F$11)</f>
        <v>23.614000000000001</v>
      </c>
      <c r="J778" s="4">
        <f>CHOOSE( CONTROL!$C$32, 23.5209, 23.5205) * CHOOSE(CONTROL!$C$15, $D$11, 100%, $F$11)</f>
        <v>23.520900000000001</v>
      </c>
      <c r="K778" s="4"/>
      <c r="L778" s="9">
        <v>29.7257</v>
      </c>
      <c r="M778" s="9">
        <v>11.6745</v>
      </c>
      <c r="N778" s="9">
        <v>4.7850000000000001</v>
      </c>
      <c r="O778" s="9">
        <v>0.36199999999999999</v>
      </c>
      <c r="P778" s="9">
        <v>1.2509999999999999</v>
      </c>
      <c r="Q778" s="9">
        <v>19.053000000000001</v>
      </c>
      <c r="R778" s="9"/>
      <c r="S778" s="11"/>
    </row>
    <row r="779" spans="1:19" ht="15.75">
      <c r="A779" s="13">
        <v>64862</v>
      </c>
      <c r="B779" s="8">
        <f>CHOOSE( CONTROL!$C$32, 25.2899, 25.2894) * CHOOSE(CONTROL!$C$15, $D$11, 100%, $F$11)</f>
        <v>25.289899999999999</v>
      </c>
      <c r="C779" s="8">
        <f>CHOOSE( CONTROL!$C$32, 25.2978, 25.2974) * CHOOSE(CONTROL!$C$15, $D$11, 100%, $F$11)</f>
        <v>25.297799999999999</v>
      </c>
      <c r="D779" s="8">
        <f>CHOOSE( CONTROL!$C$32, 25.293, 25.2925) * CHOOSE( CONTROL!$C$15, $D$11, 100%, $F$11)</f>
        <v>25.292999999999999</v>
      </c>
      <c r="E779" s="12">
        <f>CHOOSE( CONTROL!$C$32, 25.2935, 25.2931) * CHOOSE( CONTROL!$C$15, $D$11, 100%, $F$11)</f>
        <v>25.293500000000002</v>
      </c>
      <c r="F779" s="4">
        <f>CHOOSE( CONTROL!$C$32, 25.9968, 25.9964) * CHOOSE(CONTROL!$C$15, $D$11, 100%, $F$11)</f>
        <v>25.9968</v>
      </c>
      <c r="G779" s="8">
        <f>CHOOSE( CONTROL!$C$32, 25.0001, 24.9996) * CHOOSE( CONTROL!$C$15, $D$11, 100%, $F$11)</f>
        <v>25.0001</v>
      </c>
      <c r="H779" s="4">
        <f>CHOOSE( CONTROL!$C$32, 25.939, 25.9386) * CHOOSE(CONTROL!$C$15, $D$11, 100%, $F$11)</f>
        <v>25.939</v>
      </c>
      <c r="I779" s="8">
        <f>CHOOSE( CONTROL!$C$32, 24.6282, 24.6277) * CHOOSE(CONTROL!$C$15, $D$11, 100%, $F$11)</f>
        <v>24.6282</v>
      </c>
      <c r="J779" s="4">
        <f>CHOOSE( CONTROL!$C$32, 24.533, 24.5326) * CHOOSE(CONTROL!$C$15, $D$11, 100%, $F$11)</f>
        <v>24.533000000000001</v>
      </c>
      <c r="K779" s="4"/>
      <c r="L779" s="9">
        <v>30.7165</v>
      </c>
      <c r="M779" s="9">
        <v>12.063700000000001</v>
      </c>
      <c r="N779" s="9">
        <v>4.9444999999999997</v>
      </c>
      <c r="O779" s="9">
        <v>0.37409999999999999</v>
      </c>
      <c r="P779" s="9">
        <v>1.2927</v>
      </c>
      <c r="Q779" s="9">
        <v>19.688099999999999</v>
      </c>
      <c r="R779" s="9"/>
      <c r="S779" s="11"/>
    </row>
    <row r="780" spans="1:19" ht="15.75">
      <c r="A780" s="13">
        <v>64893</v>
      </c>
      <c r="B780" s="8">
        <f>CHOOSE( CONTROL!$C$32, 23.3386, 23.3381) * CHOOSE(CONTROL!$C$15, $D$11, 100%, $F$11)</f>
        <v>23.3386</v>
      </c>
      <c r="C780" s="8">
        <f>CHOOSE( CONTROL!$C$32, 23.3466, 23.3461) * CHOOSE(CONTROL!$C$15, $D$11, 100%, $F$11)</f>
        <v>23.346599999999999</v>
      </c>
      <c r="D780" s="8">
        <f>CHOOSE( CONTROL!$C$32, 23.3418, 23.3414) * CHOOSE( CONTROL!$C$15, $D$11, 100%, $F$11)</f>
        <v>23.341799999999999</v>
      </c>
      <c r="E780" s="12">
        <f>CHOOSE( CONTROL!$C$32, 23.3423, 23.3419) * CHOOSE( CONTROL!$C$15, $D$11, 100%, $F$11)</f>
        <v>23.342300000000002</v>
      </c>
      <c r="F780" s="4">
        <f>CHOOSE( CONTROL!$C$32, 24.0455, 24.0451) * CHOOSE(CONTROL!$C$15, $D$11, 100%, $F$11)</f>
        <v>24.045500000000001</v>
      </c>
      <c r="G780" s="8">
        <f>CHOOSE( CONTROL!$C$32, 23.0717, 23.0713) * CHOOSE( CONTROL!$C$15, $D$11, 100%, $F$11)</f>
        <v>23.0717</v>
      </c>
      <c r="H780" s="4">
        <f>CHOOSE( CONTROL!$C$32, 24.0106, 24.0101) * CHOOSE(CONTROL!$C$15, $D$11, 100%, $F$11)</f>
        <v>24.0106</v>
      </c>
      <c r="I780" s="8">
        <f>CHOOSE( CONTROL!$C$32, 22.734, 22.7335) * CHOOSE(CONTROL!$C$15, $D$11, 100%, $F$11)</f>
        <v>22.734000000000002</v>
      </c>
      <c r="J780" s="4">
        <f>CHOOSE( CONTROL!$C$32, 22.6393, 22.6388) * CHOOSE(CONTROL!$C$15, $D$11, 100%, $F$11)</f>
        <v>22.639299999999999</v>
      </c>
      <c r="K780" s="4"/>
      <c r="L780" s="9">
        <v>30.7165</v>
      </c>
      <c r="M780" s="9">
        <v>12.063700000000001</v>
      </c>
      <c r="N780" s="9">
        <v>4.9444999999999997</v>
      </c>
      <c r="O780" s="9">
        <v>0.37409999999999999</v>
      </c>
      <c r="P780" s="9">
        <v>1.2927</v>
      </c>
      <c r="Q780" s="9">
        <v>19.688099999999999</v>
      </c>
      <c r="R780" s="9"/>
      <c r="S780" s="11"/>
    </row>
    <row r="781" spans="1:19" ht="15.75">
      <c r="A781" s="13">
        <v>64923</v>
      </c>
      <c r="B781" s="8">
        <f>CHOOSE( CONTROL!$C$32, 22.8499, 22.8495) * CHOOSE(CONTROL!$C$15, $D$11, 100%, $F$11)</f>
        <v>22.849900000000002</v>
      </c>
      <c r="C781" s="8">
        <f>CHOOSE( CONTROL!$C$32, 22.8579, 22.8575) * CHOOSE(CONTROL!$C$15, $D$11, 100%, $F$11)</f>
        <v>22.857900000000001</v>
      </c>
      <c r="D781" s="8">
        <f>CHOOSE( CONTROL!$C$32, 22.8531, 22.8526) * CHOOSE( CONTROL!$C$15, $D$11, 100%, $F$11)</f>
        <v>22.853100000000001</v>
      </c>
      <c r="E781" s="12">
        <f>CHOOSE( CONTROL!$C$32, 22.8536, 22.8532) * CHOOSE( CONTROL!$C$15, $D$11, 100%, $F$11)</f>
        <v>22.8536</v>
      </c>
      <c r="F781" s="4">
        <f>CHOOSE( CONTROL!$C$32, 23.5569, 23.5564) * CHOOSE(CONTROL!$C$15, $D$11, 100%, $F$11)</f>
        <v>23.556899999999999</v>
      </c>
      <c r="G781" s="8">
        <f>CHOOSE( CONTROL!$C$32, 22.5887, 22.5883) * CHOOSE( CONTROL!$C$15, $D$11, 100%, $F$11)</f>
        <v>22.588699999999999</v>
      </c>
      <c r="H781" s="4">
        <f>CHOOSE( CONTROL!$C$32, 23.5277, 23.5272) * CHOOSE(CONTROL!$C$15, $D$11, 100%, $F$11)</f>
        <v>23.527699999999999</v>
      </c>
      <c r="I781" s="8">
        <f>CHOOSE( CONTROL!$C$32, 22.259, 22.2585) * CHOOSE(CONTROL!$C$15, $D$11, 100%, $F$11)</f>
        <v>22.259</v>
      </c>
      <c r="J781" s="4">
        <f>CHOOSE( CONTROL!$C$32, 22.1651, 22.1646) * CHOOSE(CONTROL!$C$15, $D$11, 100%, $F$11)</f>
        <v>22.165099999999999</v>
      </c>
      <c r="K781" s="4"/>
      <c r="L781" s="9">
        <v>29.7257</v>
      </c>
      <c r="M781" s="9">
        <v>11.6745</v>
      </c>
      <c r="N781" s="9">
        <v>4.7850000000000001</v>
      </c>
      <c r="O781" s="9">
        <v>0.36199999999999999</v>
      </c>
      <c r="P781" s="9">
        <v>1.2509999999999999</v>
      </c>
      <c r="Q781" s="9">
        <v>19.053000000000001</v>
      </c>
      <c r="R781" s="9"/>
      <c r="S781" s="11"/>
    </row>
    <row r="782" spans="1:19" ht="15.75">
      <c r="A782" s="13">
        <v>64954</v>
      </c>
      <c r="B782" s="8">
        <f>CHOOSE( CONTROL!$C$32, 23.8626, 23.8623) * CHOOSE(CONTROL!$C$15, $D$11, 100%, $F$11)</f>
        <v>23.8626</v>
      </c>
      <c r="C782" s="8">
        <f>CHOOSE( CONTROL!$C$32, 23.8679, 23.8677) * CHOOSE(CONTROL!$C$15, $D$11, 100%, $F$11)</f>
        <v>23.867899999999999</v>
      </c>
      <c r="D782" s="8">
        <f>CHOOSE( CONTROL!$C$32, 23.8681, 23.8679) * CHOOSE( CONTROL!$C$15, $D$11, 100%, $F$11)</f>
        <v>23.868099999999998</v>
      </c>
      <c r="E782" s="12">
        <f>CHOOSE( CONTROL!$C$32, 23.8675, 23.8673) * CHOOSE( CONTROL!$C$15, $D$11, 100%, $F$11)</f>
        <v>23.8675</v>
      </c>
      <c r="F782" s="4">
        <f>CHOOSE( CONTROL!$C$32, 24.5713, 24.571) * CHOOSE(CONTROL!$C$15, $D$11, 100%, $F$11)</f>
        <v>24.571300000000001</v>
      </c>
      <c r="G782" s="8">
        <f>CHOOSE( CONTROL!$C$32, 23.5912, 23.5909) * CHOOSE( CONTROL!$C$15, $D$11, 100%, $F$11)</f>
        <v>23.591200000000001</v>
      </c>
      <c r="H782" s="4">
        <f>CHOOSE( CONTROL!$C$32, 24.5302, 24.5299) * CHOOSE(CONTROL!$C$15, $D$11, 100%, $F$11)</f>
        <v>24.530200000000001</v>
      </c>
      <c r="I782" s="8">
        <f>CHOOSE( CONTROL!$C$32, 23.2446, 23.2444) * CHOOSE(CONTROL!$C$15, $D$11, 100%, $F$11)</f>
        <v>23.244599999999998</v>
      </c>
      <c r="J782" s="4">
        <f>CHOOSE( CONTROL!$C$32, 23.1495, 23.1492) * CHOOSE(CONTROL!$C$15, $D$11, 100%, $F$11)</f>
        <v>23.1495</v>
      </c>
      <c r="K782" s="4"/>
      <c r="L782" s="9">
        <v>31.095300000000002</v>
      </c>
      <c r="M782" s="9">
        <v>12.063700000000001</v>
      </c>
      <c r="N782" s="9">
        <v>4.9444999999999997</v>
      </c>
      <c r="O782" s="9">
        <v>0.37409999999999999</v>
      </c>
      <c r="P782" s="9">
        <v>1.2927</v>
      </c>
      <c r="Q782" s="9">
        <v>19.688099999999999</v>
      </c>
      <c r="R782" s="9"/>
      <c r="S782" s="11"/>
    </row>
    <row r="783" spans="1:19" ht="15.75">
      <c r="A783" s="13">
        <v>64984</v>
      </c>
      <c r="B783" s="8">
        <f>CHOOSE( CONTROL!$C$32, 25.7349, 25.7346) * CHOOSE(CONTROL!$C$15, $D$11, 100%, $F$11)</f>
        <v>25.7349</v>
      </c>
      <c r="C783" s="8">
        <f>CHOOSE( CONTROL!$C$32, 25.7399, 25.7397) * CHOOSE(CONTROL!$C$15, $D$11, 100%, $F$11)</f>
        <v>25.739899999999999</v>
      </c>
      <c r="D783" s="8">
        <f>CHOOSE( CONTROL!$C$32, 25.7078, 25.7075) * CHOOSE( CONTROL!$C$15, $D$11, 100%, $F$11)</f>
        <v>25.707799999999999</v>
      </c>
      <c r="E783" s="12">
        <f>CHOOSE( CONTROL!$C$32, 25.719, 25.7187) * CHOOSE( CONTROL!$C$15, $D$11, 100%, $F$11)</f>
        <v>25.719000000000001</v>
      </c>
      <c r="F783" s="4">
        <f>CHOOSE( CONTROL!$C$32, 26.4001, 26.3999) * CHOOSE(CONTROL!$C$15, $D$11, 100%, $F$11)</f>
        <v>26.400099999999998</v>
      </c>
      <c r="G783" s="8">
        <f>CHOOSE( CONTROL!$C$32, 25.4309, 25.4306) * CHOOSE( CONTROL!$C$15, $D$11, 100%, $F$11)</f>
        <v>25.430900000000001</v>
      </c>
      <c r="H783" s="4">
        <f>CHOOSE( CONTROL!$C$32, 26.3376, 26.3374) * CHOOSE(CONTROL!$C$15, $D$11, 100%, $F$11)</f>
        <v>26.337599999999998</v>
      </c>
      <c r="I783" s="8">
        <f>CHOOSE( CONTROL!$C$32, 25.1138, 25.1135) * CHOOSE(CONTROL!$C$15, $D$11, 100%, $F$11)</f>
        <v>25.113800000000001</v>
      </c>
      <c r="J783" s="4">
        <f>CHOOSE( CONTROL!$C$32, 24.9669, 24.9667) * CHOOSE(CONTROL!$C$15, $D$11, 100%, $F$11)</f>
        <v>24.966899999999999</v>
      </c>
      <c r="K783" s="4"/>
      <c r="L783" s="9">
        <v>28.360600000000002</v>
      </c>
      <c r="M783" s="9">
        <v>11.6745</v>
      </c>
      <c r="N783" s="9">
        <v>4.7850000000000001</v>
      </c>
      <c r="O783" s="9">
        <v>0.36199999999999999</v>
      </c>
      <c r="P783" s="9">
        <v>1.2509999999999999</v>
      </c>
      <c r="Q783" s="9">
        <v>19.053000000000001</v>
      </c>
      <c r="R783" s="9"/>
      <c r="S783" s="11"/>
    </row>
    <row r="784" spans="1:19" ht="15.75">
      <c r="A784" s="13">
        <v>65015</v>
      </c>
      <c r="B784" s="8">
        <f>CHOOSE( CONTROL!$C$32, 25.6881, 25.6878) * CHOOSE(CONTROL!$C$15, $D$11, 100%, $F$11)</f>
        <v>25.688099999999999</v>
      </c>
      <c r="C784" s="8">
        <f>CHOOSE( CONTROL!$C$32, 25.6932, 25.6929) * CHOOSE(CONTROL!$C$15, $D$11, 100%, $F$11)</f>
        <v>25.693200000000001</v>
      </c>
      <c r="D784" s="8">
        <f>CHOOSE( CONTROL!$C$32, 25.6629, 25.6626) * CHOOSE( CONTROL!$C$15, $D$11, 100%, $F$11)</f>
        <v>25.6629</v>
      </c>
      <c r="E784" s="12">
        <f>CHOOSE( CONTROL!$C$32, 25.6734, 25.6731) * CHOOSE( CONTROL!$C$15, $D$11, 100%, $F$11)</f>
        <v>25.673400000000001</v>
      </c>
      <c r="F784" s="4">
        <f>CHOOSE( CONTROL!$C$32, 26.3534, 26.3531) * CHOOSE(CONTROL!$C$15, $D$11, 100%, $F$11)</f>
        <v>26.353400000000001</v>
      </c>
      <c r="G784" s="8">
        <f>CHOOSE( CONTROL!$C$32, 25.3859, 25.3857) * CHOOSE( CONTROL!$C$15, $D$11, 100%, $F$11)</f>
        <v>25.385899999999999</v>
      </c>
      <c r="H784" s="4">
        <f>CHOOSE( CONTROL!$C$32, 26.2914, 26.2911) * CHOOSE(CONTROL!$C$15, $D$11, 100%, $F$11)</f>
        <v>26.291399999999999</v>
      </c>
      <c r="I784" s="8">
        <f>CHOOSE( CONTROL!$C$32, 25.0741, 25.0738) * CHOOSE(CONTROL!$C$15, $D$11, 100%, $F$11)</f>
        <v>25.074100000000001</v>
      </c>
      <c r="J784" s="4">
        <f>CHOOSE( CONTROL!$C$32, 24.9215, 24.9213) * CHOOSE(CONTROL!$C$15, $D$11, 100%, $F$11)</f>
        <v>24.921500000000002</v>
      </c>
      <c r="K784" s="4"/>
      <c r="L784" s="9">
        <v>29.306000000000001</v>
      </c>
      <c r="M784" s="9">
        <v>12.063700000000001</v>
      </c>
      <c r="N784" s="9">
        <v>4.9444999999999997</v>
      </c>
      <c r="O784" s="9">
        <v>0.37409999999999999</v>
      </c>
      <c r="P784" s="9">
        <v>1.2927</v>
      </c>
      <c r="Q784" s="9">
        <v>19.688099999999999</v>
      </c>
      <c r="R784" s="9"/>
      <c r="S784" s="11"/>
    </row>
    <row r="785" spans="1:19" ht="15.75">
      <c r="A785" s="13">
        <v>65046</v>
      </c>
      <c r="B785" s="8">
        <f>CHOOSE( CONTROL!$C$32, 26.4455, 26.4452) * CHOOSE(CONTROL!$C$15, $D$11, 100%, $F$11)</f>
        <v>26.445499999999999</v>
      </c>
      <c r="C785" s="8">
        <f>CHOOSE( CONTROL!$C$32, 26.4506, 26.4503) * CHOOSE(CONTROL!$C$15, $D$11, 100%, $F$11)</f>
        <v>26.450600000000001</v>
      </c>
      <c r="D785" s="8">
        <f>CHOOSE( CONTROL!$C$32, 26.4482, 26.448) * CHOOSE( CONTROL!$C$15, $D$11, 100%, $F$11)</f>
        <v>26.4482</v>
      </c>
      <c r="E785" s="12">
        <f>CHOOSE( CONTROL!$C$32, 26.4485, 26.4483) * CHOOSE( CONTROL!$C$15, $D$11, 100%, $F$11)</f>
        <v>26.448499999999999</v>
      </c>
      <c r="F785" s="4">
        <f>CHOOSE( CONTROL!$C$32, 27.1108, 27.1105) * CHOOSE(CONTROL!$C$15, $D$11, 100%, $F$11)</f>
        <v>27.110800000000001</v>
      </c>
      <c r="G785" s="8">
        <f>CHOOSE( CONTROL!$C$32, 26.1506, 26.1504) * CHOOSE( CONTROL!$C$15, $D$11, 100%, $F$11)</f>
        <v>26.150600000000001</v>
      </c>
      <c r="H785" s="4">
        <f>CHOOSE( CONTROL!$C$32, 27.04, 27.0397) * CHOOSE(CONTROL!$C$15, $D$11, 100%, $F$11)</f>
        <v>27.04</v>
      </c>
      <c r="I785" s="8">
        <f>CHOOSE( CONTROL!$C$32, 25.7831, 25.7828) * CHOOSE(CONTROL!$C$15, $D$11, 100%, $F$11)</f>
        <v>25.783100000000001</v>
      </c>
      <c r="J785" s="4">
        <f>CHOOSE( CONTROL!$C$32, 25.6566, 25.6564) * CHOOSE(CONTROL!$C$15, $D$11, 100%, $F$11)</f>
        <v>25.656600000000001</v>
      </c>
      <c r="K785" s="4"/>
      <c r="L785" s="9">
        <v>29.306000000000001</v>
      </c>
      <c r="M785" s="9">
        <v>12.063700000000001</v>
      </c>
      <c r="N785" s="9">
        <v>4.9444999999999997</v>
      </c>
      <c r="O785" s="9">
        <v>0.37409999999999999</v>
      </c>
      <c r="P785" s="9">
        <v>1.2927</v>
      </c>
      <c r="Q785" s="9">
        <v>19.688099999999999</v>
      </c>
      <c r="R785" s="9"/>
      <c r="S785" s="11"/>
    </row>
    <row r="786" spans="1:19" ht="15.75">
      <c r="A786" s="13">
        <v>65074</v>
      </c>
      <c r="B786" s="8">
        <f>CHOOSE( CONTROL!$C$32, 24.7365, 24.7362) * CHOOSE(CONTROL!$C$15, $D$11, 100%, $F$11)</f>
        <v>24.736499999999999</v>
      </c>
      <c r="C786" s="8">
        <f>CHOOSE( CONTROL!$C$32, 24.7415, 24.7413) * CHOOSE(CONTROL!$C$15, $D$11, 100%, $F$11)</f>
        <v>24.741499999999998</v>
      </c>
      <c r="D786" s="8">
        <f>CHOOSE( CONTROL!$C$32, 24.7215, 24.7212) * CHOOSE( CONTROL!$C$15, $D$11, 100%, $F$11)</f>
        <v>24.721499999999999</v>
      </c>
      <c r="E786" s="12">
        <f>CHOOSE( CONTROL!$C$32, 24.7283, 24.728) * CHOOSE( CONTROL!$C$15, $D$11, 100%, $F$11)</f>
        <v>24.728300000000001</v>
      </c>
      <c r="F786" s="4">
        <f>CHOOSE( CONTROL!$C$32, 25.4017, 25.4015) * CHOOSE(CONTROL!$C$15, $D$11, 100%, $F$11)</f>
        <v>25.401700000000002</v>
      </c>
      <c r="G786" s="8">
        <f>CHOOSE( CONTROL!$C$32, 24.4505, 24.4502) * CHOOSE( CONTROL!$C$15, $D$11, 100%, $F$11)</f>
        <v>24.450500000000002</v>
      </c>
      <c r="H786" s="4">
        <f>CHOOSE( CONTROL!$C$32, 25.3509, 25.3506) * CHOOSE(CONTROL!$C$15, $D$11, 100%, $F$11)</f>
        <v>25.350899999999999</v>
      </c>
      <c r="I786" s="8">
        <f>CHOOSE( CONTROL!$C$32, 24.124, 24.1237) * CHOOSE(CONTROL!$C$15, $D$11, 100%, $F$11)</f>
        <v>24.123999999999999</v>
      </c>
      <c r="J786" s="4">
        <f>CHOOSE( CONTROL!$C$32, 23.998, 23.9977) * CHOOSE(CONTROL!$C$15, $D$11, 100%, $F$11)</f>
        <v>23.998000000000001</v>
      </c>
      <c r="K786" s="4"/>
      <c r="L786" s="9">
        <v>26.469899999999999</v>
      </c>
      <c r="M786" s="9">
        <v>10.8962</v>
      </c>
      <c r="N786" s="9">
        <v>4.4660000000000002</v>
      </c>
      <c r="O786" s="9">
        <v>0.33789999999999998</v>
      </c>
      <c r="P786" s="9">
        <v>1.1676</v>
      </c>
      <c r="Q786" s="9">
        <v>17.782800000000002</v>
      </c>
      <c r="R786" s="9"/>
      <c r="S786" s="11"/>
    </row>
    <row r="787" spans="1:19" ht="15.75">
      <c r="A787" s="13">
        <v>65105</v>
      </c>
      <c r="B787" s="8">
        <f>CHOOSE( CONTROL!$C$32, 24.2101, 24.2098) * CHOOSE(CONTROL!$C$15, $D$11, 100%, $F$11)</f>
        <v>24.210100000000001</v>
      </c>
      <c r="C787" s="8">
        <f>CHOOSE( CONTROL!$C$32, 24.2152, 24.2149) * CHOOSE(CONTROL!$C$15, $D$11, 100%, $F$11)</f>
        <v>24.215199999999999</v>
      </c>
      <c r="D787" s="8">
        <f>CHOOSE( CONTROL!$C$32, 24.1852, 24.1849) * CHOOSE( CONTROL!$C$15, $D$11, 100%, $F$11)</f>
        <v>24.185199999999998</v>
      </c>
      <c r="E787" s="12">
        <f>CHOOSE( CONTROL!$C$32, 24.1956, 24.1953) * CHOOSE( CONTROL!$C$15, $D$11, 100%, $F$11)</f>
        <v>24.195599999999999</v>
      </c>
      <c r="F787" s="4">
        <f>CHOOSE( CONTROL!$C$32, 24.8754, 24.8751) * CHOOSE(CONTROL!$C$15, $D$11, 100%, $F$11)</f>
        <v>24.875399999999999</v>
      </c>
      <c r="G787" s="8">
        <f>CHOOSE( CONTROL!$C$32, 23.917, 23.9167) * CHOOSE( CONTROL!$C$15, $D$11, 100%, $F$11)</f>
        <v>23.917000000000002</v>
      </c>
      <c r="H787" s="4">
        <f>CHOOSE( CONTROL!$C$32, 24.8307, 24.8304) * CHOOSE(CONTROL!$C$15, $D$11, 100%, $F$11)</f>
        <v>24.8307</v>
      </c>
      <c r="I787" s="8">
        <f>CHOOSE( CONTROL!$C$32, 23.5777, 23.5774) * CHOOSE(CONTROL!$C$15, $D$11, 100%, $F$11)</f>
        <v>23.5777</v>
      </c>
      <c r="J787" s="4">
        <f>CHOOSE( CONTROL!$C$32, 23.4871, 23.4869) * CHOOSE(CONTROL!$C$15, $D$11, 100%, $F$11)</f>
        <v>23.487100000000002</v>
      </c>
      <c r="K787" s="4"/>
      <c r="L787" s="9">
        <v>29.306000000000001</v>
      </c>
      <c r="M787" s="9">
        <v>12.063700000000001</v>
      </c>
      <c r="N787" s="9">
        <v>4.9444999999999997</v>
      </c>
      <c r="O787" s="9">
        <v>0.37409999999999999</v>
      </c>
      <c r="P787" s="9">
        <v>1.2927</v>
      </c>
      <c r="Q787" s="9">
        <v>19.688099999999999</v>
      </c>
      <c r="R787" s="9"/>
      <c r="S787" s="11"/>
    </row>
    <row r="788" spans="1:19" ht="15.75">
      <c r="A788" s="13">
        <v>65135</v>
      </c>
      <c r="B788" s="8">
        <f>CHOOSE( CONTROL!$C$32, 24.5787, 24.5784) * CHOOSE(CONTROL!$C$15, $D$11, 100%, $F$11)</f>
        <v>24.578700000000001</v>
      </c>
      <c r="C788" s="8">
        <f>CHOOSE( CONTROL!$C$32, 24.5832, 24.5829) * CHOOSE(CONTROL!$C$15, $D$11, 100%, $F$11)</f>
        <v>24.583200000000001</v>
      </c>
      <c r="D788" s="8">
        <f>CHOOSE( CONTROL!$C$32, 24.5827, 24.5824) * CHOOSE( CONTROL!$C$15, $D$11, 100%, $F$11)</f>
        <v>24.582699999999999</v>
      </c>
      <c r="E788" s="12">
        <f>CHOOSE( CONTROL!$C$32, 24.5824, 24.5821) * CHOOSE( CONTROL!$C$15, $D$11, 100%, $F$11)</f>
        <v>24.5824</v>
      </c>
      <c r="F788" s="4">
        <f>CHOOSE( CONTROL!$C$32, 25.287, 25.2867) * CHOOSE(CONTROL!$C$15, $D$11, 100%, $F$11)</f>
        <v>25.286999999999999</v>
      </c>
      <c r="G788" s="8">
        <f>CHOOSE( CONTROL!$C$32, 24.2975, 24.2973) * CHOOSE( CONTROL!$C$15, $D$11, 100%, $F$11)</f>
        <v>24.297499999999999</v>
      </c>
      <c r="H788" s="4">
        <f>CHOOSE( CONTROL!$C$32, 25.2375, 25.2372) * CHOOSE(CONTROL!$C$15, $D$11, 100%, $F$11)</f>
        <v>25.237500000000001</v>
      </c>
      <c r="I788" s="8">
        <f>CHOOSE( CONTROL!$C$32, 23.9354, 23.9351) * CHOOSE(CONTROL!$C$15, $D$11, 100%, $F$11)</f>
        <v>23.935400000000001</v>
      </c>
      <c r="J788" s="4">
        <f>CHOOSE( CONTROL!$C$32, 23.8441, 23.8438) * CHOOSE(CONTROL!$C$15, $D$11, 100%, $F$11)</f>
        <v>23.844100000000001</v>
      </c>
      <c r="K788" s="4"/>
      <c r="L788" s="9">
        <v>30.092199999999998</v>
      </c>
      <c r="M788" s="9">
        <v>11.6745</v>
      </c>
      <c r="N788" s="9">
        <v>4.7850000000000001</v>
      </c>
      <c r="O788" s="9">
        <v>0.36199999999999999</v>
      </c>
      <c r="P788" s="9">
        <v>1.2509999999999999</v>
      </c>
      <c r="Q788" s="9">
        <v>19.053000000000001</v>
      </c>
      <c r="R788" s="9"/>
      <c r="S788" s="11"/>
    </row>
    <row r="789" spans="1:19" ht="15.75">
      <c r="A789" s="13">
        <v>65166</v>
      </c>
      <c r="B789" s="8">
        <f>CHOOSE( CONTROL!$C$32, 25.2349, 25.2344) * CHOOSE(CONTROL!$C$15, $D$11, 100%, $F$11)</f>
        <v>25.2349</v>
      </c>
      <c r="C789" s="8">
        <f>CHOOSE( CONTROL!$C$32, 25.2428, 25.2424) * CHOOSE(CONTROL!$C$15, $D$11, 100%, $F$11)</f>
        <v>25.242799999999999</v>
      </c>
      <c r="D789" s="8">
        <f>CHOOSE( CONTROL!$C$32, 25.2371, 25.2367) * CHOOSE( CONTROL!$C$15, $D$11, 100%, $F$11)</f>
        <v>25.237100000000002</v>
      </c>
      <c r="E789" s="12">
        <f>CHOOSE( CONTROL!$C$32, 25.238, 25.2375) * CHOOSE( CONTROL!$C$15, $D$11, 100%, $F$11)</f>
        <v>25.238</v>
      </c>
      <c r="F789" s="4">
        <f>CHOOSE( CONTROL!$C$32, 25.9418, 25.9414) * CHOOSE(CONTROL!$C$15, $D$11, 100%, $F$11)</f>
        <v>25.941800000000001</v>
      </c>
      <c r="G789" s="8">
        <f>CHOOSE( CONTROL!$C$32, 24.945, 24.9446) * CHOOSE( CONTROL!$C$15, $D$11, 100%, $F$11)</f>
        <v>24.945</v>
      </c>
      <c r="H789" s="4">
        <f>CHOOSE( CONTROL!$C$32, 25.8846, 25.8842) * CHOOSE(CONTROL!$C$15, $D$11, 100%, $F$11)</f>
        <v>25.884599999999999</v>
      </c>
      <c r="I789" s="8">
        <f>CHOOSE( CONTROL!$C$32, 24.5718, 24.5714) * CHOOSE(CONTROL!$C$15, $D$11, 100%, $F$11)</f>
        <v>24.5718</v>
      </c>
      <c r="J789" s="4">
        <f>CHOOSE( CONTROL!$C$32, 24.4796, 24.4792) * CHOOSE(CONTROL!$C$15, $D$11, 100%, $F$11)</f>
        <v>24.479600000000001</v>
      </c>
      <c r="K789" s="4"/>
      <c r="L789" s="9">
        <v>30.7165</v>
      </c>
      <c r="M789" s="9">
        <v>12.063700000000001</v>
      </c>
      <c r="N789" s="9">
        <v>4.9444999999999997</v>
      </c>
      <c r="O789" s="9">
        <v>0.37409999999999999</v>
      </c>
      <c r="P789" s="9">
        <v>1.2927</v>
      </c>
      <c r="Q789" s="9">
        <v>19.688099999999999</v>
      </c>
      <c r="R789" s="9"/>
      <c r="S789" s="11"/>
    </row>
    <row r="790" spans="1:19" ht="15.75">
      <c r="A790" s="13">
        <v>65196</v>
      </c>
      <c r="B790" s="8">
        <f>CHOOSE( CONTROL!$C$32, 24.8293, 24.8289) * CHOOSE(CONTROL!$C$15, $D$11, 100%, $F$11)</f>
        <v>24.8293</v>
      </c>
      <c r="C790" s="8">
        <f>CHOOSE( CONTROL!$C$32, 24.8373, 24.8369) * CHOOSE(CONTROL!$C$15, $D$11, 100%, $F$11)</f>
        <v>24.837299999999999</v>
      </c>
      <c r="D790" s="8">
        <f>CHOOSE( CONTROL!$C$32, 24.832, 24.8316) * CHOOSE( CONTROL!$C$15, $D$11, 100%, $F$11)</f>
        <v>24.832000000000001</v>
      </c>
      <c r="E790" s="12">
        <f>CHOOSE( CONTROL!$C$32, 24.8327, 24.8323) * CHOOSE( CONTROL!$C$15, $D$11, 100%, $F$11)</f>
        <v>24.832699999999999</v>
      </c>
      <c r="F790" s="4">
        <f>CHOOSE( CONTROL!$C$32, 25.5363, 25.5358) * CHOOSE(CONTROL!$C$15, $D$11, 100%, $F$11)</f>
        <v>25.536300000000001</v>
      </c>
      <c r="G790" s="8">
        <f>CHOOSE( CONTROL!$C$32, 24.5446, 24.5441) * CHOOSE( CONTROL!$C$15, $D$11, 100%, $F$11)</f>
        <v>24.544599999999999</v>
      </c>
      <c r="H790" s="4">
        <f>CHOOSE( CONTROL!$C$32, 25.4839, 25.4834) * CHOOSE(CONTROL!$C$15, $D$11, 100%, $F$11)</f>
        <v>25.483899999999998</v>
      </c>
      <c r="I790" s="8">
        <f>CHOOSE( CONTROL!$C$32, 24.1794, 24.179) * CHOOSE(CONTROL!$C$15, $D$11, 100%, $F$11)</f>
        <v>24.179400000000001</v>
      </c>
      <c r="J790" s="4">
        <f>CHOOSE( CONTROL!$C$32, 24.086, 24.0856) * CHOOSE(CONTROL!$C$15, $D$11, 100%, $F$11)</f>
        <v>24.085999999999999</v>
      </c>
      <c r="K790" s="4"/>
      <c r="L790" s="9">
        <v>29.7257</v>
      </c>
      <c r="M790" s="9">
        <v>11.6745</v>
      </c>
      <c r="N790" s="9">
        <v>4.7850000000000001</v>
      </c>
      <c r="O790" s="9">
        <v>0.36199999999999999</v>
      </c>
      <c r="P790" s="9">
        <v>1.2509999999999999</v>
      </c>
      <c r="Q790" s="9">
        <v>19.053000000000001</v>
      </c>
      <c r="R790" s="9"/>
      <c r="S790" s="11"/>
    </row>
    <row r="791" spans="1:19" ht="15.75">
      <c r="A791" s="13">
        <v>65227</v>
      </c>
      <c r="B791" s="8">
        <f>CHOOSE( CONTROL!$C$32, 25.8972, 25.8968) * CHOOSE(CONTROL!$C$15, $D$11, 100%, $F$11)</f>
        <v>25.897200000000002</v>
      </c>
      <c r="C791" s="8">
        <f>CHOOSE( CONTROL!$C$32, 25.9052, 25.9048) * CHOOSE(CONTROL!$C$15, $D$11, 100%, $F$11)</f>
        <v>25.905200000000001</v>
      </c>
      <c r="D791" s="8">
        <f>CHOOSE( CONTROL!$C$32, 25.9004, 25.8999) * CHOOSE( CONTROL!$C$15, $D$11, 100%, $F$11)</f>
        <v>25.900400000000001</v>
      </c>
      <c r="E791" s="12">
        <f>CHOOSE( CONTROL!$C$32, 25.9009, 25.9005) * CHOOSE( CONTROL!$C$15, $D$11, 100%, $F$11)</f>
        <v>25.9009</v>
      </c>
      <c r="F791" s="4">
        <f>CHOOSE( CONTROL!$C$32, 26.6042, 26.6037) * CHOOSE(CONTROL!$C$15, $D$11, 100%, $F$11)</f>
        <v>26.604199999999999</v>
      </c>
      <c r="G791" s="8">
        <f>CHOOSE( CONTROL!$C$32, 25.6003, 25.5999) * CHOOSE( CONTROL!$C$15, $D$11, 100%, $F$11)</f>
        <v>25.600300000000001</v>
      </c>
      <c r="H791" s="4">
        <f>CHOOSE( CONTROL!$C$32, 26.5393, 26.5388) * CHOOSE(CONTROL!$C$15, $D$11, 100%, $F$11)</f>
        <v>26.539300000000001</v>
      </c>
      <c r="I791" s="8">
        <f>CHOOSE( CONTROL!$C$32, 25.2179, 25.2175) * CHOOSE(CONTROL!$C$15, $D$11, 100%, $F$11)</f>
        <v>25.2179</v>
      </c>
      <c r="J791" s="4">
        <f>CHOOSE( CONTROL!$C$32, 25.1225, 25.122) * CHOOSE(CONTROL!$C$15, $D$11, 100%, $F$11)</f>
        <v>25.122499999999999</v>
      </c>
      <c r="K791" s="4"/>
      <c r="L791" s="9">
        <v>30.7165</v>
      </c>
      <c r="M791" s="9">
        <v>12.063700000000001</v>
      </c>
      <c r="N791" s="9">
        <v>4.9444999999999997</v>
      </c>
      <c r="O791" s="9">
        <v>0.37409999999999999</v>
      </c>
      <c r="P791" s="9">
        <v>1.2927</v>
      </c>
      <c r="Q791" s="9">
        <v>19.688099999999999</v>
      </c>
      <c r="R791" s="9"/>
      <c r="S791" s="11"/>
    </row>
    <row r="792" spans="1:19" ht="15.75">
      <c r="A792" s="13">
        <v>65258</v>
      </c>
      <c r="B792" s="8">
        <f>CHOOSE( CONTROL!$C$32, 23.8991, 23.8986) * CHOOSE(CONTROL!$C$15, $D$11, 100%, $F$11)</f>
        <v>23.899100000000001</v>
      </c>
      <c r="C792" s="8">
        <f>CHOOSE( CONTROL!$C$32, 23.907, 23.9066) * CHOOSE(CONTROL!$C$15, $D$11, 100%, $F$11)</f>
        <v>23.907</v>
      </c>
      <c r="D792" s="8">
        <f>CHOOSE( CONTROL!$C$32, 23.9023, 23.9019) * CHOOSE( CONTROL!$C$15, $D$11, 100%, $F$11)</f>
        <v>23.9023</v>
      </c>
      <c r="E792" s="12">
        <f>CHOOSE( CONTROL!$C$32, 23.9028, 23.9024) * CHOOSE( CONTROL!$C$15, $D$11, 100%, $F$11)</f>
        <v>23.902799999999999</v>
      </c>
      <c r="F792" s="4">
        <f>CHOOSE( CONTROL!$C$32, 24.606, 24.6056) * CHOOSE(CONTROL!$C$15, $D$11, 100%, $F$11)</f>
        <v>24.606000000000002</v>
      </c>
      <c r="G792" s="8">
        <f>CHOOSE( CONTROL!$C$32, 23.6257, 23.6252) * CHOOSE( CONTROL!$C$15, $D$11, 100%, $F$11)</f>
        <v>23.625699999999998</v>
      </c>
      <c r="H792" s="4">
        <f>CHOOSE( CONTROL!$C$32, 24.5645, 24.564) * CHOOSE(CONTROL!$C$15, $D$11, 100%, $F$11)</f>
        <v>24.564499999999999</v>
      </c>
      <c r="I792" s="8">
        <f>CHOOSE( CONTROL!$C$32, 23.2782, 23.2777) * CHOOSE(CONTROL!$C$15, $D$11, 100%, $F$11)</f>
        <v>23.278199999999998</v>
      </c>
      <c r="J792" s="4">
        <f>CHOOSE( CONTROL!$C$32, 23.1832, 23.1828) * CHOOSE(CONTROL!$C$15, $D$11, 100%, $F$11)</f>
        <v>23.183199999999999</v>
      </c>
      <c r="K792" s="4"/>
      <c r="L792" s="9">
        <v>30.7165</v>
      </c>
      <c r="M792" s="9">
        <v>12.063700000000001</v>
      </c>
      <c r="N792" s="9">
        <v>4.9444999999999997</v>
      </c>
      <c r="O792" s="9">
        <v>0.37409999999999999</v>
      </c>
      <c r="P792" s="9">
        <v>1.2927</v>
      </c>
      <c r="Q792" s="9">
        <v>19.688099999999999</v>
      </c>
      <c r="R792" s="9"/>
      <c r="S792" s="11"/>
    </row>
    <row r="793" spans="1:19" ht="15.75">
      <c r="A793" s="13">
        <v>65288</v>
      </c>
      <c r="B793" s="8">
        <f>CHOOSE( CONTROL!$C$32, 23.3987, 23.3982) * CHOOSE(CONTROL!$C$15, $D$11, 100%, $F$11)</f>
        <v>23.398700000000002</v>
      </c>
      <c r="C793" s="8">
        <f>CHOOSE( CONTROL!$C$32, 23.4067, 23.4062) * CHOOSE(CONTROL!$C$15, $D$11, 100%, $F$11)</f>
        <v>23.406700000000001</v>
      </c>
      <c r="D793" s="8">
        <f>CHOOSE( CONTROL!$C$32, 23.4018, 23.4014) * CHOOSE( CONTROL!$C$15, $D$11, 100%, $F$11)</f>
        <v>23.401800000000001</v>
      </c>
      <c r="E793" s="12">
        <f>CHOOSE( CONTROL!$C$32, 23.4024, 23.4019) * CHOOSE( CONTROL!$C$15, $D$11, 100%, $F$11)</f>
        <v>23.4024</v>
      </c>
      <c r="F793" s="4">
        <f>CHOOSE( CONTROL!$C$32, 24.1056, 24.1052) * CHOOSE(CONTROL!$C$15, $D$11, 100%, $F$11)</f>
        <v>24.105599999999999</v>
      </c>
      <c r="G793" s="8">
        <f>CHOOSE( CONTROL!$C$32, 23.131, 23.1306) * CHOOSE( CONTROL!$C$15, $D$11, 100%, $F$11)</f>
        <v>23.131</v>
      </c>
      <c r="H793" s="4">
        <f>CHOOSE( CONTROL!$C$32, 24.07, 24.0695) * CHOOSE(CONTROL!$C$15, $D$11, 100%, $F$11)</f>
        <v>24.07</v>
      </c>
      <c r="I793" s="8">
        <f>CHOOSE( CONTROL!$C$32, 22.7918, 22.7914) * CHOOSE(CONTROL!$C$15, $D$11, 100%, $F$11)</f>
        <v>22.791799999999999</v>
      </c>
      <c r="J793" s="4">
        <f>CHOOSE( CONTROL!$C$32, 22.6976, 22.6972) * CHOOSE(CONTROL!$C$15, $D$11, 100%, $F$11)</f>
        <v>22.697600000000001</v>
      </c>
      <c r="K793" s="4"/>
      <c r="L793" s="9">
        <v>29.7257</v>
      </c>
      <c r="M793" s="9">
        <v>11.6745</v>
      </c>
      <c r="N793" s="9">
        <v>4.7850000000000001</v>
      </c>
      <c r="O793" s="9">
        <v>0.36199999999999999</v>
      </c>
      <c r="P793" s="9">
        <v>1.2509999999999999</v>
      </c>
      <c r="Q793" s="9">
        <v>19.053000000000001</v>
      </c>
      <c r="R793" s="9"/>
      <c r="S793" s="11"/>
    </row>
    <row r="794" spans="1:19" ht="15.75">
      <c r="A794" s="13">
        <v>65319</v>
      </c>
      <c r="B794" s="8">
        <f>CHOOSE( CONTROL!$C$32, 24.4357, 24.4355) * CHOOSE(CONTROL!$C$15, $D$11, 100%, $F$11)</f>
        <v>24.435700000000001</v>
      </c>
      <c r="C794" s="8">
        <f>CHOOSE( CONTROL!$C$32, 24.4411, 24.4408) * CHOOSE(CONTROL!$C$15, $D$11, 100%, $F$11)</f>
        <v>24.441099999999999</v>
      </c>
      <c r="D794" s="8">
        <f>CHOOSE( CONTROL!$C$32, 24.4413, 24.441) * CHOOSE( CONTROL!$C$15, $D$11, 100%, $F$11)</f>
        <v>24.441299999999998</v>
      </c>
      <c r="E794" s="12">
        <f>CHOOSE( CONTROL!$C$32, 24.4407, 24.4404) * CHOOSE( CONTROL!$C$15, $D$11, 100%, $F$11)</f>
        <v>24.4407</v>
      </c>
      <c r="F794" s="4">
        <f>CHOOSE( CONTROL!$C$32, 25.1444, 25.1441) * CHOOSE(CONTROL!$C$15, $D$11, 100%, $F$11)</f>
        <v>25.144400000000001</v>
      </c>
      <c r="G794" s="8">
        <f>CHOOSE( CONTROL!$C$32, 24.1576, 24.1573) * CHOOSE( CONTROL!$C$15, $D$11, 100%, $F$11)</f>
        <v>24.157599999999999</v>
      </c>
      <c r="H794" s="4">
        <f>CHOOSE( CONTROL!$C$32, 25.0966, 25.0963) * CHOOSE(CONTROL!$C$15, $D$11, 100%, $F$11)</f>
        <v>25.096599999999999</v>
      </c>
      <c r="I794" s="8">
        <f>CHOOSE( CONTROL!$C$32, 23.8011, 23.8009) * CHOOSE(CONTROL!$C$15, $D$11, 100%, $F$11)</f>
        <v>23.801100000000002</v>
      </c>
      <c r="J794" s="4">
        <f>CHOOSE( CONTROL!$C$32, 23.7057, 23.7055) * CHOOSE(CONTROL!$C$15, $D$11, 100%, $F$11)</f>
        <v>23.7057</v>
      </c>
      <c r="K794" s="4"/>
      <c r="L794" s="9">
        <v>31.095300000000002</v>
      </c>
      <c r="M794" s="9">
        <v>12.063700000000001</v>
      </c>
      <c r="N794" s="9">
        <v>4.9444999999999997</v>
      </c>
      <c r="O794" s="9">
        <v>0.37409999999999999</v>
      </c>
      <c r="P794" s="9">
        <v>1.2927</v>
      </c>
      <c r="Q794" s="9">
        <v>19.688099999999999</v>
      </c>
      <c r="R794" s="9"/>
      <c r="S794" s="11"/>
    </row>
    <row r="795" spans="1:19" ht="15.75">
      <c r="A795" s="13">
        <v>65349</v>
      </c>
      <c r="B795" s="8">
        <f>CHOOSE( CONTROL!$C$32, 26.353, 26.3527) * CHOOSE(CONTROL!$C$15, $D$11, 100%, $F$11)</f>
        <v>26.353000000000002</v>
      </c>
      <c r="C795" s="8">
        <f>CHOOSE( CONTROL!$C$32, 26.3581, 26.3578) * CHOOSE(CONTROL!$C$15, $D$11, 100%, $F$11)</f>
        <v>26.3581</v>
      </c>
      <c r="D795" s="8">
        <f>CHOOSE( CONTROL!$C$32, 26.3259, 26.3257) * CHOOSE( CONTROL!$C$15, $D$11, 100%, $F$11)</f>
        <v>26.325900000000001</v>
      </c>
      <c r="E795" s="12">
        <f>CHOOSE( CONTROL!$C$32, 26.3371, 26.3369) * CHOOSE( CONTROL!$C$15, $D$11, 100%, $F$11)</f>
        <v>26.3371</v>
      </c>
      <c r="F795" s="4">
        <f>CHOOSE( CONTROL!$C$32, 27.0183, 27.018) * CHOOSE(CONTROL!$C$15, $D$11, 100%, $F$11)</f>
        <v>27.0183</v>
      </c>
      <c r="G795" s="8">
        <f>CHOOSE( CONTROL!$C$32, 26.0417, 26.0415) * CHOOSE( CONTROL!$C$15, $D$11, 100%, $F$11)</f>
        <v>26.041699999999999</v>
      </c>
      <c r="H795" s="4">
        <f>CHOOSE( CONTROL!$C$32, 26.9485, 26.9482) * CHOOSE(CONTROL!$C$15, $D$11, 100%, $F$11)</f>
        <v>26.948499999999999</v>
      </c>
      <c r="I795" s="8">
        <f>CHOOSE( CONTROL!$C$32, 25.714, 25.7137) * CHOOSE(CONTROL!$C$15, $D$11, 100%, $F$11)</f>
        <v>25.713999999999999</v>
      </c>
      <c r="J795" s="4">
        <f>CHOOSE( CONTROL!$C$32, 25.5668, 25.5666) * CHOOSE(CONTROL!$C$15, $D$11, 100%, $F$11)</f>
        <v>25.566800000000001</v>
      </c>
      <c r="K795" s="4"/>
      <c r="L795" s="9">
        <v>28.360600000000002</v>
      </c>
      <c r="M795" s="9">
        <v>11.6745</v>
      </c>
      <c r="N795" s="9">
        <v>4.7850000000000001</v>
      </c>
      <c r="O795" s="9">
        <v>0.36199999999999999</v>
      </c>
      <c r="P795" s="9">
        <v>1.2509999999999999</v>
      </c>
      <c r="Q795" s="9">
        <v>19.053000000000001</v>
      </c>
      <c r="R795" s="9"/>
      <c r="S795" s="11"/>
    </row>
    <row r="796" spans="1:19" ht="15.75">
      <c r="A796" s="13">
        <v>65380</v>
      </c>
      <c r="B796" s="8">
        <f>CHOOSE( CONTROL!$C$32, 26.3051, 26.3048) * CHOOSE(CONTROL!$C$15, $D$11, 100%, $F$11)</f>
        <v>26.305099999999999</v>
      </c>
      <c r="C796" s="8">
        <f>CHOOSE( CONTROL!$C$32, 26.3102, 26.3099) * CHOOSE(CONTROL!$C$15, $D$11, 100%, $F$11)</f>
        <v>26.310199999999998</v>
      </c>
      <c r="D796" s="8">
        <f>CHOOSE( CONTROL!$C$32, 26.2799, 26.2796) * CHOOSE( CONTROL!$C$15, $D$11, 100%, $F$11)</f>
        <v>26.279900000000001</v>
      </c>
      <c r="E796" s="12">
        <f>CHOOSE( CONTROL!$C$32, 26.2904, 26.2901) * CHOOSE( CONTROL!$C$15, $D$11, 100%, $F$11)</f>
        <v>26.290400000000002</v>
      </c>
      <c r="F796" s="4">
        <f>CHOOSE( CONTROL!$C$32, 26.9704, 26.9701) * CHOOSE(CONTROL!$C$15, $D$11, 100%, $F$11)</f>
        <v>26.970400000000001</v>
      </c>
      <c r="G796" s="8">
        <f>CHOOSE( CONTROL!$C$32, 25.9957, 25.9954) * CHOOSE( CONTROL!$C$15, $D$11, 100%, $F$11)</f>
        <v>25.995699999999999</v>
      </c>
      <c r="H796" s="4">
        <f>CHOOSE( CONTROL!$C$32, 26.9012, 26.9009) * CHOOSE(CONTROL!$C$15, $D$11, 100%, $F$11)</f>
        <v>26.901199999999999</v>
      </c>
      <c r="I796" s="8">
        <f>CHOOSE( CONTROL!$C$32, 25.6732, 25.6729) * CHOOSE(CONTROL!$C$15, $D$11, 100%, $F$11)</f>
        <v>25.673200000000001</v>
      </c>
      <c r="J796" s="4">
        <f>CHOOSE( CONTROL!$C$32, 25.5203, 25.5201) * CHOOSE(CONTROL!$C$15, $D$11, 100%, $F$11)</f>
        <v>25.520299999999999</v>
      </c>
      <c r="K796" s="4"/>
      <c r="L796" s="9">
        <v>29.306000000000001</v>
      </c>
      <c r="M796" s="9">
        <v>12.063700000000001</v>
      </c>
      <c r="N796" s="9">
        <v>4.9444999999999997</v>
      </c>
      <c r="O796" s="9">
        <v>0.37409999999999999</v>
      </c>
      <c r="P796" s="9">
        <v>1.2927</v>
      </c>
      <c r="Q796" s="9">
        <v>19.688099999999999</v>
      </c>
      <c r="R796" s="9"/>
      <c r="S796" s="11"/>
    </row>
    <row r="797" spans="1:19" ht="15.75">
      <c r="A797" s="13">
        <v>65411</v>
      </c>
      <c r="B797" s="8">
        <f>CHOOSE( CONTROL!$C$32, 27.0807, 27.0804) * CHOOSE(CONTROL!$C$15, $D$11, 100%, $F$11)</f>
        <v>27.0807</v>
      </c>
      <c r="C797" s="8">
        <f>CHOOSE( CONTROL!$C$32, 27.0858, 27.0855) * CHOOSE(CONTROL!$C$15, $D$11, 100%, $F$11)</f>
        <v>27.085799999999999</v>
      </c>
      <c r="D797" s="8">
        <f>CHOOSE( CONTROL!$C$32, 27.0834, 27.0832) * CHOOSE( CONTROL!$C$15, $D$11, 100%, $F$11)</f>
        <v>27.083400000000001</v>
      </c>
      <c r="E797" s="12">
        <f>CHOOSE( CONTROL!$C$32, 27.0837, 27.0835) * CHOOSE( CONTROL!$C$15, $D$11, 100%, $F$11)</f>
        <v>27.0837</v>
      </c>
      <c r="F797" s="4">
        <f>CHOOSE( CONTROL!$C$32, 27.746, 27.7457) * CHOOSE(CONTROL!$C$15, $D$11, 100%, $F$11)</f>
        <v>27.745999999999999</v>
      </c>
      <c r="G797" s="8">
        <f>CHOOSE( CONTROL!$C$32, 26.7784, 26.7781) * CHOOSE( CONTROL!$C$15, $D$11, 100%, $F$11)</f>
        <v>26.778400000000001</v>
      </c>
      <c r="H797" s="4">
        <f>CHOOSE( CONTROL!$C$32, 27.6677, 27.6674) * CHOOSE(CONTROL!$C$15, $D$11, 100%, $F$11)</f>
        <v>27.6677</v>
      </c>
      <c r="I797" s="8">
        <f>CHOOSE( CONTROL!$C$32, 26.3998, 26.3996) * CHOOSE(CONTROL!$C$15, $D$11, 100%, $F$11)</f>
        <v>26.399799999999999</v>
      </c>
      <c r="J797" s="4">
        <f>CHOOSE( CONTROL!$C$32, 26.2731, 26.2728) * CHOOSE(CONTROL!$C$15, $D$11, 100%, $F$11)</f>
        <v>26.273099999999999</v>
      </c>
      <c r="K797" s="4"/>
      <c r="L797" s="9">
        <v>29.306000000000001</v>
      </c>
      <c r="M797" s="9">
        <v>12.063700000000001</v>
      </c>
      <c r="N797" s="9">
        <v>4.9444999999999997</v>
      </c>
      <c r="O797" s="9">
        <v>0.37409999999999999</v>
      </c>
      <c r="P797" s="9">
        <v>1.2927</v>
      </c>
      <c r="Q797" s="9">
        <v>19.688099999999999</v>
      </c>
      <c r="R797" s="9"/>
      <c r="S797" s="11"/>
    </row>
    <row r="798" spans="1:19" ht="15.75">
      <c r="A798" s="13">
        <v>65439</v>
      </c>
      <c r="B798" s="8">
        <f>CHOOSE( CONTROL!$C$32, 25.3306, 25.3303) * CHOOSE(CONTROL!$C$15, $D$11, 100%, $F$11)</f>
        <v>25.3306</v>
      </c>
      <c r="C798" s="8">
        <f>CHOOSE( CONTROL!$C$32, 25.3357, 25.3354) * CHOOSE(CONTROL!$C$15, $D$11, 100%, $F$11)</f>
        <v>25.335699999999999</v>
      </c>
      <c r="D798" s="8">
        <f>CHOOSE( CONTROL!$C$32, 25.3156, 25.3154) * CHOOSE( CONTROL!$C$15, $D$11, 100%, $F$11)</f>
        <v>25.3156</v>
      </c>
      <c r="E798" s="12">
        <f>CHOOSE( CONTROL!$C$32, 25.3224, 25.3222) * CHOOSE( CONTROL!$C$15, $D$11, 100%, $F$11)</f>
        <v>25.322399999999998</v>
      </c>
      <c r="F798" s="4">
        <f>CHOOSE( CONTROL!$C$32, 25.9959, 25.9956) * CHOOSE(CONTROL!$C$15, $D$11, 100%, $F$11)</f>
        <v>25.995899999999999</v>
      </c>
      <c r="G798" s="8">
        <f>CHOOSE( CONTROL!$C$32, 25.0376, 25.0374) * CHOOSE( CONTROL!$C$15, $D$11, 100%, $F$11)</f>
        <v>25.037600000000001</v>
      </c>
      <c r="H798" s="4">
        <f>CHOOSE( CONTROL!$C$32, 25.9381, 25.9378) * CHOOSE(CONTROL!$C$15, $D$11, 100%, $F$11)</f>
        <v>25.938099999999999</v>
      </c>
      <c r="I798" s="8">
        <f>CHOOSE( CONTROL!$C$32, 24.7009, 24.7006) * CHOOSE(CONTROL!$C$15, $D$11, 100%, $F$11)</f>
        <v>24.700900000000001</v>
      </c>
      <c r="J798" s="4">
        <f>CHOOSE( CONTROL!$C$32, 24.5746, 24.5743) * CHOOSE(CONTROL!$C$15, $D$11, 100%, $F$11)</f>
        <v>24.5746</v>
      </c>
      <c r="K798" s="4"/>
      <c r="L798" s="9">
        <v>26.469899999999999</v>
      </c>
      <c r="M798" s="9">
        <v>10.8962</v>
      </c>
      <c r="N798" s="9">
        <v>4.4660000000000002</v>
      </c>
      <c r="O798" s="9">
        <v>0.33789999999999998</v>
      </c>
      <c r="P798" s="9">
        <v>1.1676</v>
      </c>
      <c r="Q798" s="9">
        <v>17.782800000000002</v>
      </c>
      <c r="R798" s="9"/>
      <c r="S798" s="11"/>
    </row>
    <row r="799" spans="1:19" ht="15.75">
      <c r="A799" s="13">
        <v>65470</v>
      </c>
      <c r="B799" s="8">
        <f>CHOOSE( CONTROL!$C$32, 24.7916, 24.7913) * CHOOSE(CONTROL!$C$15, $D$11, 100%, $F$11)</f>
        <v>24.791599999999999</v>
      </c>
      <c r="C799" s="8">
        <f>CHOOSE( CONTROL!$C$32, 24.7966, 24.7964) * CHOOSE(CONTROL!$C$15, $D$11, 100%, $F$11)</f>
        <v>24.796600000000002</v>
      </c>
      <c r="D799" s="8">
        <f>CHOOSE( CONTROL!$C$32, 24.7667, 24.7664) * CHOOSE( CONTROL!$C$15, $D$11, 100%, $F$11)</f>
        <v>24.7667</v>
      </c>
      <c r="E799" s="12">
        <f>CHOOSE( CONTROL!$C$32, 24.7771, 24.7768) * CHOOSE( CONTROL!$C$15, $D$11, 100%, $F$11)</f>
        <v>24.777100000000001</v>
      </c>
      <c r="F799" s="4">
        <f>CHOOSE( CONTROL!$C$32, 25.4568, 25.4566) * CHOOSE(CONTROL!$C$15, $D$11, 100%, $F$11)</f>
        <v>25.456800000000001</v>
      </c>
      <c r="G799" s="8">
        <f>CHOOSE( CONTROL!$C$32, 24.4917, 24.4914) * CHOOSE( CONTROL!$C$15, $D$11, 100%, $F$11)</f>
        <v>24.491700000000002</v>
      </c>
      <c r="H799" s="4">
        <f>CHOOSE( CONTROL!$C$32, 25.4054, 25.4051) * CHOOSE(CONTROL!$C$15, $D$11, 100%, $F$11)</f>
        <v>25.4054</v>
      </c>
      <c r="I799" s="8">
        <f>CHOOSE( CONTROL!$C$32, 24.1423, 24.142) * CHOOSE(CONTROL!$C$15, $D$11, 100%, $F$11)</f>
        <v>24.142299999999999</v>
      </c>
      <c r="J799" s="4">
        <f>CHOOSE( CONTROL!$C$32, 24.0515, 24.0512) * CHOOSE(CONTROL!$C$15, $D$11, 100%, $F$11)</f>
        <v>24.051500000000001</v>
      </c>
      <c r="K799" s="4"/>
      <c r="L799" s="9">
        <v>29.306000000000001</v>
      </c>
      <c r="M799" s="9">
        <v>12.063700000000001</v>
      </c>
      <c r="N799" s="9">
        <v>4.9444999999999997</v>
      </c>
      <c r="O799" s="9">
        <v>0.37409999999999999</v>
      </c>
      <c r="P799" s="9">
        <v>1.2927</v>
      </c>
      <c r="Q799" s="9">
        <v>19.688099999999999</v>
      </c>
      <c r="R799" s="9"/>
      <c r="S799" s="11"/>
    </row>
    <row r="800" spans="1:19" ht="15.75">
      <c r="A800" s="13">
        <v>65500</v>
      </c>
      <c r="B800" s="8">
        <f>CHOOSE( CONTROL!$C$32, 25.169, 25.1687) * CHOOSE(CONTROL!$C$15, $D$11, 100%, $F$11)</f>
        <v>25.169</v>
      </c>
      <c r="C800" s="8">
        <f>CHOOSE( CONTROL!$C$32, 25.1735, 25.1732) * CHOOSE(CONTROL!$C$15, $D$11, 100%, $F$11)</f>
        <v>25.173500000000001</v>
      </c>
      <c r="D800" s="8">
        <f>CHOOSE( CONTROL!$C$32, 25.173, 25.1727) * CHOOSE( CONTROL!$C$15, $D$11, 100%, $F$11)</f>
        <v>25.172999999999998</v>
      </c>
      <c r="E800" s="12">
        <f>CHOOSE( CONTROL!$C$32, 25.1727, 25.1724) * CHOOSE( CONTROL!$C$15, $D$11, 100%, $F$11)</f>
        <v>25.172699999999999</v>
      </c>
      <c r="F800" s="4">
        <f>CHOOSE( CONTROL!$C$32, 25.8773, 25.877) * CHOOSE(CONTROL!$C$15, $D$11, 100%, $F$11)</f>
        <v>25.877300000000002</v>
      </c>
      <c r="G800" s="8">
        <f>CHOOSE( CONTROL!$C$32, 24.8809, 24.8807) * CHOOSE( CONTROL!$C$15, $D$11, 100%, $F$11)</f>
        <v>24.8809</v>
      </c>
      <c r="H800" s="4">
        <f>CHOOSE( CONTROL!$C$32, 25.8209, 25.8206) * CHOOSE(CONTROL!$C$15, $D$11, 100%, $F$11)</f>
        <v>25.820900000000002</v>
      </c>
      <c r="I800" s="8">
        <f>CHOOSE( CONTROL!$C$32, 24.5086, 24.5083) * CHOOSE(CONTROL!$C$15, $D$11, 100%, $F$11)</f>
        <v>24.508600000000001</v>
      </c>
      <c r="J800" s="4">
        <f>CHOOSE( CONTROL!$C$32, 24.417, 24.4167) * CHOOSE(CONTROL!$C$15, $D$11, 100%, $F$11)</f>
        <v>24.417000000000002</v>
      </c>
      <c r="K800" s="4"/>
      <c r="L800" s="9">
        <v>30.092199999999998</v>
      </c>
      <c r="M800" s="9">
        <v>11.6745</v>
      </c>
      <c r="N800" s="9">
        <v>4.7850000000000001</v>
      </c>
      <c r="O800" s="9">
        <v>0.36199999999999999</v>
      </c>
      <c r="P800" s="9">
        <v>1.2509999999999999</v>
      </c>
      <c r="Q800" s="9">
        <v>19.053000000000001</v>
      </c>
      <c r="R800" s="9"/>
      <c r="S800" s="11"/>
    </row>
    <row r="801" spans="1:19" ht="15.75">
      <c r="A801" s="13">
        <v>65531</v>
      </c>
      <c r="B801" s="8">
        <f>CHOOSE( CONTROL!$C$32, 25.8409, 25.8405) * CHOOSE(CONTROL!$C$15, $D$11, 100%, $F$11)</f>
        <v>25.840900000000001</v>
      </c>
      <c r="C801" s="8">
        <f>CHOOSE( CONTROL!$C$32, 25.8489, 25.8484) * CHOOSE(CONTROL!$C$15, $D$11, 100%, $F$11)</f>
        <v>25.8489</v>
      </c>
      <c r="D801" s="8">
        <f>CHOOSE( CONTROL!$C$32, 25.8432, 25.8427) * CHOOSE( CONTROL!$C$15, $D$11, 100%, $F$11)</f>
        <v>25.8432</v>
      </c>
      <c r="E801" s="12">
        <f>CHOOSE( CONTROL!$C$32, 25.844, 25.8436) * CHOOSE( CONTROL!$C$15, $D$11, 100%, $F$11)</f>
        <v>25.844000000000001</v>
      </c>
      <c r="F801" s="4">
        <f>CHOOSE( CONTROL!$C$32, 26.5479, 26.5474) * CHOOSE(CONTROL!$C$15, $D$11, 100%, $F$11)</f>
        <v>26.547899999999998</v>
      </c>
      <c r="G801" s="8">
        <f>CHOOSE( CONTROL!$C$32, 25.544, 25.5435) * CHOOSE( CONTROL!$C$15, $D$11, 100%, $F$11)</f>
        <v>25.544</v>
      </c>
      <c r="H801" s="4">
        <f>CHOOSE( CONTROL!$C$32, 26.4836, 26.4832) * CHOOSE(CONTROL!$C$15, $D$11, 100%, $F$11)</f>
        <v>26.483599999999999</v>
      </c>
      <c r="I801" s="8">
        <f>CHOOSE( CONTROL!$C$32, 25.1603, 25.1598) * CHOOSE(CONTROL!$C$15, $D$11, 100%, $F$11)</f>
        <v>25.160299999999999</v>
      </c>
      <c r="J801" s="4">
        <f>CHOOSE( CONTROL!$C$32, 25.0678, 25.0673) * CHOOSE(CONTROL!$C$15, $D$11, 100%, $F$11)</f>
        <v>25.067799999999998</v>
      </c>
      <c r="K801" s="4"/>
      <c r="L801" s="9">
        <v>30.7165</v>
      </c>
      <c r="M801" s="9">
        <v>12.063700000000001</v>
      </c>
      <c r="N801" s="9">
        <v>4.9444999999999997</v>
      </c>
      <c r="O801" s="9">
        <v>0.37409999999999999</v>
      </c>
      <c r="P801" s="9">
        <v>1.2927</v>
      </c>
      <c r="Q801" s="9">
        <v>19.688099999999999</v>
      </c>
      <c r="R801" s="9"/>
      <c r="S801" s="11"/>
    </row>
    <row r="802" spans="1:19" ht="15.75">
      <c r="A802" s="13">
        <v>65561</v>
      </c>
      <c r="B802" s="8">
        <f>CHOOSE( CONTROL!$C$32, 25.4256, 25.4252) * CHOOSE(CONTROL!$C$15, $D$11, 100%, $F$11)</f>
        <v>25.425599999999999</v>
      </c>
      <c r="C802" s="8">
        <f>CHOOSE( CONTROL!$C$32, 25.4336, 25.4332) * CHOOSE(CONTROL!$C$15, $D$11, 100%, $F$11)</f>
        <v>25.433599999999998</v>
      </c>
      <c r="D802" s="8">
        <f>CHOOSE( CONTROL!$C$32, 25.4283, 25.4279) * CHOOSE( CONTROL!$C$15, $D$11, 100%, $F$11)</f>
        <v>25.4283</v>
      </c>
      <c r="E802" s="12">
        <f>CHOOSE( CONTROL!$C$32, 25.429, 25.4286) * CHOOSE( CONTROL!$C$15, $D$11, 100%, $F$11)</f>
        <v>25.428999999999998</v>
      </c>
      <c r="F802" s="4">
        <f>CHOOSE( CONTROL!$C$32, 26.1326, 26.1321) * CHOOSE(CONTROL!$C$15, $D$11, 100%, $F$11)</f>
        <v>26.1326</v>
      </c>
      <c r="G802" s="8">
        <f>CHOOSE( CONTROL!$C$32, 25.1339, 25.1335) * CHOOSE( CONTROL!$C$15, $D$11, 100%, $F$11)</f>
        <v>25.133900000000001</v>
      </c>
      <c r="H802" s="4">
        <f>CHOOSE( CONTROL!$C$32, 26.0732, 26.0727) * CHOOSE(CONTROL!$C$15, $D$11, 100%, $F$11)</f>
        <v>26.0732</v>
      </c>
      <c r="I802" s="8">
        <f>CHOOSE( CONTROL!$C$32, 24.7584, 24.758) * CHOOSE(CONTROL!$C$15, $D$11, 100%, $F$11)</f>
        <v>24.758400000000002</v>
      </c>
      <c r="J802" s="4">
        <f>CHOOSE( CONTROL!$C$32, 24.6648, 24.6643) * CHOOSE(CONTROL!$C$15, $D$11, 100%, $F$11)</f>
        <v>24.6648</v>
      </c>
      <c r="K802" s="4"/>
      <c r="L802" s="9">
        <v>29.7257</v>
      </c>
      <c r="M802" s="9">
        <v>11.6745</v>
      </c>
      <c r="N802" s="9">
        <v>4.7850000000000001</v>
      </c>
      <c r="O802" s="9">
        <v>0.36199999999999999</v>
      </c>
      <c r="P802" s="9">
        <v>1.2509999999999999</v>
      </c>
      <c r="Q802" s="9">
        <v>19.053000000000001</v>
      </c>
      <c r="R802" s="9"/>
      <c r="S802" s="11"/>
    </row>
    <row r="803" spans="1:19" ht="15.75">
      <c r="A803" s="13">
        <v>65592</v>
      </c>
      <c r="B803" s="8">
        <f>CHOOSE( CONTROL!$C$32, 26.5192, 26.5188) * CHOOSE(CONTROL!$C$15, $D$11, 100%, $F$11)</f>
        <v>26.519200000000001</v>
      </c>
      <c r="C803" s="8">
        <f>CHOOSE( CONTROL!$C$32, 26.5272, 26.5267) * CHOOSE(CONTROL!$C$15, $D$11, 100%, $F$11)</f>
        <v>26.527200000000001</v>
      </c>
      <c r="D803" s="8">
        <f>CHOOSE( CONTROL!$C$32, 26.5223, 26.5219) * CHOOSE( CONTROL!$C$15, $D$11, 100%, $F$11)</f>
        <v>26.522300000000001</v>
      </c>
      <c r="E803" s="12">
        <f>CHOOSE( CONTROL!$C$32, 26.5229, 26.5224) * CHOOSE( CONTROL!$C$15, $D$11, 100%, $F$11)</f>
        <v>26.5229</v>
      </c>
      <c r="F803" s="4">
        <f>CHOOSE( CONTROL!$C$32, 27.2262, 27.2257) * CHOOSE(CONTROL!$C$15, $D$11, 100%, $F$11)</f>
        <v>27.226199999999999</v>
      </c>
      <c r="G803" s="8">
        <f>CHOOSE( CONTROL!$C$32, 26.215, 26.2146) * CHOOSE( CONTROL!$C$15, $D$11, 100%, $F$11)</f>
        <v>26.215</v>
      </c>
      <c r="H803" s="4">
        <f>CHOOSE( CONTROL!$C$32, 27.154, 27.1535) * CHOOSE(CONTROL!$C$15, $D$11, 100%, $F$11)</f>
        <v>27.154</v>
      </c>
      <c r="I803" s="8">
        <f>CHOOSE( CONTROL!$C$32, 25.8218, 25.8214) * CHOOSE(CONTROL!$C$15, $D$11, 100%, $F$11)</f>
        <v>25.8218</v>
      </c>
      <c r="J803" s="4">
        <f>CHOOSE( CONTROL!$C$32, 25.7261, 25.7256) * CHOOSE(CONTROL!$C$15, $D$11, 100%, $F$11)</f>
        <v>25.726099999999999</v>
      </c>
      <c r="K803" s="4"/>
      <c r="L803" s="9">
        <v>30.7165</v>
      </c>
      <c r="M803" s="9">
        <v>12.063700000000001</v>
      </c>
      <c r="N803" s="9">
        <v>4.9444999999999997</v>
      </c>
      <c r="O803" s="9">
        <v>0.37409999999999999</v>
      </c>
      <c r="P803" s="9">
        <v>1.2927</v>
      </c>
      <c r="Q803" s="9">
        <v>19.688099999999999</v>
      </c>
      <c r="R803" s="9"/>
      <c r="S803" s="11"/>
    </row>
    <row r="804" spans="1:19" ht="15.75">
      <c r="A804" s="13">
        <v>65623</v>
      </c>
      <c r="B804" s="8">
        <f>CHOOSE( CONTROL!$C$32, 24.473, 24.4726) * CHOOSE(CONTROL!$C$15, $D$11, 100%, $F$11)</f>
        <v>24.472999999999999</v>
      </c>
      <c r="C804" s="8">
        <f>CHOOSE( CONTROL!$C$32, 24.481, 24.4805) * CHOOSE(CONTROL!$C$15, $D$11, 100%, $F$11)</f>
        <v>24.481000000000002</v>
      </c>
      <c r="D804" s="8">
        <f>CHOOSE( CONTROL!$C$32, 24.4763, 24.4758) * CHOOSE( CONTROL!$C$15, $D$11, 100%, $F$11)</f>
        <v>24.476299999999998</v>
      </c>
      <c r="E804" s="12">
        <f>CHOOSE( CONTROL!$C$32, 24.4768, 24.4763) * CHOOSE( CONTROL!$C$15, $D$11, 100%, $F$11)</f>
        <v>24.476800000000001</v>
      </c>
      <c r="F804" s="4">
        <f>CHOOSE( CONTROL!$C$32, 25.18, 25.1795) * CHOOSE(CONTROL!$C$15, $D$11, 100%, $F$11)</f>
        <v>25.18</v>
      </c>
      <c r="G804" s="8">
        <f>CHOOSE( CONTROL!$C$32, 24.1929, 24.1925) * CHOOSE( CONTROL!$C$15, $D$11, 100%, $F$11)</f>
        <v>24.192900000000002</v>
      </c>
      <c r="H804" s="4">
        <f>CHOOSE( CONTROL!$C$32, 25.1317, 25.1313) * CHOOSE(CONTROL!$C$15, $D$11, 100%, $F$11)</f>
        <v>25.131699999999999</v>
      </c>
      <c r="I804" s="8">
        <f>CHOOSE( CONTROL!$C$32, 23.8355, 23.835) * CHOOSE(CONTROL!$C$15, $D$11, 100%, $F$11)</f>
        <v>23.8355</v>
      </c>
      <c r="J804" s="4">
        <f>CHOOSE( CONTROL!$C$32, 23.7402, 23.7398) * CHOOSE(CONTROL!$C$15, $D$11, 100%, $F$11)</f>
        <v>23.740200000000002</v>
      </c>
      <c r="K804" s="4"/>
      <c r="L804" s="9">
        <v>30.7165</v>
      </c>
      <c r="M804" s="9">
        <v>12.063700000000001</v>
      </c>
      <c r="N804" s="9">
        <v>4.9444999999999997</v>
      </c>
      <c r="O804" s="9">
        <v>0.37409999999999999</v>
      </c>
      <c r="P804" s="9">
        <v>1.2927</v>
      </c>
      <c r="Q804" s="9">
        <v>19.688099999999999</v>
      </c>
      <c r="R804" s="9"/>
      <c r="S804" s="11"/>
    </row>
    <row r="805" spans="1:19" ht="15.75">
      <c r="A805" s="13">
        <v>65653</v>
      </c>
      <c r="B805" s="8">
        <f>CHOOSE( CONTROL!$C$32, 23.9606, 23.9602) * CHOOSE(CONTROL!$C$15, $D$11, 100%, $F$11)</f>
        <v>23.960599999999999</v>
      </c>
      <c r="C805" s="8">
        <f>CHOOSE( CONTROL!$C$32, 23.9686, 23.9681) * CHOOSE(CONTROL!$C$15, $D$11, 100%, $F$11)</f>
        <v>23.968599999999999</v>
      </c>
      <c r="D805" s="8">
        <f>CHOOSE( CONTROL!$C$32, 23.9637, 23.9633) * CHOOSE( CONTROL!$C$15, $D$11, 100%, $F$11)</f>
        <v>23.963699999999999</v>
      </c>
      <c r="E805" s="12">
        <f>CHOOSE( CONTROL!$C$32, 23.9643, 23.9638) * CHOOSE( CONTROL!$C$15, $D$11, 100%, $F$11)</f>
        <v>23.964300000000001</v>
      </c>
      <c r="F805" s="4">
        <f>CHOOSE( CONTROL!$C$32, 24.6676, 24.6671) * CHOOSE(CONTROL!$C$15, $D$11, 100%, $F$11)</f>
        <v>24.6676</v>
      </c>
      <c r="G805" s="8">
        <f>CHOOSE( CONTROL!$C$32, 23.6864, 23.6859) * CHOOSE( CONTROL!$C$15, $D$11, 100%, $F$11)</f>
        <v>23.686399999999999</v>
      </c>
      <c r="H805" s="4">
        <f>CHOOSE( CONTROL!$C$32, 24.6253, 24.6249) * CHOOSE(CONTROL!$C$15, $D$11, 100%, $F$11)</f>
        <v>24.625299999999999</v>
      </c>
      <c r="I805" s="8">
        <f>CHOOSE( CONTROL!$C$32, 23.3374, 23.337) * CHOOSE(CONTROL!$C$15, $D$11, 100%, $F$11)</f>
        <v>23.337399999999999</v>
      </c>
      <c r="J805" s="4">
        <f>CHOOSE( CONTROL!$C$32, 23.243, 23.2425) * CHOOSE(CONTROL!$C$15, $D$11, 100%, $F$11)</f>
        <v>23.242999999999999</v>
      </c>
      <c r="K805" s="4"/>
      <c r="L805" s="9">
        <v>29.7257</v>
      </c>
      <c r="M805" s="9">
        <v>11.6745</v>
      </c>
      <c r="N805" s="9">
        <v>4.7850000000000001</v>
      </c>
      <c r="O805" s="9">
        <v>0.36199999999999999</v>
      </c>
      <c r="P805" s="9">
        <v>1.2509999999999999</v>
      </c>
      <c r="Q805" s="9">
        <v>19.053000000000001</v>
      </c>
      <c r="R805" s="9"/>
      <c r="S805" s="11"/>
    </row>
    <row r="806" spans="1:19" ht="15.75">
      <c r="A806" s="13">
        <v>65684</v>
      </c>
      <c r="B806" s="8">
        <f>CHOOSE( CONTROL!$C$32, 25.0226, 25.0223) * CHOOSE(CONTROL!$C$15, $D$11, 100%, $F$11)</f>
        <v>25.022600000000001</v>
      </c>
      <c r="C806" s="8">
        <f>CHOOSE( CONTROL!$C$32, 25.028, 25.0277) * CHOOSE(CONTROL!$C$15, $D$11, 100%, $F$11)</f>
        <v>25.027999999999999</v>
      </c>
      <c r="D806" s="8">
        <f>CHOOSE( CONTROL!$C$32, 25.0282, 25.0279) * CHOOSE( CONTROL!$C$15, $D$11, 100%, $F$11)</f>
        <v>25.028199999999998</v>
      </c>
      <c r="E806" s="12">
        <f>CHOOSE( CONTROL!$C$32, 25.0276, 25.0273) * CHOOSE( CONTROL!$C$15, $D$11, 100%, $F$11)</f>
        <v>25.0276</v>
      </c>
      <c r="F806" s="4">
        <f>CHOOSE( CONTROL!$C$32, 25.7313, 25.731) * CHOOSE(CONTROL!$C$15, $D$11, 100%, $F$11)</f>
        <v>25.731300000000001</v>
      </c>
      <c r="G806" s="8">
        <f>CHOOSE( CONTROL!$C$32, 24.7376, 24.7373) * CHOOSE( CONTROL!$C$15, $D$11, 100%, $F$11)</f>
        <v>24.7376</v>
      </c>
      <c r="H806" s="4">
        <f>CHOOSE( CONTROL!$C$32, 25.6766, 25.6763) * CHOOSE(CONTROL!$C$15, $D$11, 100%, $F$11)</f>
        <v>25.676600000000001</v>
      </c>
      <c r="I806" s="8">
        <f>CHOOSE( CONTROL!$C$32, 24.371, 24.3707) * CHOOSE(CONTROL!$C$15, $D$11, 100%, $F$11)</f>
        <v>24.370999999999999</v>
      </c>
      <c r="J806" s="4">
        <f>CHOOSE( CONTROL!$C$32, 24.2753, 24.275) * CHOOSE(CONTROL!$C$15, $D$11, 100%, $F$11)</f>
        <v>24.275300000000001</v>
      </c>
      <c r="K806" s="4"/>
      <c r="L806" s="9">
        <v>31.095300000000002</v>
      </c>
      <c r="M806" s="9">
        <v>12.063700000000001</v>
      </c>
      <c r="N806" s="9">
        <v>4.9444999999999997</v>
      </c>
      <c r="O806" s="9">
        <v>0.37409999999999999</v>
      </c>
      <c r="P806" s="9">
        <v>1.2927</v>
      </c>
      <c r="Q806" s="9">
        <v>19.688099999999999</v>
      </c>
      <c r="R806" s="9"/>
      <c r="S806" s="11"/>
    </row>
    <row r="807" spans="1:19" ht="15.75">
      <c r="A807" s="13">
        <v>65714</v>
      </c>
      <c r="B807" s="8">
        <f>CHOOSE( CONTROL!$C$32, 26.986, 26.9857) * CHOOSE(CONTROL!$C$15, $D$11, 100%, $F$11)</f>
        <v>26.986000000000001</v>
      </c>
      <c r="C807" s="8">
        <f>CHOOSE( CONTROL!$C$32, 26.991, 26.9908) * CHOOSE(CONTROL!$C$15, $D$11, 100%, $F$11)</f>
        <v>26.991</v>
      </c>
      <c r="D807" s="8">
        <f>CHOOSE( CONTROL!$C$32, 26.9589, 26.9586) * CHOOSE( CONTROL!$C$15, $D$11, 100%, $F$11)</f>
        <v>26.9589</v>
      </c>
      <c r="E807" s="12">
        <f>CHOOSE( CONTROL!$C$32, 26.9701, 26.9698) * CHOOSE( CONTROL!$C$15, $D$11, 100%, $F$11)</f>
        <v>26.970099999999999</v>
      </c>
      <c r="F807" s="4">
        <f>CHOOSE( CONTROL!$C$32, 27.6512, 27.651) * CHOOSE(CONTROL!$C$15, $D$11, 100%, $F$11)</f>
        <v>27.651199999999999</v>
      </c>
      <c r="G807" s="8">
        <f>CHOOSE( CONTROL!$C$32, 26.6673, 26.667) * CHOOSE( CONTROL!$C$15, $D$11, 100%, $F$11)</f>
        <v>26.667300000000001</v>
      </c>
      <c r="H807" s="4">
        <f>CHOOSE( CONTROL!$C$32, 27.5741, 27.5738) * CHOOSE(CONTROL!$C$15, $D$11, 100%, $F$11)</f>
        <v>27.574100000000001</v>
      </c>
      <c r="I807" s="8">
        <f>CHOOSE( CONTROL!$C$32, 26.3286, 26.3283) * CHOOSE(CONTROL!$C$15, $D$11, 100%, $F$11)</f>
        <v>26.328600000000002</v>
      </c>
      <c r="J807" s="4">
        <f>CHOOSE( CONTROL!$C$32, 26.1811, 26.1809) * CHOOSE(CONTROL!$C$15, $D$11, 100%, $F$11)</f>
        <v>26.181100000000001</v>
      </c>
      <c r="K807" s="4"/>
      <c r="L807" s="9">
        <v>28.360600000000002</v>
      </c>
      <c r="M807" s="9">
        <v>11.6745</v>
      </c>
      <c r="N807" s="9">
        <v>4.7850000000000001</v>
      </c>
      <c r="O807" s="9">
        <v>0.36199999999999999</v>
      </c>
      <c r="P807" s="9">
        <v>1.2509999999999999</v>
      </c>
      <c r="Q807" s="9">
        <v>19.053000000000001</v>
      </c>
      <c r="R807" s="9"/>
      <c r="S807" s="11"/>
    </row>
    <row r="808" spans="1:19" ht="15.75">
      <c r="A808" s="13">
        <v>65745</v>
      </c>
      <c r="B808" s="8">
        <f>CHOOSE( CONTROL!$C$32, 26.9369, 26.9366) * CHOOSE(CONTROL!$C$15, $D$11, 100%, $F$11)</f>
        <v>26.936900000000001</v>
      </c>
      <c r="C808" s="8">
        <f>CHOOSE( CONTROL!$C$32, 26.942, 26.9417) * CHOOSE(CONTROL!$C$15, $D$11, 100%, $F$11)</f>
        <v>26.942</v>
      </c>
      <c r="D808" s="8">
        <f>CHOOSE( CONTROL!$C$32, 26.9117, 26.9114) * CHOOSE( CONTROL!$C$15, $D$11, 100%, $F$11)</f>
        <v>26.9117</v>
      </c>
      <c r="E808" s="12">
        <f>CHOOSE( CONTROL!$C$32, 26.9222, 26.9219) * CHOOSE( CONTROL!$C$15, $D$11, 100%, $F$11)</f>
        <v>26.9222</v>
      </c>
      <c r="F808" s="4">
        <f>CHOOSE( CONTROL!$C$32, 27.6022, 27.6019) * CHOOSE(CONTROL!$C$15, $D$11, 100%, $F$11)</f>
        <v>27.6022</v>
      </c>
      <c r="G808" s="8">
        <f>CHOOSE( CONTROL!$C$32, 26.6201, 26.6199) * CHOOSE( CONTROL!$C$15, $D$11, 100%, $F$11)</f>
        <v>26.620100000000001</v>
      </c>
      <c r="H808" s="4">
        <f>CHOOSE( CONTROL!$C$32, 27.5256, 27.5253) * CHOOSE(CONTROL!$C$15, $D$11, 100%, $F$11)</f>
        <v>27.525600000000001</v>
      </c>
      <c r="I808" s="8">
        <f>CHOOSE( CONTROL!$C$32, 26.2867, 26.2864) * CHOOSE(CONTROL!$C$15, $D$11, 100%, $F$11)</f>
        <v>26.2867</v>
      </c>
      <c r="J808" s="4">
        <f>CHOOSE( CONTROL!$C$32, 26.1335, 26.1332) * CHOOSE(CONTROL!$C$15, $D$11, 100%, $F$11)</f>
        <v>26.133500000000002</v>
      </c>
      <c r="K808" s="4"/>
      <c r="L808" s="9">
        <v>29.306000000000001</v>
      </c>
      <c r="M808" s="9">
        <v>12.063700000000001</v>
      </c>
      <c r="N808" s="9">
        <v>4.9444999999999997</v>
      </c>
      <c r="O808" s="9">
        <v>0.37409999999999999</v>
      </c>
      <c r="P808" s="9">
        <v>1.2927</v>
      </c>
      <c r="Q808" s="9">
        <v>19.688099999999999</v>
      </c>
      <c r="R808" s="9"/>
      <c r="S808" s="11"/>
    </row>
    <row r="809" spans="1:19" ht="15.75">
      <c r="A809" s="13">
        <v>65776</v>
      </c>
      <c r="B809" s="8">
        <f>CHOOSE( CONTROL!$C$32, 27.7312, 27.7309) * CHOOSE(CONTROL!$C$15, $D$11, 100%, $F$11)</f>
        <v>27.731200000000001</v>
      </c>
      <c r="C809" s="8">
        <f>CHOOSE( CONTROL!$C$32, 27.7362, 27.736) * CHOOSE(CONTROL!$C$15, $D$11, 100%, $F$11)</f>
        <v>27.7362</v>
      </c>
      <c r="D809" s="8">
        <f>CHOOSE( CONTROL!$C$32, 27.7339, 27.7336) * CHOOSE( CONTROL!$C$15, $D$11, 100%, $F$11)</f>
        <v>27.733899999999998</v>
      </c>
      <c r="E809" s="12">
        <f>CHOOSE( CONTROL!$C$32, 27.7342, 27.7339) * CHOOSE( CONTROL!$C$15, $D$11, 100%, $F$11)</f>
        <v>27.734200000000001</v>
      </c>
      <c r="F809" s="4">
        <f>CHOOSE( CONTROL!$C$32, 28.3965, 28.3962) * CHOOSE(CONTROL!$C$15, $D$11, 100%, $F$11)</f>
        <v>28.3965</v>
      </c>
      <c r="G809" s="8">
        <f>CHOOSE( CONTROL!$C$32, 27.4212, 27.421) * CHOOSE( CONTROL!$C$15, $D$11, 100%, $F$11)</f>
        <v>27.421199999999999</v>
      </c>
      <c r="H809" s="4">
        <f>CHOOSE( CONTROL!$C$32, 28.3106, 28.3103) * CHOOSE(CONTROL!$C$15, $D$11, 100%, $F$11)</f>
        <v>28.310600000000001</v>
      </c>
      <c r="I809" s="8">
        <f>CHOOSE( CONTROL!$C$32, 27.0314, 27.0311) * CHOOSE(CONTROL!$C$15, $D$11, 100%, $F$11)</f>
        <v>27.031400000000001</v>
      </c>
      <c r="J809" s="4">
        <f>CHOOSE( CONTROL!$C$32, 26.9044, 26.9041) * CHOOSE(CONTROL!$C$15, $D$11, 100%, $F$11)</f>
        <v>26.904399999999999</v>
      </c>
      <c r="K809" s="4"/>
      <c r="L809" s="9">
        <v>29.306000000000001</v>
      </c>
      <c r="M809" s="9">
        <v>12.063700000000001</v>
      </c>
      <c r="N809" s="9">
        <v>4.9444999999999997</v>
      </c>
      <c r="O809" s="9">
        <v>0.37409999999999999</v>
      </c>
      <c r="P809" s="9">
        <v>1.2927</v>
      </c>
      <c r="Q809" s="9">
        <v>19.688099999999999</v>
      </c>
      <c r="R809" s="9"/>
      <c r="S809" s="11"/>
    </row>
    <row r="810" spans="1:19" ht="15.75">
      <c r="A810" s="13">
        <v>65805</v>
      </c>
      <c r="B810" s="8">
        <f>CHOOSE( CONTROL!$C$32, 25.939, 25.9387) * CHOOSE(CONTROL!$C$15, $D$11, 100%, $F$11)</f>
        <v>25.939</v>
      </c>
      <c r="C810" s="8">
        <f>CHOOSE( CONTROL!$C$32, 25.9441, 25.9438) * CHOOSE(CONTROL!$C$15, $D$11, 100%, $F$11)</f>
        <v>25.944099999999999</v>
      </c>
      <c r="D810" s="8">
        <f>CHOOSE( CONTROL!$C$32, 25.924, 25.9238) * CHOOSE( CONTROL!$C$15, $D$11, 100%, $F$11)</f>
        <v>25.923999999999999</v>
      </c>
      <c r="E810" s="12">
        <f>CHOOSE( CONTROL!$C$32, 25.9308, 25.9306) * CHOOSE( CONTROL!$C$15, $D$11, 100%, $F$11)</f>
        <v>25.930800000000001</v>
      </c>
      <c r="F810" s="4">
        <f>CHOOSE( CONTROL!$C$32, 26.6043, 26.604) * CHOOSE(CONTROL!$C$15, $D$11, 100%, $F$11)</f>
        <v>26.604299999999999</v>
      </c>
      <c r="G810" s="8">
        <f>CHOOSE( CONTROL!$C$32, 25.6389, 25.6387) * CHOOSE( CONTROL!$C$15, $D$11, 100%, $F$11)</f>
        <v>25.6389</v>
      </c>
      <c r="H810" s="4">
        <f>CHOOSE( CONTROL!$C$32, 26.5394, 26.5391) * CHOOSE(CONTROL!$C$15, $D$11, 100%, $F$11)</f>
        <v>26.539400000000001</v>
      </c>
      <c r="I810" s="8">
        <f>CHOOSE( CONTROL!$C$32, 25.2917, 25.2914) * CHOOSE(CONTROL!$C$15, $D$11, 100%, $F$11)</f>
        <v>25.291699999999999</v>
      </c>
      <c r="J810" s="4">
        <f>CHOOSE( CONTROL!$C$32, 25.165, 25.1648) * CHOOSE(CONTROL!$C$15, $D$11, 100%, $F$11)</f>
        <v>25.164999999999999</v>
      </c>
      <c r="K810" s="4"/>
      <c r="L810" s="9">
        <v>27.415299999999998</v>
      </c>
      <c r="M810" s="9">
        <v>11.285299999999999</v>
      </c>
      <c r="N810" s="9">
        <v>4.6254999999999997</v>
      </c>
      <c r="O810" s="9">
        <v>0.34989999999999999</v>
      </c>
      <c r="P810" s="9">
        <v>1.2093</v>
      </c>
      <c r="Q810" s="9">
        <v>18.417899999999999</v>
      </c>
      <c r="R810" s="9"/>
      <c r="S810" s="11"/>
    </row>
    <row r="811" spans="1:19" ht="15.75">
      <c r="A811" s="13">
        <v>65836</v>
      </c>
      <c r="B811" s="8">
        <f>CHOOSE( CONTROL!$C$32, 25.387, 25.3867) * CHOOSE(CONTROL!$C$15, $D$11, 100%, $F$11)</f>
        <v>25.387</v>
      </c>
      <c r="C811" s="8">
        <f>CHOOSE( CONTROL!$C$32, 25.3921, 25.3918) * CHOOSE(CONTROL!$C$15, $D$11, 100%, $F$11)</f>
        <v>25.392099999999999</v>
      </c>
      <c r="D811" s="8">
        <f>CHOOSE( CONTROL!$C$32, 25.3621, 25.3618) * CHOOSE( CONTROL!$C$15, $D$11, 100%, $F$11)</f>
        <v>25.362100000000002</v>
      </c>
      <c r="E811" s="12">
        <f>CHOOSE( CONTROL!$C$32, 25.3725, 25.3722) * CHOOSE( CONTROL!$C$15, $D$11, 100%, $F$11)</f>
        <v>25.372499999999999</v>
      </c>
      <c r="F811" s="4">
        <f>CHOOSE( CONTROL!$C$32, 26.0523, 26.052) * CHOOSE(CONTROL!$C$15, $D$11, 100%, $F$11)</f>
        <v>26.052299999999999</v>
      </c>
      <c r="G811" s="8">
        <f>CHOOSE( CONTROL!$C$32, 25.0802, 25.0799) * CHOOSE( CONTROL!$C$15, $D$11, 100%, $F$11)</f>
        <v>25.080200000000001</v>
      </c>
      <c r="H811" s="4">
        <f>CHOOSE( CONTROL!$C$32, 25.9938, 25.9936) * CHOOSE(CONTROL!$C$15, $D$11, 100%, $F$11)</f>
        <v>25.9938</v>
      </c>
      <c r="I811" s="8">
        <f>CHOOSE( CONTROL!$C$32, 24.7205, 24.7202) * CHOOSE(CONTROL!$C$15, $D$11, 100%, $F$11)</f>
        <v>24.720500000000001</v>
      </c>
      <c r="J811" s="4">
        <f>CHOOSE( CONTROL!$C$32, 24.6293, 24.6291) * CHOOSE(CONTROL!$C$15, $D$11, 100%, $F$11)</f>
        <v>24.629300000000001</v>
      </c>
      <c r="K811" s="4"/>
      <c r="L811" s="9">
        <v>29.306000000000001</v>
      </c>
      <c r="M811" s="9">
        <v>12.063700000000001</v>
      </c>
      <c r="N811" s="9">
        <v>4.9444999999999997</v>
      </c>
      <c r="O811" s="9">
        <v>0.37409999999999999</v>
      </c>
      <c r="P811" s="9">
        <v>1.2927</v>
      </c>
      <c r="Q811" s="9">
        <v>19.688099999999999</v>
      </c>
      <c r="R811" s="9"/>
      <c r="S811" s="11"/>
    </row>
    <row r="812" spans="1:19" ht="15.75">
      <c r="A812" s="13">
        <v>65866</v>
      </c>
      <c r="B812" s="8">
        <f>CHOOSE( CONTROL!$C$32, 25.7735, 25.7732) * CHOOSE(CONTROL!$C$15, $D$11, 100%, $F$11)</f>
        <v>25.773499999999999</v>
      </c>
      <c r="C812" s="8">
        <f>CHOOSE( CONTROL!$C$32, 25.778, 25.7777) * CHOOSE(CONTROL!$C$15, $D$11, 100%, $F$11)</f>
        <v>25.777999999999999</v>
      </c>
      <c r="D812" s="8">
        <f>CHOOSE( CONTROL!$C$32, 25.7775, 25.7772) * CHOOSE( CONTROL!$C$15, $D$11, 100%, $F$11)</f>
        <v>25.7775</v>
      </c>
      <c r="E812" s="12">
        <f>CHOOSE( CONTROL!$C$32, 25.7772, 25.7769) * CHOOSE( CONTROL!$C$15, $D$11, 100%, $F$11)</f>
        <v>25.777200000000001</v>
      </c>
      <c r="F812" s="4">
        <f>CHOOSE( CONTROL!$C$32, 26.4818, 26.4815) * CHOOSE(CONTROL!$C$15, $D$11, 100%, $F$11)</f>
        <v>26.4818</v>
      </c>
      <c r="G812" s="8">
        <f>CHOOSE( CONTROL!$C$32, 25.4784, 25.4781) * CHOOSE( CONTROL!$C$15, $D$11, 100%, $F$11)</f>
        <v>25.478400000000001</v>
      </c>
      <c r="H812" s="4">
        <f>CHOOSE( CONTROL!$C$32, 26.4183, 26.4181) * CHOOSE(CONTROL!$C$15, $D$11, 100%, $F$11)</f>
        <v>26.418299999999999</v>
      </c>
      <c r="I812" s="8">
        <f>CHOOSE( CONTROL!$C$32, 25.0955, 25.0953) * CHOOSE(CONTROL!$C$15, $D$11, 100%, $F$11)</f>
        <v>25.095500000000001</v>
      </c>
      <c r="J812" s="4">
        <f>CHOOSE( CONTROL!$C$32, 25.0037, 25.0034) * CHOOSE(CONTROL!$C$15, $D$11, 100%, $F$11)</f>
        <v>25.003699999999998</v>
      </c>
      <c r="K812" s="4"/>
      <c r="L812" s="9">
        <v>30.092199999999998</v>
      </c>
      <c r="M812" s="9">
        <v>11.6745</v>
      </c>
      <c r="N812" s="9">
        <v>4.7850000000000001</v>
      </c>
      <c r="O812" s="9">
        <v>0.36199999999999999</v>
      </c>
      <c r="P812" s="9">
        <v>1.2509999999999999</v>
      </c>
      <c r="Q812" s="9">
        <v>19.053000000000001</v>
      </c>
      <c r="R812" s="9"/>
      <c r="S812" s="11"/>
    </row>
    <row r="813" spans="1:19" ht="15.75">
      <c r="A813" s="13">
        <v>65897</v>
      </c>
      <c r="B813" s="8">
        <f>CHOOSE( CONTROL!$C$32, 26.4615, 26.4611) * CHOOSE(CONTROL!$C$15, $D$11, 100%, $F$11)</f>
        <v>26.461500000000001</v>
      </c>
      <c r="C813" s="8">
        <f>CHOOSE( CONTROL!$C$32, 26.4695, 26.469) * CHOOSE(CONTROL!$C$15, $D$11, 100%, $F$11)</f>
        <v>26.4695</v>
      </c>
      <c r="D813" s="8">
        <f>CHOOSE( CONTROL!$C$32, 26.4638, 26.4633) * CHOOSE( CONTROL!$C$15, $D$11, 100%, $F$11)</f>
        <v>26.463799999999999</v>
      </c>
      <c r="E813" s="12">
        <f>CHOOSE( CONTROL!$C$32, 26.4646, 26.4642) * CHOOSE( CONTROL!$C$15, $D$11, 100%, $F$11)</f>
        <v>26.464600000000001</v>
      </c>
      <c r="F813" s="4">
        <f>CHOOSE( CONTROL!$C$32, 27.1685, 27.168) * CHOOSE(CONTROL!$C$15, $D$11, 100%, $F$11)</f>
        <v>27.168500000000002</v>
      </c>
      <c r="G813" s="8">
        <f>CHOOSE( CONTROL!$C$32, 26.1573, 26.1569) * CHOOSE( CONTROL!$C$15, $D$11, 100%, $F$11)</f>
        <v>26.157299999999999</v>
      </c>
      <c r="H813" s="4">
        <f>CHOOSE( CONTROL!$C$32, 27.0969, 27.0965) * CHOOSE(CONTROL!$C$15, $D$11, 100%, $F$11)</f>
        <v>27.096900000000002</v>
      </c>
      <c r="I813" s="8">
        <f>CHOOSE( CONTROL!$C$32, 25.7629, 25.7624) * CHOOSE(CONTROL!$C$15, $D$11, 100%, $F$11)</f>
        <v>25.762899999999998</v>
      </c>
      <c r="J813" s="4">
        <f>CHOOSE( CONTROL!$C$32, 25.6701, 25.6696) * CHOOSE(CONTROL!$C$15, $D$11, 100%, $F$11)</f>
        <v>25.670100000000001</v>
      </c>
      <c r="K813" s="4"/>
      <c r="L813" s="9">
        <v>30.7165</v>
      </c>
      <c r="M813" s="9">
        <v>12.063700000000001</v>
      </c>
      <c r="N813" s="9">
        <v>4.9444999999999997</v>
      </c>
      <c r="O813" s="9">
        <v>0.37409999999999999</v>
      </c>
      <c r="P813" s="9">
        <v>1.2927</v>
      </c>
      <c r="Q813" s="9">
        <v>19.688099999999999</v>
      </c>
      <c r="R813" s="9"/>
      <c r="S813" s="11"/>
    </row>
    <row r="814" spans="1:19" ht="15.75">
      <c r="A814" s="13">
        <v>65927</v>
      </c>
      <c r="B814" s="8">
        <f>CHOOSE( CONTROL!$C$32, 26.0363, 26.0358) * CHOOSE(CONTROL!$C$15, $D$11, 100%, $F$11)</f>
        <v>26.036300000000001</v>
      </c>
      <c r="C814" s="8">
        <f>CHOOSE( CONTROL!$C$32, 26.0442, 26.0438) * CHOOSE(CONTROL!$C$15, $D$11, 100%, $F$11)</f>
        <v>26.0442</v>
      </c>
      <c r="D814" s="8">
        <f>CHOOSE( CONTROL!$C$32, 26.039, 26.0385) * CHOOSE( CONTROL!$C$15, $D$11, 100%, $F$11)</f>
        <v>26.039000000000001</v>
      </c>
      <c r="E814" s="12">
        <f>CHOOSE( CONTROL!$C$32, 26.0397, 26.0392) * CHOOSE( CONTROL!$C$15, $D$11, 100%, $F$11)</f>
        <v>26.0397</v>
      </c>
      <c r="F814" s="4">
        <f>CHOOSE( CONTROL!$C$32, 26.7432, 26.7428) * CHOOSE(CONTROL!$C$15, $D$11, 100%, $F$11)</f>
        <v>26.743200000000002</v>
      </c>
      <c r="G814" s="8">
        <f>CHOOSE( CONTROL!$C$32, 25.7374, 25.7369) * CHOOSE( CONTROL!$C$15, $D$11, 100%, $F$11)</f>
        <v>25.737400000000001</v>
      </c>
      <c r="H814" s="4">
        <f>CHOOSE( CONTROL!$C$32, 26.6767, 26.6762) * CHOOSE(CONTROL!$C$15, $D$11, 100%, $F$11)</f>
        <v>26.6767</v>
      </c>
      <c r="I814" s="8">
        <f>CHOOSE( CONTROL!$C$32, 25.3514, 25.3509) * CHOOSE(CONTROL!$C$15, $D$11, 100%, $F$11)</f>
        <v>25.351400000000002</v>
      </c>
      <c r="J814" s="4">
        <f>CHOOSE( CONTROL!$C$32, 25.2574, 25.2569) * CHOOSE(CONTROL!$C$15, $D$11, 100%, $F$11)</f>
        <v>25.257400000000001</v>
      </c>
      <c r="K814" s="4"/>
      <c r="L814" s="9">
        <v>29.7257</v>
      </c>
      <c r="M814" s="9">
        <v>11.6745</v>
      </c>
      <c r="N814" s="9">
        <v>4.7850000000000001</v>
      </c>
      <c r="O814" s="9">
        <v>0.36199999999999999</v>
      </c>
      <c r="P814" s="9">
        <v>1.2509999999999999</v>
      </c>
      <c r="Q814" s="9">
        <v>19.053000000000001</v>
      </c>
      <c r="R814" s="9"/>
      <c r="S814" s="11"/>
    </row>
    <row r="815" spans="1:19" ht="15.75">
      <c r="A815" s="13">
        <v>65958</v>
      </c>
      <c r="B815" s="8">
        <f>CHOOSE( CONTROL!$C$32, 27.1561, 27.1557) * CHOOSE(CONTROL!$C$15, $D$11, 100%, $F$11)</f>
        <v>27.156099999999999</v>
      </c>
      <c r="C815" s="8">
        <f>CHOOSE( CONTROL!$C$32, 27.1641, 27.1636) * CHOOSE(CONTROL!$C$15, $D$11, 100%, $F$11)</f>
        <v>27.164100000000001</v>
      </c>
      <c r="D815" s="8">
        <f>CHOOSE( CONTROL!$C$32, 27.1593, 27.1588) * CHOOSE( CONTROL!$C$15, $D$11, 100%, $F$11)</f>
        <v>27.159300000000002</v>
      </c>
      <c r="E815" s="12">
        <f>CHOOSE( CONTROL!$C$32, 27.1598, 27.1593) * CHOOSE( CONTROL!$C$15, $D$11, 100%, $F$11)</f>
        <v>27.159800000000001</v>
      </c>
      <c r="F815" s="4">
        <f>CHOOSE( CONTROL!$C$32, 27.8631, 27.8626) * CHOOSE(CONTROL!$C$15, $D$11, 100%, $F$11)</f>
        <v>27.863099999999999</v>
      </c>
      <c r="G815" s="8">
        <f>CHOOSE( CONTROL!$C$32, 26.8445, 26.844) * CHOOSE( CONTROL!$C$15, $D$11, 100%, $F$11)</f>
        <v>26.8445</v>
      </c>
      <c r="H815" s="4">
        <f>CHOOSE( CONTROL!$C$32, 27.7834, 27.783) * CHOOSE(CONTROL!$C$15, $D$11, 100%, $F$11)</f>
        <v>27.7834</v>
      </c>
      <c r="I815" s="8">
        <f>CHOOSE( CONTROL!$C$32, 26.4403, 26.4398) * CHOOSE(CONTROL!$C$15, $D$11, 100%, $F$11)</f>
        <v>26.440300000000001</v>
      </c>
      <c r="J815" s="4">
        <f>CHOOSE( CONTROL!$C$32, 26.3442, 26.3438) * CHOOSE(CONTROL!$C$15, $D$11, 100%, $F$11)</f>
        <v>26.344200000000001</v>
      </c>
      <c r="K815" s="4"/>
      <c r="L815" s="9">
        <v>30.7165</v>
      </c>
      <c r="M815" s="9">
        <v>12.063700000000001</v>
      </c>
      <c r="N815" s="9">
        <v>4.9444999999999997</v>
      </c>
      <c r="O815" s="9">
        <v>0.37409999999999999</v>
      </c>
      <c r="P815" s="9">
        <v>1.2927</v>
      </c>
      <c r="Q815" s="9">
        <v>19.688099999999999</v>
      </c>
      <c r="R815" s="9"/>
      <c r="S815" s="11"/>
    </row>
    <row r="816" spans="1:19" ht="15.75">
      <c r="A816" s="13">
        <v>65989</v>
      </c>
      <c r="B816" s="8">
        <f>CHOOSE( CONTROL!$C$32, 25.0608, 25.0603) * CHOOSE(CONTROL!$C$15, $D$11, 100%, $F$11)</f>
        <v>25.0608</v>
      </c>
      <c r="C816" s="8">
        <f>CHOOSE( CONTROL!$C$32, 25.0687, 25.0683) * CHOOSE(CONTROL!$C$15, $D$11, 100%, $F$11)</f>
        <v>25.0687</v>
      </c>
      <c r="D816" s="8">
        <f>CHOOSE( CONTROL!$C$32, 25.064, 25.0636) * CHOOSE( CONTROL!$C$15, $D$11, 100%, $F$11)</f>
        <v>25.064</v>
      </c>
      <c r="E816" s="12">
        <f>CHOOSE( CONTROL!$C$32, 25.0645, 25.0641) * CHOOSE( CONTROL!$C$15, $D$11, 100%, $F$11)</f>
        <v>25.064499999999999</v>
      </c>
      <c r="F816" s="4">
        <f>CHOOSE( CONTROL!$C$32, 25.7677, 25.7673) * CHOOSE(CONTROL!$C$15, $D$11, 100%, $F$11)</f>
        <v>25.767700000000001</v>
      </c>
      <c r="G816" s="8">
        <f>CHOOSE( CONTROL!$C$32, 24.7738, 24.7733) * CHOOSE( CONTROL!$C$15, $D$11, 100%, $F$11)</f>
        <v>24.773800000000001</v>
      </c>
      <c r="H816" s="4">
        <f>CHOOSE( CONTROL!$C$32, 25.7126, 25.7121) * CHOOSE(CONTROL!$C$15, $D$11, 100%, $F$11)</f>
        <v>25.712599999999998</v>
      </c>
      <c r="I816" s="8">
        <f>CHOOSE( CONTROL!$C$32, 24.4062, 24.4057) * CHOOSE(CONTROL!$C$15, $D$11, 100%, $F$11)</f>
        <v>24.406199999999998</v>
      </c>
      <c r="J816" s="4">
        <f>CHOOSE( CONTROL!$C$32, 24.3107, 24.3102) * CHOOSE(CONTROL!$C$15, $D$11, 100%, $F$11)</f>
        <v>24.310700000000001</v>
      </c>
      <c r="K816" s="4"/>
      <c r="L816" s="9">
        <v>30.7165</v>
      </c>
      <c r="M816" s="9">
        <v>12.063700000000001</v>
      </c>
      <c r="N816" s="9">
        <v>4.9444999999999997</v>
      </c>
      <c r="O816" s="9">
        <v>0.37409999999999999</v>
      </c>
      <c r="P816" s="9">
        <v>1.2927</v>
      </c>
      <c r="Q816" s="9">
        <v>19.688099999999999</v>
      </c>
      <c r="R816" s="9"/>
      <c r="S816" s="11"/>
    </row>
    <row r="817" spans="1:19" ht="15.75">
      <c r="A817" s="13">
        <v>66019</v>
      </c>
      <c r="B817" s="8">
        <f>CHOOSE( CONTROL!$C$32, 24.5361, 24.5356) * CHOOSE(CONTROL!$C$15, $D$11, 100%, $F$11)</f>
        <v>24.536100000000001</v>
      </c>
      <c r="C817" s="8">
        <f>CHOOSE( CONTROL!$C$32, 24.544, 24.5436) * CHOOSE(CONTROL!$C$15, $D$11, 100%, $F$11)</f>
        <v>24.544</v>
      </c>
      <c r="D817" s="8">
        <f>CHOOSE( CONTROL!$C$32, 24.5392, 24.5387) * CHOOSE( CONTROL!$C$15, $D$11, 100%, $F$11)</f>
        <v>24.539200000000001</v>
      </c>
      <c r="E817" s="12">
        <f>CHOOSE( CONTROL!$C$32, 24.5397, 24.5393) * CHOOSE( CONTROL!$C$15, $D$11, 100%, $F$11)</f>
        <v>24.5397</v>
      </c>
      <c r="F817" s="4">
        <f>CHOOSE( CONTROL!$C$32, 25.243, 25.2426) * CHOOSE(CONTROL!$C$15, $D$11, 100%, $F$11)</f>
        <v>25.242999999999999</v>
      </c>
      <c r="G817" s="8">
        <f>CHOOSE( CONTROL!$C$32, 24.2551, 24.2546) * CHOOSE( CONTROL!$C$15, $D$11, 100%, $F$11)</f>
        <v>24.255099999999999</v>
      </c>
      <c r="H817" s="4">
        <f>CHOOSE( CONTROL!$C$32, 25.194, 25.1936) * CHOOSE(CONTROL!$C$15, $D$11, 100%, $F$11)</f>
        <v>25.193999999999999</v>
      </c>
      <c r="I817" s="8">
        <f>CHOOSE( CONTROL!$C$32, 23.8962, 23.8957) * CHOOSE(CONTROL!$C$15, $D$11, 100%, $F$11)</f>
        <v>23.8962</v>
      </c>
      <c r="J817" s="4">
        <f>CHOOSE( CONTROL!$C$32, 23.8014, 23.801) * CHOOSE(CONTROL!$C$15, $D$11, 100%, $F$11)</f>
        <v>23.801400000000001</v>
      </c>
      <c r="K817" s="4"/>
      <c r="L817" s="9">
        <v>29.7257</v>
      </c>
      <c r="M817" s="9">
        <v>11.6745</v>
      </c>
      <c r="N817" s="9">
        <v>4.7850000000000001</v>
      </c>
      <c r="O817" s="9">
        <v>0.36199999999999999</v>
      </c>
      <c r="P817" s="9">
        <v>1.2509999999999999</v>
      </c>
      <c r="Q817" s="9">
        <v>19.053000000000001</v>
      </c>
      <c r="R817" s="9"/>
      <c r="S817" s="11"/>
    </row>
    <row r="818" spans="1:19" ht="15.75">
      <c r="A818" s="13">
        <v>66050</v>
      </c>
      <c r="B818" s="8">
        <f>CHOOSE( CONTROL!$C$32, 25.6236, 25.6233) * CHOOSE(CONTROL!$C$15, $D$11, 100%, $F$11)</f>
        <v>25.6236</v>
      </c>
      <c r="C818" s="8">
        <f>CHOOSE( CONTROL!$C$32, 25.6289, 25.6287) * CHOOSE(CONTROL!$C$15, $D$11, 100%, $F$11)</f>
        <v>25.628900000000002</v>
      </c>
      <c r="D818" s="8">
        <f>CHOOSE( CONTROL!$C$32, 25.6292, 25.6289) * CHOOSE( CONTROL!$C$15, $D$11, 100%, $F$11)</f>
        <v>25.629200000000001</v>
      </c>
      <c r="E818" s="12">
        <f>CHOOSE( CONTROL!$C$32, 25.6285, 25.6283) * CHOOSE( CONTROL!$C$15, $D$11, 100%, $F$11)</f>
        <v>25.628499999999999</v>
      </c>
      <c r="F818" s="4">
        <f>CHOOSE( CONTROL!$C$32, 26.3323, 26.332) * CHOOSE(CONTROL!$C$15, $D$11, 100%, $F$11)</f>
        <v>26.3323</v>
      </c>
      <c r="G818" s="8">
        <f>CHOOSE( CONTROL!$C$32, 25.3316, 25.3313) * CHOOSE( CONTROL!$C$15, $D$11, 100%, $F$11)</f>
        <v>25.331600000000002</v>
      </c>
      <c r="H818" s="4">
        <f>CHOOSE( CONTROL!$C$32, 26.2706, 26.2703) * CHOOSE(CONTROL!$C$15, $D$11, 100%, $F$11)</f>
        <v>26.270600000000002</v>
      </c>
      <c r="I818" s="8">
        <f>CHOOSE( CONTROL!$C$32, 24.9545, 24.9543) * CHOOSE(CONTROL!$C$15, $D$11, 100%, $F$11)</f>
        <v>24.954499999999999</v>
      </c>
      <c r="J818" s="4">
        <f>CHOOSE( CONTROL!$C$32, 24.8586, 24.8583) * CHOOSE(CONTROL!$C$15, $D$11, 100%, $F$11)</f>
        <v>24.858599999999999</v>
      </c>
      <c r="K818" s="4"/>
      <c r="L818" s="9">
        <v>31.095300000000002</v>
      </c>
      <c r="M818" s="9">
        <v>12.063700000000001</v>
      </c>
      <c r="N818" s="9">
        <v>4.9444999999999997</v>
      </c>
      <c r="O818" s="9">
        <v>0.37409999999999999</v>
      </c>
      <c r="P818" s="9">
        <v>1.2927</v>
      </c>
      <c r="Q818" s="9">
        <v>19.688099999999999</v>
      </c>
      <c r="R818" s="9"/>
      <c r="S818" s="11"/>
    </row>
    <row r="819" spans="1:19" ht="15.75">
      <c r="A819" s="13">
        <v>66080</v>
      </c>
      <c r="B819" s="8">
        <f>CHOOSE( CONTROL!$C$32, 27.6341, 27.6339) * CHOOSE(CONTROL!$C$15, $D$11, 100%, $F$11)</f>
        <v>27.6341</v>
      </c>
      <c r="C819" s="8">
        <f>CHOOSE( CONTROL!$C$32, 27.6392, 27.6389) * CHOOSE(CONTROL!$C$15, $D$11, 100%, $F$11)</f>
        <v>27.639199999999999</v>
      </c>
      <c r="D819" s="8">
        <f>CHOOSE( CONTROL!$C$32, 27.6071, 27.6068) * CHOOSE( CONTROL!$C$15, $D$11, 100%, $F$11)</f>
        <v>27.607099999999999</v>
      </c>
      <c r="E819" s="12">
        <f>CHOOSE( CONTROL!$C$32, 27.6183, 27.618) * CHOOSE( CONTROL!$C$15, $D$11, 100%, $F$11)</f>
        <v>27.618300000000001</v>
      </c>
      <c r="F819" s="4">
        <f>CHOOSE( CONTROL!$C$32, 28.2994, 28.2991) * CHOOSE(CONTROL!$C$15, $D$11, 100%, $F$11)</f>
        <v>28.299399999999999</v>
      </c>
      <c r="G819" s="8">
        <f>CHOOSE( CONTROL!$C$32, 27.3079, 27.3076) * CHOOSE( CONTROL!$C$15, $D$11, 100%, $F$11)</f>
        <v>27.3079</v>
      </c>
      <c r="H819" s="4">
        <f>CHOOSE( CONTROL!$C$32, 28.2147, 28.2144) * CHOOSE(CONTROL!$C$15, $D$11, 100%, $F$11)</f>
        <v>28.214700000000001</v>
      </c>
      <c r="I819" s="8">
        <f>CHOOSE( CONTROL!$C$32, 26.958, 26.9577) * CHOOSE(CONTROL!$C$15, $D$11, 100%, $F$11)</f>
        <v>26.957999999999998</v>
      </c>
      <c r="J819" s="4">
        <f>CHOOSE( CONTROL!$C$32, 26.8102, 26.8099) * CHOOSE(CONTROL!$C$15, $D$11, 100%, $F$11)</f>
        <v>26.810199999999998</v>
      </c>
      <c r="K819" s="4"/>
      <c r="L819" s="9">
        <v>28.360600000000002</v>
      </c>
      <c r="M819" s="9">
        <v>11.6745</v>
      </c>
      <c r="N819" s="9">
        <v>4.7850000000000001</v>
      </c>
      <c r="O819" s="9">
        <v>0.36199999999999999</v>
      </c>
      <c r="P819" s="9">
        <v>1.2509999999999999</v>
      </c>
      <c r="Q819" s="9">
        <v>19.053000000000001</v>
      </c>
      <c r="R819" s="9"/>
      <c r="S819" s="11"/>
    </row>
    <row r="820" spans="1:19" ht="15.75">
      <c r="A820" s="13">
        <v>66111</v>
      </c>
      <c r="B820" s="8">
        <f>CHOOSE( CONTROL!$C$32, 27.5839, 27.5836) * CHOOSE(CONTROL!$C$15, $D$11, 100%, $F$11)</f>
        <v>27.5839</v>
      </c>
      <c r="C820" s="8">
        <f>CHOOSE( CONTROL!$C$32, 27.589, 27.5887) * CHOOSE(CONTROL!$C$15, $D$11, 100%, $F$11)</f>
        <v>27.588999999999999</v>
      </c>
      <c r="D820" s="8">
        <f>CHOOSE( CONTROL!$C$32, 27.5587, 27.5584) * CHOOSE( CONTROL!$C$15, $D$11, 100%, $F$11)</f>
        <v>27.558700000000002</v>
      </c>
      <c r="E820" s="12">
        <f>CHOOSE( CONTROL!$C$32, 27.5692, 27.5689) * CHOOSE( CONTROL!$C$15, $D$11, 100%, $F$11)</f>
        <v>27.569199999999999</v>
      </c>
      <c r="F820" s="4">
        <f>CHOOSE( CONTROL!$C$32, 28.2492, 28.2489) * CHOOSE(CONTROL!$C$15, $D$11, 100%, $F$11)</f>
        <v>28.249199999999998</v>
      </c>
      <c r="G820" s="8">
        <f>CHOOSE( CONTROL!$C$32, 27.2596, 27.2593) * CHOOSE( CONTROL!$C$15, $D$11, 100%, $F$11)</f>
        <v>27.259599999999999</v>
      </c>
      <c r="H820" s="4">
        <f>CHOOSE( CONTROL!$C$32, 28.165, 28.1647) * CHOOSE(CONTROL!$C$15, $D$11, 100%, $F$11)</f>
        <v>28.164999999999999</v>
      </c>
      <c r="I820" s="8">
        <f>CHOOSE( CONTROL!$C$32, 26.9149, 26.9146) * CHOOSE(CONTROL!$C$15, $D$11, 100%, $F$11)</f>
        <v>26.914899999999999</v>
      </c>
      <c r="J820" s="4">
        <f>CHOOSE( CONTROL!$C$32, 26.7614, 26.7612) * CHOOSE(CONTROL!$C$15, $D$11, 100%, $F$11)</f>
        <v>26.761399999999998</v>
      </c>
      <c r="K820" s="4"/>
      <c r="L820" s="9">
        <v>29.306000000000001</v>
      </c>
      <c r="M820" s="9">
        <v>12.063700000000001</v>
      </c>
      <c r="N820" s="9">
        <v>4.9444999999999997</v>
      </c>
      <c r="O820" s="9">
        <v>0.37409999999999999</v>
      </c>
      <c r="P820" s="9">
        <v>1.2927</v>
      </c>
      <c r="Q820" s="9">
        <v>19.688099999999999</v>
      </c>
      <c r="R820" s="9"/>
      <c r="S820" s="11"/>
    </row>
    <row r="821" spans="1:19" ht="15.75">
      <c r="A821" s="13">
        <v>66142</v>
      </c>
      <c r="B821" s="8">
        <f>CHOOSE( CONTROL!$C$32, 28.3973, 28.397) * CHOOSE(CONTROL!$C$15, $D$11, 100%, $F$11)</f>
        <v>28.397300000000001</v>
      </c>
      <c r="C821" s="8">
        <f>CHOOSE( CONTROL!$C$32, 28.4023, 28.4021) * CHOOSE(CONTROL!$C$15, $D$11, 100%, $F$11)</f>
        <v>28.4023</v>
      </c>
      <c r="D821" s="8">
        <f>CHOOSE( CONTROL!$C$32, 28.4, 28.3997) * CHOOSE( CONTROL!$C$15, $D$11, 100%, $F$11)</f>
        <v>28.4</v>
      </c>
      <c r="E821" s="12">
        <f>CHOOSE( CONTROL!$C$32, 28.4003, 28.4) * CHOOSE( CONTROL!$C$15, $D$11, 100%, $F$11)</f>
        <v>28.400300000000001</v>
      </c>
      <c r="F821" s="4">
        <f>CHOOSE( CONTROL!$C$32, 29.0625, 29.0623) * CHOOSE(CONTROL!$C$15, $D$11, 100%, $F$11)</f>
        <v>29.0625</v>
      </c>
      <c r="G821" s="8">
        <f>CHOOSE( CONTROL!$C$32, 28.0795, 28.0793) * CHOOSE( CONTROL!$C$15, $D$11, 100%, $F$11)</f>
        <v>28.079499999999999</v>
      </c>
      <c r="H821" s="4">
        <f>CHOOSE( CONTROL!$C$32, 28.9688, 28.9686) * CHOOSE(CONTROL!$C$15, $D$11, 100%, $F$11)</f>
        <v>28.968800000000002</v>
      </c>
      <c r="I821" s="8">
        <f>CHOOSE( CONTROL!$C$32, 27.6782, 27.6779) * CHOOSE(CONTROL!$C$15, $D$11, 100%, $F$11)</f>
        <v>27.6782</v>
      </c>
      <c r="J821" s="4">
        <f>CHOOSE( CONTROL!$C$32, 27.5508, 27.5505) * CHOOSE(CONTROL!$C$15, $D$11, 100%, $F$11)</f>
        <v>27.550799999999999</v>
      </c>
      <c r="K821" s="4"/>
      <c r="L821" s="9">
        <v>29.306000000000001</v>
      </c>
      <c r="M821" s="9">
        <v>12.063700000000001</v>
      </c>
      <c r="N821" s="9">
        <v>4.9444999999999997</v>
      </c>
      <c r="O821" s="9">
        <v>0.37409999999999999</v>
      </c>
      <c r="P821" s="9">
        <v>1.2927</v>
      </c>
      <c r="Q821" s="9">
        <v>19.688099999999999</v>
      </c>
      <c r="R821" s="9"/>
      <c r="S821" s="11"/>
    </row>
    <row r="822" spans="1:19" ht="15.75">
      <c r="A822" s="13">
        <v>66170</v>
      </c>
      <c r="B822" s="8">
        <f>CHOOSE( CONTROL!$C$32, 26.562, 26.5618) * CHOOSE(CONTROL!$C$15, $D$11, 100%, $F$11)</f>
        <v>26.562000000000001</v>
      </c>
      <c r="C822" s="8">
        <f>CHOOSE( CONTROL!$C$32, 26.5671, 26.5668) * CHOOSE(CONTROL!$C$15, $D$11, 100%, $F$11)</f>
        <v>26.5671</v>
      </c>
      <c r="D822" s="8">
        <f>CHOOSE( CONTROL!$C$32, 26.5471, 26.5468) * CHOOSE( CONTROL!$C$15, $D$11, 100%, $F$11)</f>
        <v>26.5471</v>
      </c>
      <c r="E822" s="12">
        <f>CHOOSE( CONTROL!$C$32, 26.5539, 26.5536) * CHOOSE( CONTROL!$C$15, $D$11, 100%, $F$11)</f>
        <v>26.553899999999999</v>
      </c>
      <c r="F822" s="4">
        <f>CHOOSE( CONTROL!$C$32, 27.2273, 27.227) * CHOOSE(CONTROL!$C$15, $D$11, 100%, $F$11)</f>
        <v>27.2273</v>
      </c>
      <c r="G822" s="8">
        <f>CHOOSE( CONTROL!$C$32, 26.2546, 26.2544) * CHOOSE( CONTROL!$C$15, $D$11, 100%, $F$11)</f>
        <v>26.2546</v>
      </c>
      <c r="H822" s="4">
        <f>CHOOSE( CONTROL!$C$32, 27.1551, 27.1548) * CHOOSE(CONTROL!$C$15, $D$11, 100%, $F$11)</f>
        <v>27.155100000000001</v>
      </c>
      <c r="I822" s="8">
        <f>CHOOSE( CONTROL!$C$32, 25.8966, 25.8963) * CHOOSE(CONTROL!$C$15, $D$11, 100%, $F$11)</f>
        <v>25.896599999999999</v>
      </c>
      <c r="J822" s="4">
        <f>CHOOSE( CONTROL!$C$32, 25.7697, 25.7694) * CHOOSE(CONTROL!$C$15, $D$11, 100%, $F$11)</f>
        <v>25.7697</v>
      </c>
      <c r="K822" s="4"/>
      <c r="L822" s="9">
        <v>26.469899999999999</v>
      </c>
      <c r="M822" s="9">
        <v>10.8962</v>
      </c>
      <c r="N822" s="9">
        <v>4.4660000000000002</v>
      </c>
      <c r="O822" s="9">
        <v>0.33789999999999998</v>
      </c>
      <c r="P822" s="9">
        <v>1.1676</v>
      </c>
      <c r="Q822" s="9">
        <v>17.782800000000002</v>
      </c>
      <c r="R822" s="9"/>
      <c r="S822" s="11"/>
    </row>
    <row r="823" spans="1:19" ht="15.75">
      <c r="A823" s="13">
        <v>66201</v>
      </c>
      <c r="B823" s="8">
        <f>CHOOSE( CONTROL!$C$32, 25.9968, 25.9965) * CHOOSE(CONTROL!$C$15, $D$11, 100%, $F$11)</f>
        <v>25.9968</v>
      </c>
      <c r="C823" s="8">
        <f>CHOOSE( CONTROL!$C$32, 26.0019, 26.0016) * CHOOSE(CONTROL!$C$15, $D$11, 100%, $F$11)</f>
        <v>26.001899999999999</v>
      </c>
      <c r="D823" s="8">
        <f>CHOOSE( CONTROL!$C$32, 25.9719, 25.9716) * CHOOSE( CONTROL!$C$15, $D$11, 100%, $F$11)</f>
        <v>25.971900000000002</v>
      </c>
      <c r="E823" s="12">
        <f>CHOOSE( CONTROL!$C$32, 25.9823, 25.982) * CHOOSE( CONTROL!$C$15, $D$11, 100%, $F$11)</f>
        <v>25.982299999999999</v>
      </c>
      <c r="F823" s="4">
        <f>CHOOSE( CONTROL!$C$32, 26.6621, 26.6618) * CHOOSE(CONTROL!$C$15, $D$11, 100%, $F$11)</f>
        <v>26.662099999999999</v>
      </c>
      <c r="G823" s="8">
        <f>CHOOSE( CONTROL!$C$32, 25.6828, 25.6825) * CHOOSE( CONTROL!$C$15, $D$11, 100%, $F$11)</f>
        <v>25.6828</v>
      </c>
      <c r="H823" s="4">
        <f>CHOOSE( CONTROL!$C$32, 26.5965, 26.5962) * CHOOSE(CONTROL!$C$15, $D$11, 100%, $F$11)</f>
        <v>26.596499999999999</v>
      </c>
      <c r="I823" s="8">
        <f>CHOOSE( CONTROL!$C$32, 25.3126, 25.3123) * CHOOSE(CONTROL!$C$15, $D$11, 100%, $F$11)</f>
        <v>25.3126</v>
      </c>
      <c r="J823" s="4">
        <f>CHOOSE( CONTROL!$C$32, 25.2211, 25.2209) * CHOOSE(CONTROL!$C$15, $D$11, 100%, $F$11)</f>
        <v>25.2211</v>
      </c>
      <c r="K823" s="4"/>
      <c r="L823" s="9">
        <v>29.306000000000001</v>
      </c>
      <c r="M823" s="9">
        <v>12.063700000000001</v>
      </c>
      <c r="N823" s="9">
        <v>4.9444999999999997</v>
      </c>
      <c r="O823" s="9">
        <v>0.37409999999999999</v>
      </c>
      <c r="P823" s="9">
        <v>1.2927</v>
      </c>
      <c r="Q823" s="9">
        <v>19.688099999999999</v>
      </c>
      <c r="R823" s="9"/>
      <c r="S823" s="11"/>
    </row>
    <row r="824" spans="1:19" ht="15.75">
      <c r="A824" s="13">
        <v>66231</v>
      </c>
      <c r="B824" s="8">
        <f>CHOOSE( CONTROL!$C$32, 26.3925, 26.3923) * CHOOSE(CONTROL!$C$15, $D$11, 100%, $F$11)</f>
        <v>26.392499999999998</v>
      </c>
      <c r="C824" s="8">
        <f>CHOOSE( CONTROL!$C$32, 26.397, 26.3968) * CHOOSE(CONTROL!$C$15, $D$11, 100%, $F$11)</f>
        <v>26.396999999999998</v>
      </c>
      <c r="D824" s="8">
        <f>CHOOSE( CONTROL!$C$32, 26.3965, 26.3963) * CHOOSE( CONTROL!$C$15, $D$11, 100%, $F$11)</f>
        <v>26.3965</v>
      </c>
      <c r="E824" s="12">
        <f>CHOOSE( CONTROL!$C$32, 26.3962, 26.396) * CHOOSE( CONTROL!$C$15, $D$11, 100%, $F$11)</f>
        <v>26.3962</v>
      </c>
      <c r="F824" s="4">
        <f>CHOOSE( CONTROL!$C$32, 27.1008, 27.1006) * CHOOSE(CONTROL!$C$15, $D$11, 100%, $F$11)</f>
        <v>27.1008</v>
      </c>
      <c r="G824" s="8">
        <f>CHOOSE( CONTROL!$C$32, 26.0902, 26.0899) * CHOOSE( CONTROL!$C$15, $D$11, 100%, $F$11)</f>
        <v>26.090199999999999</v>
      </c>
      <c r="H824" s="4">
        <f>CHOOSE( CONTROL!$C$32, 27.0301, 27.0298) * CHOOSE(CONTROL!$C$15, $D$11, 100%, $F$11)</f>
        <v>27.030100000000001</v>
      </c>
      <c r="I824" s="8">
        <f>CHOOSE( CONTROL!$C$32, 25.6966, 25.6964) * CHOOSE(CONTROL!$C$15, $D$11, 100%, $F$11)</f>
        <v>25.6966</v>
      </c>
      <c r="J824" s="4">
        <f>CHOOSE( CONTROL!$C$32, 25.6045, 25.6042) * CHOOSE(CONTROL!$C$15, $D$11, 100%, $F$11)</f>
        <v>25.604500000000002</v>
      </c>
      <c r="K824" s="4"/>
      <c r="L824" s="9">
        <v>30.092199999999998</v>
      </c>
      <c r="M824" s="9">
        <v>11.6745</v>
      </c>
      <c r="N824" s="9">
        <v>4.7850000000000001</v>
      </c>
      <c r="O824" s="9">
        <v>0.36199999999999999</v>
      </c>
      <c r="P824" s="9">
        <v>1.2509999999999999</v>
      </c>
      <c r="Q824" s="9">
        <v>19.053000000000001</v>
      </c>
      <c r="R824" s="9"/>
      <c r="S824" s="11"/>
    </row>
    <row r="825" spans="1:19" ht="15.75">
      <c r="A825" s="13">
        <v>66262</v>
      </c>
      <c r="B825" s="8">
        <f>CHOOSE( CONTROL!$C$32, 27.0971, 27.0966) * CHOOSE(CONTROL!$C$15, $D$11, 100%, $F$11)</f>
        <v>27.097100000000001</v>
      </c>
      <c r="C825" s="8">
        <f>CHOOSE( CONTROL!$C$32, 27.105, 27.1046) * CHOOSE(CONTROL!$C$15, $D$11, 100%, $F$11)</f>
        <v>27.105</v>
      </c>
      <c r="D825" s="8">
        <f>CHOOSE( CONTROL!$C$32, 27.0993, 27.0989) * CHOOSE( CONTROL!$C$15, $D$11, 100%, $F$11)</f>
        <v>27.099299999999999</v>
      </c>
      <c r="E825" s="12">
        <f>CHOOSE( CONTROL!$C$32, 27.1002, 27.0997) * CHOOSE( CONTROL!$C$15, $D$11, 100%, $F$11)</f>
        <v>27.100200000000001</v>
      </c>
      <c r="F825" s="4">
        <f>CHOOSE( CONTROL!$C$32, 27.804, 27.8035) * CHOOSE(CONTROL!$C$15, $D$11, 100%, $F$11)</f>
        <v>27.803999999999998</v>
      </c>
      <c r="G825" s="8">
        <f>CHOOSE( CONTROL!$C$32, 26.7854, 26.785) * CHOOSE( CONTROL!$C$15, $D$11, 100%, $F$11)</f>
        <v>26.785399999999999</v>
      </c>
      <c r="H825" s="4">
        <f>CHOOSE( CONTROL!$C$32, 27.725, 27.7246) * CHOOSE(CONTROL!$C$15, $D$11, 100%, $F$11)</f>
        <v>27.725000000000001</v>
      </c>
      <c r="I825" s="8">
        <f>CHOOSE( CONTROL!$C$32, 26.38, 26.3795) * CHOOSE(CONTROL!$C$15, $D$11, 100%, $F$11)</f>
        <v>26.38</v>
      </c>
      <c r="J825" s="4">
        <f>CHOOSE( CONTROL!$C$32, 26.2869, 26.2864) * CHOOSE(CONTROL!$C$15, $D$11, 100%, $F$11)</f>
        <v>26.286899999999999</v>
      </c>
      <c r="K825" s="4"/>
      <c r="L825" s="9">
        <v>30.7165</v>
      </c>
      <c r="M825" s="9">
        <v>12.063700000000001</v>
      </c>
      <c r="N825" s="9">
        <v>4.9444999999999997</v>
      </c>
      <c r="O825" s="9">
        <v>0.37409999999999999</v>
      </c>
      <c r="P825" s="9">
        <v>1.2927</v>
      </c>
      <c r="Q825" s="9">
        <v>19.688099999999999</v>
      </c>
      <c r="R825" s="9"/>
      <c r="S825" s="11"/>
    </row>
    <row r="826" spans="1:19" ht="15.75">
      <c r="A826" s="13">
        <v>66292</v>
      </c>
      <c r="B826" s="8">
        <f>CHOOSE( CONTROL!$C$32, 26.6616, 26.6611) * CHOOSE(CONTROL!$C$15, $D$11, 100%, $F$11)</f>
        <v>26.6616</v>
      </c>
      <c r="C826" s="8">
        <f>CHOOSE( CONTROL!$C$32, 26.6696, 26.6691) * CHOOSE(CONTROL!$C$15, $D$11, 100%, $F$11)</f>
        <v>26.669599999999999</v>
      </c>
      <c r="D826" s="8">
        <f>CHOOSE( CONTROL!$C$32, 26.6643, 26.6638) * CHOOSE( CONTROL!$C$15, $D$11, 100%, $F$11)</f>
        <v>26.664300000000001</v>
      </c>
      <c r="E826" s="12">
        <f>CHOOSE( CONTROL!$C$32, 26.665, 26.6645) * CHOOSE( CONTROL!$C$15, $D$11, 100%, $F$11)</f>
        <v>26.664999999999999</v>
      </c>
      <c r="F826" s="4">
        <f>CHOOSE( CONTROL!$C$32, 27.3685, 27.3681) * CHOOSE(CONTROL!$C$15, $D$11, 100%, $F$11)</f>
        <v>27.368500000000001</v>
      </c>
      <c r="G826" s="8">
        <f>CHOOSE( CONTROL!$C$32, 26.3554, 26.3549) * CHOOSE( CONTROL!$C$15, $D$11, 100%, $F$11)</f>
        <v>26.355399999999999</v>
      </c>
      <c r="H826" s="4">
        <f>CHOOSE( CONTROL!$C$32, 27.2947, 27.2942) * CHOOSE(CONTROL!$C$15, $D$11, 100%, $F$11)</f>
        <v>27.294699999999999</v>
      </c>
      <c r="I826" s="8">
        <f>CHOOSE( CONTROL!$C$32, 25.9585, 25.9581) * CHOOSE(CONTROL!$C$15, $D$11, 100%, $F$11)</f>
        <v>25.958500000000001</v>
      </c>
      <c r="J826" s="4">
        <f>CHOOSE( CONTROL!$C$32, 25.8642, 25.8638) * CHOOSE(CONTROL!$C$15, $D$11, 100%, $F$11)</f>
        <v>25.8642</v>
      </c>
      <c r="K826" s="4"/>
      <c r="L826" s="9">
        <v>29.7257</v>
      </c>
      <c r="M826" s="9">
        <v>11.6745</v>
      </c>
      <c r="N826" s="9">
        <v>4.7850000000000001</v>
      </c>
      <c r="O826" s="9">
        <v>0.36199999999999999</v>
      </c>
      <c r="P826" s="9">
        <v>1.2509999999999999</v>
      </c>
      <c r="Q826" s="9">
        <v>19.053000000000001</v>
      </c>
      <c r="R826" s="9"/>
      <c r="S826" s="11"/>
    </row>
    <row r="827" spans="1:19" ht="15.75">
      <c r="A827" s="13">
        <v>66323</v>
      </c>
      <c r="B827" s="8">
        <f>CHOOSE( CONTROL!$C$32, 27.8083, 27.8079) * CHOOSE(CONTROL!$C$15, $D$11, 100%, $F$11)</f>
        <v>27.808299999999999</v>
      </c>
      <c r="C827" s="8">
        <f>CHOOSE( CONTROL!$C$32, 27.8163, 27.8159) * CHOOSE(CONTROL!$C$15, $D$11, 100%, $F$11)</f>
        <v>27.816299999999998</v>
      </c>
      <c r="D827" s="8">
        <f>CHOOSE( CONTROL!$C$32, 27.8115, 27.811) * CHOOSE( CONTROL!$C$15, $D$11, 100%, $F$11)</f>
        <v>27.811499999999999</v>
      </c>
      <c r="E827" s="12">
        <f>CHOOSE( CONTROL!$C$32, 27.812, 27.8116) * CHOOSE( CONTROL!$C$15, $D$11, 100%, $F$11)</f>
        <v>27.812000000000001</v>
      </c>
      <c r="F827" s="4">
        <f>CHOOSE( CONTROL!$C$32, 28.5153, 28.5148) * CHOOSE(CONTROL!$C$15, $D$11, 100%, $F$11)</f>
        <v>28.5153</v>
      </c>
      <c r="G827" s="8">
        <f>CHOOSE( CONTROL!$C$32, 27.4891, 27.4886) * CHOOSE( CONTROL!$C$15, $D$11, 100%, $F$11)</f>
        <v>27.489100000000001</v>
      </c>
      <c r="H827" s="4">
        <f>CHOOSE( CONTROL!$C$32, 28.428, 28.4275) * CHOOSE(CONTROL!$C$15, $D$11, 100%, $F$11)</f>
        <v>28.428000000000001</v>
      </c>
      <c r="I827" s="8">
        <f>CHOOSE( CONTROL!$C$32, 27.0736, 27.0731) * CHOOSE(CONTROL!$C$15, $D$11, 100%, $F$11)</f>
        <v>27.073599999999999</v>
      </c>
      <c r="J827" s="4">
        <f>CHOOSE( CONTROL!$C$32, 26.9772, 26.9767) * CHOOSE(CONTROL!$C$15, $D$11, 100%, $F$11)</f>
        <v>26.9772</v>
      </c>
      <c r="K827" s="4"/>
      <c r="L827" s="9">
        <v>30.7165</v>
      </c>
      <c r="M827" s="9">
        <v>12.063700000000001</v>
      </c>
      <c r="N827" s="9">
        <v>4.9444999999999997</v>
      </c>
      <c r="O827" s="9">
        <v>0.37409999999999999</v>
      </c>
      <c r="P827" s="9">
        <v>1.2927</v>
      </c>
      <c r="Q827" s="9">
        <v>19.688099999999999</v>
      </c>
      <c r="R827" s="9"/>
      <c r="S827" s="11"/>
    </row>
    <row r="828" spans="1:19" ht="15.75">
      <c r="A828" s="13">
        <v>66354</v>
      </c>
      <c r="B828" s="8">
        <f>CHOOSE( CONTROL!$C$32, 25.6626, 25.6622) * CHOOSE(CONTROL!$C$15, $D$11, 100%, $F$11)</f>
        <v>25.662600000000001</v>
      </c>
      <c r="C828" s="8">
        <f>CHOOSE( CONTROL!$C$32, 25.6706, 25.6702) * CHOOSE(CONTROL!$C$15, $D$11, 100%, $F$11)</f>
        <v>25.6706</v>
      </c>
      <c r="D828" s="8">
        <f>CHOOSE( CONTROL!$C$32, 25.6659, 25.6654) * CHOOSE( CONTROL!$C$15, $D$11, 100%, $F$11)</f>
        <v>25.665900000000001</v>
      </c>
      <c r="E828" s="12">
        <f>CHOOSE( CONTROL!$C$32, 25.6664, 25.6659) * CHOOSE( CONTROL!$C$15, $D$11, 100%, $F$11)</f>
        <v>25.666399999999999</v>
      </c>
      <c r="F828" s="4">
        <f>CHOOSE( CONTROL!$C$32, 26.3696, 26.3691) * CHOOSE(CONTROL!$C$15, $D$11, 100%, $F$11)</f>
        <v>26.369599999999998</v>
      </c>
      <c r="G828" s="8">
        <f>CHOOSE( CONTROL!$C$32, 25.3686, 25.3681) * CHOOSE( CONTROL!$C$15, $D$11, 100%, $F$11)</f>
        <v>25.368600000000001</v>
      </c>
      <c r="H828" s="4">
        <f>CHOOSE( CONTROL!$C$32, 26.3074, 26.307) * CHOOSE(CONTROL!$C$15, $D$11, 100%, $F$11)</f>
        <v>26.307400000000001</v>
      </c>
      <c r="I828" s="8">
        <f>CHOOSE( CONTROL!$C$32, 24.9906, 24.9901) * CHOOSE(CONTROL!$C$15, $D$11, 100%, $F$11)</f>
        <v>24.990600000000001</v>
      </c>
      <c r="J828" s="4">
        <f>CHOOSE( CONTROL!$C$32, 24.8948, 24.8943) * CHOOSE(CONTROL!$C$15, $D$11, 100%, $F$11)</f>
        <v>24.8948</v>
      </c>
      <c r="K828" s="4"/>
      <c r="L828" s="9">
        <v>30.7165</v>
      </c>
      <c r="M828" s="9">
        <v>12.063700000000001</v>
      </c>
      <c r="N828" s="9">
        <v>4.9444999999999997</v>
      </c>
      <c r="O828" s="9">
        <v>0.37409999999999999</v>
      </c>
      <c r="P828" s="9">
        <v>1.2927</v>
      </c>
      <c r="Q828" s="9">
        <v>19.688099999999999</v>
      </c>
      <c r="R828" s="9"/>
      <c r="S828" s="11"/>
    </row>
    <row r="829" spans="1:19" ht="15.75">
      <c r="A829" s="13">
        <v>66384</v>
      </c>
      <c r="B829" s="8">
        <f>CHOOSE( CONTROL!$C$32, 25.1253, 25.1249) * CHOOSE(CONTROL!$C$15, $D$11, 100%, $F$11)</f>
        <v>25.125299999999999</v>
      </c>
      <c r="C829" s="8">
        <f>CHOOSE( CONTROL!$C$32, 25.1333, 25.1328) * CHOOSE(CONTROL!$C$15, $D$11, 100%, $F$11)</f>
        <v>25.133299999999998</v>
      </c>
      <c r="D829" s="8">
        <f>CHOOSE( CONTROL!$C$32, 25.1284, 25.128) * CHOOSE( CONTROL!$C$15, $D$11, 100%, $F$11)</f>
        <v>25.128399999999999</v>
      </c>
      <c r="E829" s="12">
        <f>CHOOSE( CONTROL!$C$32, 25.129, 25.1285) * CHOOSE( CONTROL!$C$15, $D$11, 100%, $F$11)</f>
        <v>25.129000000000001</v>
      </c>
      <c r="F829" s="4">
        <f>CHOOSE( CONTROL!$C$32, 25.8323, 25.8318) * CHOOSE(CONTROL!$C$15, $D$11, 100%, $F$11)</f>
        <v>25.8323</v>
      </c>
      <c r="G829" s="8">
        <f>CHOOSE( CONTROL!$C$32, 24.8375, 24.837) * CHOOSE( CONTROL!$C$15, $D$11, 100%, $F$11)</f>
        <v>24.837499999999999</v>
      </c>
      <c r="H829" s="4">
        <f>CHOOSE( CONTROL!$C$32, 25.7764, 25.7759) * CHOOSE(CONTROL!$C$15, $D$11, 100%, $F$11)</f>
        <v>25.776399999999999</v>
      </c>
      <c r="I829" s="8">
        <f>CHOOSE( CONTROL!$C$32, 24.4683, 24.4679) * CHOOSE(CONTROL!$C$15, $D$11, 100%, $F$11)</f>
        <v>24.468299999999999</v>
      </c>
      <c r="J829" s="4">
        <f>CHOOSE( CONTROL!$C$32, 24.3733, 24.3729) * CHOOSE(CONTROL!$C$15, $D$11, 100%, $F$11)</f>
        <v>24.3733</v>
      </c>
      <c r="K829" s="4"/>
      <c r="L829" s="9">
        <v>29.7257</v>
      </c>
      <c r="M829" s="9">
        <v>11.6745</v>
      </c>
      <c r="N829" s="9">
        <v>4.7850000000000001</v>
      </c>
      <c r="O829" s="9">
        <v>0.36199999999999999</v>
      </c>
      <c r="P829" s="9">
        <v>1.2509999999999999</v>
      </c>
      <c r="Q829" s="9">
        <v>19.053000000000001</v>
      </c>
      <c r="R829" s="9"/>
      <c r="S829" s="11"/>
    </row>
    <row r="830" spans="1:19" ht="15.75">
      <c r="A830" s="13">
        <v>66415</v>
      </c>
      <c r="B830" s="8">
        <f>CHOOSE( CONTROL!$C$32, 26.2391, 26.2388) * CHOOSE(CONTROL!$C$15, $D$11, 100%, $F$11)</f>
        <v>26.239100000000001</v>
      </c>
      <c r="C830" s="8">
        <f>CHOOSE( CONTROL!$C$32, 26.2444, 26.2441) * CHOOSE(CONTROL!$C$15, $D$11, 100%, $F$11)</f>
        <v>26.244399999999999</v>
      </c>
      <c r="D830" s="8">
        <f>CHOOSE( CONTROL!$C$32, 26.2446, 26.2443) * CHOOSE( CONTROL!$C$15, $D$11, 100%, $F$11)</f>
        <v>26.244599999999998</v>
      </c>
      <c r="E830" s="12">
        <f>CHOOSE( CONTROL!$C$32, 26.244, 26.2437) * CHOOSE( CONTROL!$C$15, $D$11, 100%, $F$11)</f>
        <v>26.244</v>
      </c>
      <c r="F830" s="4">
        <f>CHOOSE( CONTROL!$C$32, 26.9477, 26.9474) * CHOOSE(CONTROL!$C$15, $D$11, 100%, $F$11)</f>
        <v>26.947700000000001</v>
      </c>
      <c r="G830" s="8">
        <f>CHOOSE( CONTROL!$C$32, 25.9398, 25.9395) * CHOOSE( CONTROL!$C$15, $D$11, 100%, $F$11)</f>
        <v>25.939800000000002</v>
      </c>
      <c r="H830" s="4">
        <f>CHOOSE( CONTROL!$C$32, 26.8788, 26.8785) * CHOOSE(CONTROL!$C$15, $D$11, 100%, $F$11)</f>
        <v>26.878799999999998</v>
      </c>
      <c r="I830" s="8">
        <f>CHOOSE( CONTROL!$C$32, 25.5521, 25.5519) * CHOOSE(CONTROL!$C$15, $D$11, 100%, $F$11)</f>
        <v>25.552099999999999</v>
      </c>
      <c r="J830" s="4">
        <f>CHOOSE( CONTROL!$C$32, 25.4559, 25.4556) * CHOOSE(CONTROL!$C$15, $D$11, 100%, $F$11)</f>
        <v>25.4559</v>
      </c>
      <c r="K830" s="4"/>
      <c r="L830" s="9">
        <v>31.095300000000002</v>
      </c>
      <c r="M830" s="9">
        <v>12.063700000000001</v>
      </c>
      <c r="N830" s="9">
        <v>4.9444999999999997</v>
      </c>
      <c r="O830" s="9">
        <v>0.37409999999999999</v>
      </c>
      <c r="P830" s="9">
        <v>1.2927</v>
      </c>
      <c r="Q830" s="9">
        <v>19.688099999999999</v>
      </c>
      <c r="R830" s="9"/>
      <c r="S830" s="11"/>
    </row>
    <row r="831" spans="1:19" ht="15.75">
      <c r="A831" s="13">
        <v>66445</v>
      </c>
      <c r="B831" s="8">
        <f>CHOOSE( CONTROL!$C$32, 28.2979, 28.2976) * CHOOSE(CONTROL!$C$15, $D$11, 100%, $F$11)</f>
        <v>28.297899999999998</v>
      </c>
      <c r="C831" s="8">
        <f>CHOOSE( CONTROL!$C$32, 28.303, 28.3027) * CHOOSE(CONTROL!$C$15, $D$11, 100%, $F$11)</f>
        <v>28.303000000000001</v>
      </c>
      <c r="D831" s="8">
        <f>CHOOSE( CONTROL!$C$32, 28.2708, 28.2706) * CHOOSE( CONTROL!$C$15, $D$11, 100%, $F$11)</f>
        <v>28.270800000000001</v>
      </c>
      <c r="E831" s="12">
        <f>CHOOSE( CONTROL!$C$32, 28.282, 28.2818) * CHOOSE( CONTROL!$C$15, $D$11, 100%, $F$11)</f>
        <v>28.282</v>
      </c>
      <c r="F831" s="4">
        <f>CHOOSE( CONTROL!$C$32, 28.9632, 28.9629) * CHOOSE(CONTROL!$C$15, $D$11, 100%, $F$11)</f>
        <v>28.963200000000001</v>
      </c>
      <c r="G831" s="8">
        <f>CHOOSE( CONTROL!$C$32, 27.9639, 27.9636) * CHOOSE( CONTROL!$C$15, $D$11, 100%, $F$11)</f>
        <v>27.963899999999999</v>
      </c>
      <c r="H831" s="4">
        <f>CHOOSE( CONTROL!$C$32, 28.8706, 28.8704) * CHOOSE(CONTROL!$C$15, $D$11, 100%, $F$11)</f>
        <v>28.8706</v>
      </c>
      <c r="I831" s="8">
        <f>CHOOSE( CONTROL!$C$32, 27.6025, 27.6022) * CHOOSE(CONTROL!$C$15, $D$11, 100%, $F$11)</f>
        <v>27.602499999999999</v>
      </c>
      <c r="J831" s="4">
        <f>CHOOSE( CONTROL!$C$32, 27.4544, 27.4541) * CHOOSE(CONTROL!$C$15, $D$11, 100%, $F$11)</f>
        <v>27.4544</v>
      </c>
      <c r="K831" s="4"/>
      <c r="L831" s="9">
        <v>28.360600000000002</v>
      </c>
      <c r="M831" s="9">
        <v>11.6745</v>
      </c>
      <c r="N831" s="9">
        <v>4.7850000000000001</v>
      </c>
      <c r="O831" s="9">
        <v>0.36199999999999999</v>
      </c>
      <c r="P831" s="9">
        <v>1.2509999999999999</v>
      </c>
      <c r="Q831" s="9">
        <v>19.053000000000001</v>
      </c>
      <c r="R831" s="9"/>
      <c r="S831" s="11"/>
    </row>
    <row r="832" spans="1:19" ht="15.75">
      <c r="A832" s="13">
        <v>66476</v>
      </c>
      <c r="B832" s="8">
        <f>CHOOSE( CONTROL!$C$32, 28.2464, 28.2462) * CHOOSE(CONTROL!$C$15, $D$11, 100%, $F$11)</f>
        <v>28.246400000000001</v>
      </c>
      <c r="C832" s="8">
        <f>CHOOSE( CONTROL!$C$32, 28.2515, 28.2512) * CHOOSE(CONTROL!$C$15, $D$11, 100%, $F$11)</f>
        <v>28.2515</v>
      </c>
      <c r="D832" s="8">
        <f>CHOOSE( CONTROL!$C$32, 28.2212, 28.221) * CHOOSE( CONTROL!$C$15, $D$11, 100%, $F$11)</f>
        <v>28.2212</v>
      </c>
      <c r="E832" s="12">
        <f>CHOOSE( CONTROL!$C$32, 28.2317, 28.2315) * CHOOSE( CONTROL!$C$15, $D$11, 100%, $F$11)</f>
        <v>28.2317</v>
      </c>
      <c r="F832" s="4">
        <f>CHOOSE( CONTROL!$C$32, 28.9117, 28.9115) * CHOOSE(CONTROL!$C$15, $D$11, 100%, $F$11)</f>
        <v>28.9117</v>
      </c>
      <c r="G832" s="8">
        <f>CHOOSE( CONTROL!$C$32, 27.9143, 27.9141) * CHOOSE( CONTROL!$C$15, $D$11, 100%, $F$11)</f>
        <v>27.914300000000001</v>
      </c>
      <c r="H832" s="4">
        <f>CHOOSE( CONTROL!$C$32, 28.8198, 28.8195) * CHOOSE(CONTROL!$C$15, $D$11, 100%, $F$11)</f>
        <v>28.819800000000001</v>
      </c>
      <c r="I832" s="8">
        <f>CHOOSE( CONTROL!$C$32, 27.5582, 27.5579) * CHOOSE(CONTROL!$C$15, $D$11, 100%, $F$11)</f>
        <v>27.558199999999999</v>
      </c>
      <c r="J832" s="4">
        <f>CHOOSE( CONTROL!$C$32, 27.4044, 27.4042) * CHOOSE(CONTROL!$C$15, $D$11, 100%, $F$11)</f>
        <v>27.404399999999999</v>
      </c>
      <c r="K832" s="4"/>
      <c r="L832" s="9">
        <v>29.306000000000001</v>
      </c>
      <c r="M832" s="9">
        <v>12.063700000000001</v>
      </c>
      <c r="N832" s="9">
        <v>4.9444999999999997</v>
      </c>
      <c r="O832" s="9">
        <v>0.37409999999999999</v>
      </c>
      <c r="P832" s="9">
        <v>1.2927</v>
      </c>
      <c r="Q832" s="9">
        <v>19.688099999999999</v>
      </c>
      <c r="R832" s="9"/>
      <c r="S832" s="11"/>
    </row>
    <row r="833" spans="1:19" ht="15.75">
      <c r="A833" s="13">
        <v>66507</v>
      </c>
      <c r="B833" s="8">
        <f>CHOOSE( CONTROL!$C$32, 29.0794, 29.0791) * CHOOSE(CONTROL!$C$15, $D$11, 100%, $F$11)</f>
        <v>29.0794</v>
      </c>
      <c r="C833" s="8">
        <f>CHOOSE( CONTROL!$C$32, 29.0844, 29.0842) * CHOOSE(CONTROL!$C$15, $D$11, 100%, $F$11)</f>
        <v>29.084399999999999</v>
      </c>
      <c r="D833" s="8">
        <f>CHOOSE( CONTROL!$C$32, 29.0821, 29.0818) * CHOOSE( CONTROL!$C$15, $D$11, 100%, $F$11)</f>
        <v>29.082100000000001</v>
      </c>
      <c r="E833" s="12">
        <f>CHOOSE( CONTROL!$C$32, 29.0824, 29.0821) * CHOOSE( CONTROL!$C$15, $D$11, 100%, $F$11)</f>
        <v>29.0824</v>
      </c>
      <c r="F833" s="4">
        <f>CHOOSE( CONTROL!$C$32, 29.7446, 29.7444) * CHOOSE(CONTROL!$C$15, $D$11, 100%, $F$11)</f>
        <v>29.744599999999998</v>
      </c>
      <c r="G833" s="8">
        <f>CHOOSE( CONTROL!$C$32, 28.7536, 28.7534) * CHOOSE( CONTROL!$C$15, $D$11, 100%, $F$11)</f>
        <v>28.753599999999999</v>
      </c>
      <c r="H833" s="4">
        <f>CHOOSE( CONTROL!$C$32, 29.6429, 29.6427) * CHOOSE(CONTROL!$C$15, $D$11, 100%, $F$11)</f>
        <v>29.642900000000001</v>
      </c>
      <c r="I833" s="8">
        <f>CHOOSE( CONTROL!$C$32, 28.3405, 28.3402) * CHOOSE(CONTROL!$C$15, $D$11, 100%, $F$11)</f>
        <v>28.340499999999999</v>
      </c>
      <c r="J833" s="4">
        <f>CHOOSE( CONTROL!$C$32, 28.2128, 28.2125) * CHOOSE(CONTROL!$C$15, $D$11, 100%, $F$11)</f>
        <v>28.212800000000001</v>
      </c>
      <c r="K833" s="4"/>
      <c r="L833" s="9">
        <v>29.306000000000001</v>
      </c>
      <c r="M833" s="9">
        <v>12.063700000000001</v>
      </c>
      <c r="N833" s="9">
        <v>4.9444999999999997</v>
      </c>
      <c r="O833" s="9">
        <v>0.37409999999999999</v>
      </c>
      <c r="P833" s="9">
        <v>1.2927</v>
      </c>
      <c r="Q833" s="9">
        <v>19.688099999999999</v>
      </c>
      <c r="R833" s="9"/>
      <c r="S833" s="11"/>
    </row>
    <row r="834" spans="1:19" ht="15.75">
      <c r="A834" s="13">
        <v>66535</v>
      </c>
      <c r="B834" s="8">
        <f>CHOOSE( CONTROL!$C$32, 27.2, 27.1997) * CHOOSE(CONTROL!$C$15, $D$11, 100%, $F$11)</f>
        <v>27.2</v>
      </c>
      <c r="C834" s="8">
        <f>CHOOSE( CONTROL!$C$32, 27.2051, 27.2048) * CHOOSE(CONTROL!$C$15, $D$11, 100%, $F$11)</f>
        <v>27.205100000000002</v>
      </c>
      <c r="D834" s="8">
        <f>CHOOSE( CONTROL!$C$32, 27.1851, 27.1848) * CHOOSE( CONTROL!$C$15, $D$11, 100%, $F$11)</f>
        <v>27.185099999999998</v>
      </c>
      <c r="E834" s="12">
        <f>CHOOSE( CONTROL!$C$32, 27.1919, 27.1916) * CHOOSE( CONTROL!$C$15, $D$11, 100%, $F$11)</f>
        <v>27.1919</v>
      </c>
      <c r="F834" s="4">
        <f>CHOOSE( CONTROL!$C$32, 27.8653, 27.865) * CHOOSE(CONTROL!$C$15, $D$11, 100%, $F$11)</f>
        <v>27.865300000000001</v>
      </c>
      <c r="G834" s="8">
        <f>CHOOSE( CONTROL!$C$32, 26.8852, 26.8849) * CHOOSE( CONTROL!$C$15, $D$11, 100%, $F$11)</f>
        <v>26.885200000000001</v>
      </c>
      <c r="H834" s="4">
        <f>CHOOSE( CONTROL!$C$32, 27.7856, 27.7853) * CHOOSE(CONTROL!$C$15, $D$11, 100%, $F$11)</f>
        <v>27.785599999999999</v>
      </c>
      <c r="I834" s="8">
        <f>CHOOSE( CONTROL!$C$32, 26.5161, 26.5158) * CHOOSE(CONTROL!$C$15, $D$11, 100%, $F$11)</f>
        <v>26.516100000000002</v>
      </c>
      <c r="J834" s="4">
        <f>CHOOSE( CONTROL!$C$32, 26.3889, 26.3886) * CHOOSE(CONTROL!$C$15, $D$11, 100%, $F$11)</f>
        <v>26.3889</v>
      </c>
      <c r="K834" s="4"/>
      <c r="L834" s="9">
        <v>26.469899999999999</v>
      </c>
      <c r="M834" s="9">
        <v>10.8962</v>
      </c>
      <c r="N834" s="9">
        <v>4.4660000000000002</v>
      </c>
      <c r="O834" s="9">
        <v>0.33789999999999998</v>
      </c>
      <c r="P834" s="9">
        <v>1.1676</v>
      </c>
      <c r="Q834" s="9">
        <v>17.782800000000002</v>
      </c>
      <c r="R834" s="9"/>
      <c r="S834" s="11"/>
    </row>
    <row r="835" spans="1:19" ht="15.75">
      <c r="A835" s="13">
        <v>66566</v>
      </c>
      <c r="B835" s="8">
        <f>CHOOSE( CONTROL!$C$32, 26.6212, 26.6209) * CHOOSE(CONTROL!$C$15, $D$11, 100%, $F$11)</f>
        <v>26.621200000000002</v>
      </c>
      <c r="C835" s="8">
        <f>CHOOSE( CONTROL!$C$32, 26.6263, 26.626) * CHOOSE(CONTROL!$C$15, $D$11, 100%, $F$11)</f>
        <v>26.626300000000001</v>
      </c>
      <c r="D835" s="8">
        <f>CHOOSE( CONTROL!$C$32, 26.5963, 26.596) * CHOOSE( CONTROL!$C$15, $D$11, 100%, $F$11)</f>
        <v>26.596299999999999</v>
      </c>
      <c r="E835" s="12">
        <f>CHOOSE( CONTROL!$C$32, 26.6067, 26.6064) * CHOOSE( CONTROL!$C$15, $D$11, 100%, $F$11)</f>
        <v>26.6067</v>
      </c>
      <c r="F835" s="4">
        <f>CHOOSE( CONTROL!$C$32, 27.2865, 27.2862) * CHOOSE(CONTROL!$C$15, $D$11, 100%, $F$11)</f>
        <v>27.2865</v>
      </c>
      <c r="G835" s="8">
        <f>CHOOSE( CONTROL!$C$32, 26.2999, 26.2996) * CHOOSE( CONTROL!$C$15, $D$11, 100%, $F$11)</f>
        <v>26.299900000000001</v>
      </c>
      <c r="H835" s="4">
        <f>CHOOSE( CONTROL!$C$32, 27.2136, 27.2133) * CHOOSE(CONTROL!$C$15, $D$11, 100%, $F$11)</f>
        <v>27.2136</v>
      </c>
      <c r="I835" s="8">
        <f>CHOOSE( CONTROL!$C$32, 25.9189, 25.9186) * CHOOSE(CONTROL!$C$15, $D$11, 100%, $F$11)</f>
        <v>25.918900000000001</v>
      </c>
      <c r="J835" s="4">
        <f>CHOOSE( CONTROL!$C$32, 25.8271, 25.8269) * CHOOSE(CONTROL!$C$15, $D$11, 100%, $F$11)</f>
        <v>25.827100000000002</v>
      </c>
      <c r="K835" s="4"/>
      <c r="L835" s="9">
        <v>29.306000000000001</v>
      </c>
      <c r="M835" s="9">
        <v>12.063700000000001</v>
      </c>
      <c r="N835" s="9">
        <v>4.9444999999999997</v>
      </c>
      <c r="O835" s="9">
        <v>0.37409999999999999</v>
      </c>
      <c r="P835" s="9">
        <v>1.2927</v>
      </c>
      <c r="Q835" s="9">
        <v>19.688099999999999</v>
      </c>
      <c r="R835" s="9"/>
      <c r="S835" s="11"/>
    </row>
    <row r="836" spans="1:19" ht="15.75">
      <c r="A836" s="13">
        <v>66596</v>
      </c>
      <c r="B836" s="8">
        <f>CHOOSE( CONTROL!$C$32, 27.0264, 27.0262) * CHOOSE(CONTROL!$C$15, $D$11, 100%, $F$11)</f>
        <v>27.026399999999999</v>
      </c>
      <c r="C836" s="8">
        <f>CHOOSE( CONTROL!$C$32, 27.0309, 27.0307) * CHOOSE(CONTROL!$C$15, $D$11, 100%, $F$11)</f>
        <v>27.030899999999999</v>
      </c>
      <c r="D836" s="8">
        <f>CHOOSE( CONTROL!$C$32, 27.0304, 27.0302) * CHOOSE( CONTROL!$C$15, $D$11, 100%, $F$11)</f>
        <v>27.0304</v>
      </c>
      <c r="E836" s="12">
        <f>CHOOSE( CONTROL!$C$32, 27.0301, 27.0299) * CHOOSE( CONTROL!$C$15, $D$11, 100%, $F$11)</f>
        <v>27.030100000000001</v>
      </c>
      <c r="F836" s="4">
        <f>CHOOSE( CONTROL!$C$32, 27.7347, 27.7345) * CHOOSE(CONTROL!$C$15, $D$11, 100%, $F$11)</f>
        <v>27.7347</v>
      </c>
      <c r="G836" s="8">
        <f>CHOOSE( CONTROL!$C$32, 26.7166, 26.7164) * CHOOSE( CONTROL!$C$15, $D$11, 100%, $F$11)</f>
        <v>26.7166</v>
      </c>
      <c r="H836" s="4">
        <f>CHOOSE( CONTROL!$C$32, 27.6566, 27.6563) * CHOOSE(CONTROL!$C$15, $D$11, 100%, $F$11)</f>
        <v>27.656600000000001</v>
      </c>
      <c r="I836" s="8">
        <f>CHOOSE( CONTROL!$C$32, 26.3121, 26.3119) * CHOOSE(CONTROL!$C$15, $D$11, 100%, $F$11)</f>
        <v>26.312100000000001</v>
      </c>
      <c r="J836" s="4">
        <f>CHOOSE( CONTROL!$C$32, 26.2197, 26.2194) * CHOOSE(CONTROL!$C$15, $D$11, 100%, $F$11)</f>
        <v>26.2197</v>
      </c>
      <c r="K836" s="4"/>
      <c r="L836" s="9">
        <v>30.092199999999998</v>
      </c>
      <c r="M836" s="9">
        <v>11.6745</v>
      </c>
      <c r="N836" s="9">
        <v>4.7850000000000001</v>
      </c>
      <c r="O836" s="9">
        <v>0.36199999999999999</v>
      </c>
      <c r="P836" s="9">
        <v>1.2509999999999999</v>
      </c>
      <c r="Q836" s="9">
        <v>19.053000000000001</v>
      </c>
      <c r="R836" s="9"/>
      <c r="S836" s="11"/>
    </row>
    <row r="837" spans="1:19" ht="15.75">
      <c r="A837" s="13">
        <v>66627</v>
      </c>
      <c r="B837" s="8">
        <f>CHOOSE( CONTROL!$C$32, 27.7478, 27.7474) * CHOOSE(CONTROL!$C$15, $D$11, 100%, $F$11)</f>
        <v>27.747800000000002</v>
      </c>
      <c r="C837" s="8">
        <f>CHOOSE( CONTROL!$C$32, 27.7558, 27.7554) * CHOOSE(CONTROL!$C$15, $D$11, 100%, $F$11)</f>
        <v>27.755800000000001</v>
      </c>
      <c r="D837" s="8">
        <f>CHOOSE( CONTROL!$C$32, 27.7501, 27.7497) * CHOOSE( CONTROL!$C$15, $D$11, 100%, $F$11)</f>
        <v>27.7501</v>
      </c>
      <c r="E837" s="12">
        <f>CHOOSE( CONTROL!$C$32, 27.7509, 27.7505) * CHOOSE( CONTROL!$C$15, $D$11, 100%, $F$11)</f>
        <v>27.750900000000001</v>
      </c>
      <c r="F837" s="4">
        <f>CHOOSE( CONTROL!$C$32, 28.4548, 28.4543) * CHOOSE(CONTROL!$C$15, $D$11, 100%, $F$11)</f>
        <v>28.454799999999999</v>
      </c>
      <c r="G837" s="8">
        <f>CHOOSE( CONTROL!$C$32, 27.4286, 27.4281) * CHOOSE( CONTROL!$C$15, $D$11, 100%, $F$11)</f>
        <v>27.428599999999999</v>
      </c>
      <c r="H837" s="4">
        <f>CHOOSE( CONTROL!$C$32, 28.3682, 28.3678) * CHOOSE(CONTROL!$C$15, $D$11, 100%, $F$11)</f>
        <v>28.368200000000002</v>
      </c>
      <c r="I837" s="8">
        <f>CHOOSE( CONTROL!$C$32, 27.0119, 27.0114) * CHOOSE(CONTROL!$C$15, $D$11, 100%, $F$11)</f>
        <v>27.011900000000001</v>
      </c>
      <c r="J837" s="4">
        <f>CHOOSE( CONTROL!$C$32, 26.9185, 26.918) * CHOOSE(CONTROL!$C$15, $D$11, 100%, $F$11)</f>
        <v>26.918500000000002</v>
      </c>
      <c r="K837" s="4"/>
      <c r="L837" s="9">
        <v>30.7165</v>
      </c>
      <c r="M837" s="9">
        <v>12.063700000000001</v>
      </c>
      <c r="N837" s="9">
        <v>4.9444999999999997</v>
      </c>
      <c r="O837" s="9">
        <v>0.37409999999999999</v>
      </c>
      <c r="P837" s="9">
        <v>1.2927</v>
      </c>
      <c r="Q837" s="9">
        <v>19.688099999999999</v>
      </c>
      <c r="R837" s="9"/>
      <c r="S837" s="11"/>
    </row>
    <row r="838" spans="1:19" ht="15.75">
      <c r="A838" s="13">
        <v>66657</v>
      </c>
      <c r="B838" s="8">
        <f>CHOOSE( CONTROL!$C$32, 27.3019, 27.3015) * CHOOSE(CONTROL!$C$15, $D$11, 100%, $F$11)</f>
        <v>27.3019</v>
      </c>
      <c r="C838" s="8">
        <f>CHOOSE( CONTROL!$C$32, 27.3099, 27.3094) * CHOOSE(CONTROL!$C$15, $D$11, 100%, $F$11)</f>
        <v>27.309899999999999</v>
      </c>
      <c r="D838" s="8">
        <f>CHOOSE( CONTROL!$C$32, 27.3046, 27.3041) * CHOOSE( CONTROL!$C$15, $D$11, 100%, $F$11)</f>
        <v>27.304600000000001</v>
      </c>
      <c r="E838" s="12">
        <f>CHOOSE( CONTROL!$C$32, 27.3053, 27.3048) * CHOOSE( CONTROL!$C$15, $D$11, 100%, $F$11)</f>
        <v>27.305299999999999</v>
      </c>
      <c r="F838" s="4">
        <f>CHOOSE( CONTROL!$C$32, 28.0089, 28.0084) * CHOOSE(CONTROL!$C$15, $D$11, 100%, $F$11)</f>
        <v>28.008900000000001</v>
      </c>
      <c r="G838" s="8">
        <f>CHOOSE( CONTROL!$C$32, 26.9882, 26.9878) * CHOOSE( CONTROL!$C$15, $D$11, 100%, $F$11)</f>
        <v>26.988199999999999</v>
      </c>
      <c r="H838" s="4">
        <f>CHOOSE( CONTROL!$C$32, 27.9275, 27.927) * CHOOSE(CONTROL!$C$15, $D$11, 100%, $F$11)</f>
        <v>27.927499999999998</v>
      </c>
      <c r="I838" s="8">
        <f>CHOOSE( CONTROL!$C$32, 26.5803, 26.5798) * CHOOSE(CONTROL!$C$15, $D$11, 100%, $F$11)</f>
        <v>26.580300000000001</v>
      </c>
      <c r="J838" s="4">
        <f>CHOOSE( CONTROL!$C$32, 26.4857, 26.4852) * CHOOSE(CONTROL!$C$15, $D$11, 100%, $F$11)</f>
        <v>26.485700000000001</v>
      </c>
      <c r="K838" s="4"/>
      <c r="L838" s="9">
        <v>29.7257</v>
      </c>
      <c r="M838" s="9">
        <v>11.6745</v>
      </c>
      <c r="N838" s="9">
        <v>4.7850000000000001</v>
      </c>
      <c r="O838" s="9">
        <v>0.36199999999999999</v>
      </c>
      <c r="P838" s="9">
        <v>1.2509999999999999</v>
      </c>
      <c r="Q838" s="9">
        <v>19.053000000000001</v>
      </c>
      <c r="R838" s="9"/>
      <c r="S838" s="11"/>
    </row>
    <row r="839" spans="1:19" ht="15.75">
      <c r="A839" s="13">
        <v>66688</v>
      </c>
      <c r="B839" s="8">
        <f>CHOOSE( CONTROL!$C$32, 28.4762, 28.4758) * CHOOSE(CONTROL!$C$15, $D$11, 100%, $F$11)</f>
        <v>28.476199999999999</v>
      </c>
      <c r="C839" s="8">
        <f>CHOOSE( CONTROL!$C$32, 28.4842, 28.4837) * CHOOSE(CONTROL!$C$15, $D$11, 100%, $F$11)</f>
        <v>28.484200000000001</v>
      </c>
      <c r="D839" s="8">
        <f>CHOOSE( CONTROL!$C$32, 28.4794, 28.4789) * CHOOSE( CONTROL!$C$15, $D$11, 100%, $F$11)</f>
        <v>28.479399999999998</v>
      </c>
      <c r="E839" s="12">
        <f>CHOOSE( CONTROL!$C$32, 28.4799, 28.4794) * CHOOSE( CONTROL!$C$15, $D$11, 100%, $F$11)</f>
        <v>28.479900000000001</v>
      </c>
      <c r="F839" s="4">
        <f>CHOOSE( CONTROL!$C$32, 29.1832, 29.1827) * CHOOSE(CONTROL!$C$15, $D$11, 100%, $F$11)</f>
        <v>29.183199999999999</v>
      </c>
      <c r="G839" s="8">
        <f>CHOOSE( CONTROL!$C$32, 28.1491, 28.1487) * CHOOSE( CONTROL!$C$15, $D$11, 100%, $F$11)</f>
        <v>28.149100000000001</v>
      </c>
      <c r="H839" s="4">
        <f>CHOOSE( CONTROL!$C$32, 29.088, 29.0876) * CHOOSE(CONTROL!$C$15, $D$11, 100%, $F$11)</f>
        <v>29.088000000000001</v>
      </c>
      <c r="I839" s="8">
        <f>CHOOSE( CONTROL!$C$32, 27.7221, 27.7216) * CHOOSE(CONTROL!$C$15, $D$11, 100%, $F$11)</f>
        <v>27.722100000000001</v>
      </c>
      <c r="J839" s="4">
        <f>CHOOSE( CONTROL!$C$32, 27.6254, 27.6249) * CHOOSE(CONTROL!$C$15, $D$11, 100%, $F$11)</f>
        <v>27.625399999999999</v>
      </c>
      <c r="K839" s="4"/>
      <c r="L839" s="9">
        <v>30.7165</v>
      </c>
      <c r="M839" s="9">
        <v>12.063700000000001</v>
      </c>
      <c r="N839" s="9">
        <v>4.9444999999999997</v>
      </c>
      <c r="O839" s="9">
        <v>0.37409999999999999</v>
      </c>
      <c r="P839" s="9">
        <v>1.2927</v>
      </c>
      <c r="Q839" s="9">
        <v>19.688099999999999</v>
      </c>
      <c r="R839" s="9"/>
      <c r="S839" s="11"/>
    </row>
    <row r="840" spans="1:19" ht="15.75">
      <c r="A840" s="13">
        <v>66719</v>
      </c>
      <c r="B840" s="8">
        <f>CHOOSE( CONTROL!$C$32, 26.279, 26.2785) * CHOOSE(CONTROL!$C$15, $D$11, 100%, $F$11)</f>
        <v>26.279</v>
      </c>
      <c r="C840" s="8">
        <f>CHOOSE( CONTROL!$C$32, 26.2869, 26.2865) * CHOOSE(CONTROL!$C$15, $D$11, 100%, $F$11)</f>
        <v>26.286899999999999</v>
      </c>
      <c r="D840" s="8">
        <f>CHOOSE( CONTROL!$C$32, 26.2822, 26.2818) * CHOOSE( CONTROL!$C$15, $D$11, 100%, $F$11)</f>
        <v>26.2822</v>
      </c>
      <c r="E840" s="12">
        <f>CHOOSE( CONTROL!$C$32, 26.2827, 26.2823) * CHOOSE( CONTROL!$C$15, $D$11, 100%, $F$11)</f>
        <v>26.282699999999998</v>
      </c>
      <c r="F840" s="4">
        <f>CHOOSE( CONTROL!$C$32, 26.9859, 26.9854) * CHOOSE(CONTROL!$C$15, $D$11, 100%, $F$11)</f>
        <v>26.985900000000001</v>
      </c>
      <c r="G840" s="8">
        <f>CHOOSE( CONTROL!$C$32, 25.9777, 25.9772) * CHOOSE( CONTROL!$C$15, $D$11, 100%, $F$11)</f>
        <v>25.977699999999999</v>
      </c>
      <c r="H840" s="4">
        <f>CHOOSE( CONTROL!$C$32, 26.9165, 26.9161) * CHOOSE(CONTROL!$C$15, $D$11, 100%, $F$11)</f>
        <v>26.916499999999999</v>
      </c>
      <c r="I840" s="8">
        <f>CHOOSE( CONTROL!$C$32, 25.589, 25.5886) * CHOOSE(CONTROL!$C$15, $D$11, 100%, $F$11)</f>
        <v>25.588999999999999</v>
      </c>
      <c r="J840" s="4">
        <f>CHOOSE( CONTROL!$C$32, 25.4929, 25.4925) * CHOOSE(CONTROL!$C$15, $D$11, 100%, $F$11)</f>
        <v>25.492899999999999</v>
      </c>
      <c r="K840" s="4"/>
      <c r="L840" s="9">
        <v>30.7165</v>
      </c>
      <c r="M840" s="9">
        <v>12.063700000000001</v>
      </c>
      <c r="N840" s="9">
        <v>4.9444999999999997</v>
      </c>
      <c r="O840" s="9">
        <v>0.37409999999999999</v>
      </c>
      <c r="P840" s="9">
        <v>1.2927</v>
      </c>
      <c r="Q840" s="9">
        <v>19.688099999999999</v>
      </c>
      <c r="R840" s="9"/>
      <c r="S840" s="11"/>
    </row>
    <row r="841" spans="1:19" ht="15.75">
      <c r="A841" s="13">
        <v>66749</v>
      </c>
      <c r="B841" s="8">
        <f>CHOOSE( CONTROL!$C$32, 25.7287, 25.7283) * CHOOSE(CONTROL!$C$15, $D$11, 100%, $F$11)</f>
        <v>25.7287</v>
      </c>
      <c r="C841" s="8">
        <f>CHOOSE( CONTROL!$C$32, 25.7367, 25.7363) * CHOOSE(CONTROL!$C$15, $D$11, 100%, $F$11)</f>
        <v>25.736699999999999</v>
      </c>
      <c r="D841" s="8">
        <f>CHOOSE( CONTROL!$C$32, 25.7319, 25.7314) * CHOOSE( CONTROL!$C$15, $D$11, 100%, $F$11)</f>
        <v>25.7319</v>
      </c>
      <c r="E841" s="12">
        <f>CHOOSE( CONTROL!$C$32, 25.7324, 25.732) * CHOOSE( CONTROL!$C$15, $D$11, 100%, $F$11)</f>
        <v>25.732399999999998</v>
      </c>
      <c r="F841" s="4">
        <f>CHOOSE( CONTROL!$C$32, 26.4357, 26.4352) * CHOOSE(CONTROL!$C$15, $D$11, 100%, $F$11)</f>
        <v>26.435700000000001</v>
      </c>
      <c r="G841" s="8">
        <f>CHOOSE( CONTROL!$C$32, 25.4338, 25.4334) * CHOOSE( CONTROL!$C$15, $D$11, 100%, $F$11)</f>
        <v>25.433800000000002</v>
      </c>
      <c r="H841" s="4">
        <f>CHOOSE( CONTROL!$C$32, 26.3727, 26.3723) * CHOOSE(CONTROL!$C$15, $D$11, 100%, $F$11)</f>
        <v>26.372699999999998</v>
      </c>
      <c r="I841" s="8">
        <f>CHOOSE( CONTROL!$C$32, 25.0543, 25.0538) * CHOOSE(CONTROL!$C$15, $D$11, 100%, $F$11)</f>
        <v>25.054300000000001</v>
      </c>
      <c r="J841" s="4">
        <f>CHOOSE( CONTROL!$C$32, 24.9589, 24.9585) * CHOOSE(CONTROL!$C$15, $D$11, 100%, $F$11)</f>
        <v>24.9589</v>
      </c>
      <c r="K841" s="4"/>
      <c r="L841" s="9">
        <v>29.7257</v>
      </c>
      <c r="M841" s="9">
        <v>11.6745</v>
      </c>
      <c r="N841" s="9">
        <v>4.7850000000000001</v>
      </c>
      <c r="O841" s="9">
        <v>0.36199999999999999</v>
      </c>
      <c r="P841" s="9">
        <v>1.2509999999999999</v>
      </c>
      <c r="Q841" s="9">
        <v>19.053000000000001</v>
      </c>
      <c r="R841" s="9"/>
      <c r="S841" s="11"/>
    </row>
    <row r="842" spans="1:19" ht="15.75">
      <c r="A842" s="13">
        <v>66780</v>
      </c>
      <c r="B842" s="8">
        <f>CHOOSE( CONTROL!$C$32, 26.8693, 26.869) * CHOOSE(CONTROL!$C$15, $D$11, 100%, $F$11)</f>
        <v>26.869299999999999</v>
      </c>
      <c r="C842" s="8">
        <f>CHOOSE( CONTROL!$C$32, 26.8746, 26.8743) * CHOOSE(CONTROL!$C$15, $D$11, 100%, $F$11)</f>
        <v>26.874600000000001</v>
      </c>
      <c r="D842" s="8">
        <f>CHOOSE( CONTROL!$C$32, 26.8748, 26.8745) * CHOOSE( CONTROL!$C$15, $D$11, 100%, $F$11)</f>
        <v>26.8748</v>
      </c>
      <c r="E842" s="12">
        <f>CHOOSE( CONTROL!$C$32, 26.8742, 26.8739) * CHOOSE( CONTROL!$C$15, $D$11, 100%, $F$11)</f>
        <v>26.874199999999998</v>
      </c>
      <c r="F842" s="4">
        <f>CHOOSE( CONTROL!$C$32, 27.5779, 27.5777) * CHOOSE(CONTROL!$C$15, $D$11, 100%, $F$11)</f>
        <v>27.5779</v>
      </c>
      <c r="G842" s="8">
        <f>CHOOSE( CONTROL!$C$32, 26.5626, 26.5624) * CHOOSE( CONTROL!$C$15, $D$11, 100%, $F$11)</f>
        <v>26.5626</v>
      </c>
      <c r="H842" s="4">
        <f>CHOOSE( CONTROL!$C$32, 27.5016, 27.5014) * CHOOSE(CONTROL!$C$15, $D$11, 100%, $F$11)</f>
        <v>27.5016</v>
      </c>
      <c r="I842" s="8">
        <f>CHOOSE( CONTROL!$C$32, 26.1641, 26.1638) * CHOOSE(CONTROL!$C$15, $D$11, 100%, $F$11)</f>
        <v>26.164100000000001</v>
      </c>
      <c r="J842" s="4">
        <f>CHOOSE( CONTROL!$C$32, 26.0675, 26.0672) * CHOOSE(CONTROL!$C$15, $D$11, 100%, $F$11)</f>
        <v>26.067499999999999</v>
      </c>
      <c r="K842" s="4"/>
      <c r="L842" s="9">
        <v>31.095300000000002</v>
      </c>
      <c r="M842" s="9">
        <v>12.063700000000001</v>
      </c>
      <c r="N842" s="9">
        <v>4.9444999999999997</v>
      </c>
      <c r="O842" s="9">
        <v>0.37409999999999999</v>
      </c>
      <c r="P842" s="9">
        <v>1.2927</v>
      </c>
      <c r="Q842" s="9">
        <v>19.688099999999999</v>
      </c>
      <c r="R842" s="9"/>
      <c r="S842" s="11"/>
    </row>
    <row r="843" spans="1:19" ht="15.75">
      <c r="A843" s="13">
        <v>66810</v>
      </c>
      <c r="B843" s="8">
        <f>CHOOSE( CONTROL!$C$32, 28.9776, 28.9773) * CHOOSE(CONTROL!$C$15, $D$11, 100%, $F$11)</f>
        <v>28.977599999999999</v>
      </c>
      <c r="C843" s="8">
        <f>CHOOSE( CONTROL!$C$32, 28.9827, 28.9824) * CHOOSE(CONTROL!$C$15, $D$11, 100%, $F$11)</f>
        <v>28.982700000000001</v>
      </c>
      <c r="D843" s="8">
        <f>CHOOSE( CONTROL!$C$32, 28.9505, 28.9503) * CHOOSE( CONTROL!$C$15, $D$11, 100%, $F$11)</f>
        <v>28.950500000000002</v>
      </c>
      <c r="E843" s="12">
        <f>CHOOSE( CONTROL!$C$32, 28.9617, 28.9615) * CHOOSE( CONTROL!$C$15, $D$11, 100%, $F$11)</f>
        <v>28.9617</v>
      </c>
      <c r="F843" s="4">
        <f>CHOOSE( CONTROL!$C$32, 29.6429, 29.6426) * CHOOSE(CONTROL!$C$15, $D$11, 100%, $F$11)</f>
        <v>29.642900000000001</v>
      </c>
      <c r="G843" s="8">
        <f>CHOOSE( CONTROL!$C$32, 28.6356, 28.6353) * CHOOSE( CONTROL!$C$15, $D$11, 100%, $F$11)</f>
        <v>28.6356</v>
      </c>
      <c r="H843" s="4">
        <f>CHOOSE( CONTROL!$C$32, 29.5424, 29.5421) * CHOOSE(CONTROL!$C$15, $D$11, 100%, $F$11)</f>
        <v>29.542400000000001</v>
      </c>
      <c r="I843" s="8">
        <f>CHOOSE( CONTROL!$C$32, 28.2624, 28.2622) * CHOOSE(CONTROL!$C$15, $D$11, 100%, $F$11)</f>
        <v>28.2624</v>
      </c>
      <c r="J843" s="4">
        <f>CHOOSE( CONTROL!$C$32, 28.114, 28.1137) * CHOOSE(CONTROL!$C$15, $D$11, 100%, $F$11)</f>
        <v>28.114000000000001</v>
      </c>
      <c r="K843" s="4"/>
      <c r="L843" s="9">
        <v>28.360600000000002</v>
      </c>
      <c r="M843" s="9">
        <v>11.6745</v>
      </c>
      <c r="N843" s="9">
        <v>4.7850000000000001</v>
      </c>
      <c r="O843" s="9">
        <v>0.36199999999999999</v>
      </c>
      <c r="P843" s="9">
        <v>1.2509999999999999</v>
      </c>
      <c r="Q843" s="9">
        <v>19.053000000000001</v>
      </c>
      <c r="R843" s="9"/>
      <c r="S843" s="11"/>
    </row>
    <row r="844" spans="1:19" ht="15.75">
      <c r="A844" s="13">
        <v>66841</v>
      </c>
      <c r="B844" s="8">
        <f>CHOOSE( CONTROL!$C$32, 28.9249, 28.9246) * CHOOSE(CONTROL!$C$15, $D$11, 100%, $F$11)</f>
        <v>28.924900000000001</v>
      </c>
      <c r="C844" s="8">
        <f>CHOOSE( CONTROL!$C$32, 28.93, 28.9297) * CHOOSE(CONTROL!$C$15, $D$11, 100%, $F$11)</f>
        <v>28.93</v>
      </c>
      <c r="D844" s="8">
        <f>CHOOSE( CONTROL!$C$32, 28.8997, 28.8994) * CHOOSE( CONTROL!$C$15, $D$11, 100%, $F$11)</f>
        <v>28.899699999999999</v>
      </c>
      <c r="E844" s="12">
        <f>CHOOSE( CONTROL!$C$32, 28.9102, 28.9099) * CHOOSE( CONTROL!$C$15, $D$11, 100%, $F$11)</f>
        <v>28.9102</v>
      </c>
      <c r="F844" s="4">
        <f>CHOOSE( CONTROL!$C$32, 29.5902, 29.5899) * CHOOSE(CONTROL!$C$15, $D$11, 100%, $F$11)</f>
        <v>29.590199999999999</v>
      </c>
      <c r="G844" s="8">
        <f>CHOOSE( CONTROL!$C$32, 28.5849, 28.5846) * CHOOSE( CONTROL!$C$15, $D$11, 100%, $F$11)</f>
        <v>28.584900000000001</v>
      </c>
      <c r="H844" s="4">
        <f>CHOOSE( CONTROL!$C$32, 29.4903, 29.49) * CHOOSE(CONTROL!$C$15, $D$11, 100%, $F$11)</f>
        <v>29.490300000000001</v>
      </c>
      <c r="I844" s="8">
        <f>CHOOSE( CONTROL!$C$32, 28.217, 28.2167) * CHOOSE(CONTROL!$C$15, $D$11, 100%, $F$11)</f>
        <v>28.216999999999999</v>
      </c>
      <c r="J844" s="4">
        <f>CHOOSE( CONTROL!$C$32, 28.0629, 28.0626) * CHOOSE(CONTROL!$C$15, $D$11, 100%, $F$11)</f>
        <v>28.062899999999999</v>
      </c>
      <c r="K844" s="4"/>
      <c r="L844" s="9">
        <v>29.306000000000001</v>
      </c>
      <c r="M844" s="9">
        <v>12.063700000000001</v>
      </c>
      <c r="N844" s="9">
        <v>4.9444999999999997</v>
      </c>
      <c r="O844" s="9">
        <v>0.37409999999999999</v>
      </c>
      <c r="P844" s="9">
        <v>1.2927</v>
      </c>
      <c r="Q844" s="9">
        <v>19.688099999999999</v>
      </c>
      <c r="R844" s="9"/>
      <c r="S844" s="11"/>
    </row>
    <row r="845" spans="1:19" ht="15.75">
      <c r="A845" s="13">
        <v>66872</v>
      </c>
      <c r="B845" s="8">
        <f>CHOOSE( CONTROL!$C$32, 29.7778, 29.7776) * CHOOSE(CONTROL!$C$15, $D$11, 100%, $F$11)</f>
        <v>29.777799999999999</v>
      </c>
      <c r="C845" s="8">
        <f>CHOOSE( CONTROL!$C$32, 29.7829, 29.7826) * CHOOSE(CONTROL!$C$15, $D$11, 100%, $F$11)</f>
        <v>29.782900000000001</v>
      </c>
      <c r="D845" s="8">
        <f>CHOOSE( CONTROL!$C$32, 29.7805, 29.7803) * CHOOSE( CONTROL!$C$15, $D$11, 100%, $F$11)</f>
        <v>29.7805</v>
      </c>
      <c r="E845" s="12">
        <f>CHOOSE( CONTROL!$C$32, 29.7808, 29.7806) * CHOOSE( CONTROL!$C$15, $D$11, 100%, $F$11)</f>
        <v>29.780799999999999</v>
      </c>
      <c r="F845" s="4">
        <f>CHOOSE( CONTROL!$C$32, 30.4431, 30.4428) * CHOOSE(CONTROL!$C$15, $D$11, 100%, $F$11)</f>
        <v>30.443100000000001</v>
      </c>
      <c r="G845" s="8">
        <f>CHOOSE( CONTROL!$C$32, 29.4439, 29.4437) * CHOOSE( CONTROL!$C$15, $D$11, 100%, $F$11)</f>
        <v>29.443899999999999</v>
      </c>
      <c r="H845" s="4">
        <f>CHOOSE( CONTROL!$C$32, 30.3332, 30.333) * CHOOSE(CONTROL!$C$15, $D$11, 100%, $F$11)</f>
        <v>30.333200000000001</v>
      </c>
      <c r="I845" s="8">
        <f>CHOOSE( CONTROL!$C$32, 29.0187, 29.0184) * CHOOSE(CONTROL!$C$15, $D$11, 100%, $F$11)</f>
        <v>29.018699999999999</v>
      </c>
      <c r="J845" s="4">
        <f>CHOOSE( CONTROL!$C$32, 28.8906, 28.8904) * CHOOSE(CONTROL!$C$15, $D$11, 100%, $F$11)</f>
        <v>28.890599999999999</v>
      </c>
      <c r="K845" s="4"/>
      <c r="L845" s="9">
        <v>29.306000000000001</v>
      </c>
      <c r="M845" s="9">
        <v>12.063700000000001</v>
      </c>
      <c r="N845" s="9">
        <v>4.9444999999999997</v>
      </c>
      <c r="O845" s="9">
        <v>0.37409999999999999</v>
      </c>
      <c r="P845" s="9">
        <v>1.2927</v>
      </c>
      <c r="Q845" s="9">
        <v>19.688099999999999</v>
      </c>
      <c r="R845" s="9"/>
      <c r="S845" s="11"/>
    </row>
    <row r="846" spans="1:19" ht="15.75">
      <c r="A846" s="13">
        <v>66900</v>
      </c>
      <c r="B846" s="8">
        <f>CHOOSE( CONTROL!$C$32, 27.8533, 27.8531) * CHOOSE(CONTROL!$C$15, $D$11, 100%, $F$11)</f>
        <v>27.853300000000001</v>
      </c>
      <c r="C846" s="8">
        <f>CHOOSE( CONTROL!$C$32, 27.8584, 27.8581) * CHOOSE(CONTROL!$C$15, $D$11, 100%, $F$11)</f>
        <v>27.8584</v>
      </c>
      <c r="D846" s="8">
        <f>CHOOSE( CONTROL!$C$32, 27.8384, 27.8381) * CHOOSE( CONTROL!$C$15, $D$11, 100%, $F$11)</f>
        <v>27.8384</v>
      </c>
      <c r="E846" s="12">
        <f>CHOOSE( CONTROL!$C$32, 27.8452, 27.8449) * CHOOSE( CONTROL!$C$15, $D$11, 100%, $F$11)</f>
        <v>27.845199999999998</v>
      </c>
      <c r="F846" s="4">
        <f>CHOOSE( CONTROL!$C$32, 28.5186, 28.5184) * CHOOSE(CONTROL!$C$15, $D$11, 100%, $F$11)</f>
        <v>28.518599999999999</v>
      </c>
      <c r="G846" s="8">
        <f>CHOOSE( CONTROL!$C$32, 27.5308, 27.5306) * CHOOSE( CONTROL!$C$15, $D$11, 100%, $F$11)</f>
        <v>27.530799999999999</v>
      </c>
      <c r="H846" s="4">
        <f>CHOOSE( CONTROL!$C$32, 28.4313, 28.431) * CHOOSE(CONTROL!$C$15, $D$11, 100%, $F$11)</f>
        <v>28.4313</v>
      </c>
      <c r="I846" s="8">
        <f>CHOOSE( CONTROL!$C$32, 27.1505, 27.1502) * CHOOSE(CONTROL!$C$15, $D$11, 100%, $F$11)</f>
        <v>27.150500000000001</v>
      </c>
      <c r="J846" s="4">
        <f>CHOOSE( CONTROL!$C$32, 27.0229, 27.0227) * CHOOSE(CONTROL!$C$15, $D$11, 100%, $F$11)</f>
        <v>27.0229</v>
      </c>
      <c r="K846" s="4"/>
      <c r="L846" s="9">
        <v>26.469899999999999</v>
      </c>
      <c r="M846" s="9">
        <v>10.8962</v>
      </c>
      <c r="N846" s="9">
        <v>4.4660000000000002</v>
      </c>
      <c r="O846" s="9">
        <v>0.33789999999999998</v>
      </c>
      <c r="P846" s="9">
        <v>1.1676</v>
      </c>
      <c r="Q846" s="9">
        <v>17.782800000000002</v>
      </c>
      <c r="R846" s="9"/>
      <c r="S846" s="11"/>
    </row>
    <row r="847" spans="1:19" ht="15.75">
      <c r="A847" s="13">
        <v>66931</v>
      </c>
      <c r="B847" s="8">
        <f>CHOOSE( CONTROL!$C$32, 27.2606, 27.2603) * CHOOSE(CONTROL!$C$15, $D$11, 100%, $F$11)</f>
        <v>27.2606</v>
      </c>
      <c r="C847" s="8">
        <f>CHOOSE( CONTROL!$C$32, 27.2657, 27.2654) * CHOOSE(CONTROL!$C$15, $D$11, 100%, $F$11)</f>
        <v>27.265699999999999</v>
      </c>
      <c r="D847" s="8">
        <f>CHOOSE( CONTROL!$C$32, 27.2357, 27.2354) * CHOOSE( CONTROL!$C$15, $D$11, 100%, $F$11)</f>
        <v>27.235700000000001</v>
      </c>
      <c r="E847" s="12">
        <f>CHOOSE( CONTROL!$C$32, 27.2461, 27.2458) * CHOOSE( CONTROL!$C$15, $D$11, 100%, $F$11)</f>
        <v>27.246099999999998</v>
      </c>
      <c r="F847" s="4">
        <f>CHOOSE( CONTROL!$C$32, 27.9259, 27.9256) * CHOOSE(CONTROL!$C$15, $D$11, 100%, $F$11)</f>
        <v>27.925899999999999</v>
      </c>
      <c r="G847" s="8">
        <f>CHOOSE( CONTROL!$C$32, 26.9318, 26.9315) * CHOOSE( CONTROL!$C$15, $D$11, 100%, $F$11)</f>
        <v>26.931799999999999</v>
      </c>
      <c r="H847" s="4">
        <f>CHOOSE( CONTROL!$C$32, 27.8455, 27.8452) * CHOOSE(CONTROL!$C$15, $D$11, 100%, $F$11)</f>
        <v>27.845500000000001</v>
      </c>
      <c r="I847" s="8">
        <f>CHOOSE( CONTROL!$C$32, 26.5397, 26.5395) * CHOOSE(CONTROL!$C$15, $D$11, 100%, $F$11)</f>
        <v>26.5397</v>
      </c>
      <c r="J847" s="4">
        <f>CHOOSE( CONTROL!$C$32, 26.4477, 26.4474) * CHOOSE(CONTROL!$C$15, $D$11, 100%, $F$11)</f>
        <v>26.447700000000001</v>
      </c>
      <c r="K847" s="4"/>
      <c r="L847" s="9">
        <v>29.306000000000001</v>
      </c>
      <c r="M847" s="9">
        <v>12.063700000000001</v>
      </c>
      <c r="N847" s="9">
        <v>4.9444999999999997</v>
      </c>
      <c r="O847" s="9">
        <v>0.37409999999999999</v>
      </c>
      <c r="P847" s="9">
        <v>1.2927</v>
      </c>
      <c r="Q847" s="9">
        <v>19.688099999999999</v>
      </c>
      <c r="R847" s="9"/>
      <c r="S847" s="11"/>
    </row>
    <row r="848" spans="1:19" ht="15.75">
      <c r="A848" s="13">
        <v>66961</v>
      </c>
      <c r="B848" s="8">
        <f>CHOOSE( CONTROL!$C$32, 27.6756, 27.6753) * CHOOSE(CONTROL!$C$15, $D$11, 100%, $F$11)</f>
        <v>27.675599999999999</v>
      </c>
      <c r="C848" s="8">
        <f>CHOOSE( CONTROL!$C$32, 27.6801, 27.6798) * CHOOSE(CONTROL!$C$15, $D$11, 100%, $F$11)</f>
        <v>27.680099999999999</v>
      </c>
      <c r="D848" s="8">
        <f>CHOOSE( CONTROL!$C$32, 27.6796, 27.6793) * CHOOSE( CONTROL!$C$15, $D$11, 100%, $F$11)</f>
        <v>27.679600000000001</v>
      </c>
      <c r="E848" s="12">
        <f>CHOOSE( CONTROL!$C$32, 27.6793, 27.679) * CHOOSE( CONTROL!$C$15, $D$11, 100%, $F$11)</f>
        <v>27.679300000000001</v>
      </c>
      <c r="F848" s="4">
        <f>CHOOSE( CONTROL!$C$32, 28.3839, 28.3836) * CHOOSE(CONTROL!$C$15, $D$11, 100%, $F$11)</f>
        <v>28.383900000000001</v>
      </c>
      <c r="G848" s="8">
        <f>CHOOSE( CONTROL!$C$32, 27.3582, 27.3579) * CHOOSE( CONTROL!$C$15, $D$11, 100%, $F$11)</f>
        <v>27.3582</v>
      </c>
      <c r="H848" s="4">
        <f>CHOOSE( CONTROL!$C$32, 28.2981, 28.2978) * CHOOSE(CONTROL!$C$15, $D$11, 100%, $F$11)</f>
        <v>28.298100000000002</v>
      </c>
      <c r="I848" s="8">
        <f>CHOOSE( CONTROL!$C$32, 26.9424, 26.9422) * CHOOSE(CONTROL!$C$15, $D$11, 100%, $F$11)</f>
        <v>26.942399999999999</v>
      </c>
      <c r="J848" s="4">
        <f>CHOOSE( CONTROL!$C$32, 26.8496, 26.8494) * CHOOSE(CONTROL!$C$15, $D$11, 100%, $F$11)</f>
        <v>26.849599999999999</v>
      </c>
      <c r="K848" s="4"/>
      <c r="L848" s="9">
        <v>30.092199999999998</v>
      </c>
      <c r="M848" s="9">
        <v>11.6745</v>
      </c>
      <c r="N848" s="9">
        <v>4.7850000000000001</v>
      </c>
      <c r="O848" s="9">
        <v>0.36199999999999999</v>
      </c>
      <c r="P848" s="9">
        <v>1.2509999999999999</v>
      </c>
      <c r="Q848" s="9">
        <v>19.053000000000001</v>
      </c>
      <c r="R848" s="9"/>
      <c r="S848" s="11"/>
    </row>
    <row r="849" spans="1:19" ht="15.75">
      <c r="A849" s="13">
        <v>66992</v>
      </c>
      <c r="B849" s="8">
        <f>CHOOSE( CONTROL!$C$32, 28.4143, 28.4138) * CHOOSE(CONTROL!$C$15, $D$11, 100%, $F$11)</f>
        <v>28.414300000000001</v>
      </c>
      <c r="C849" s="8">
        <f>CHOOSE( CONTROL!$C$32, 28.4223, 28.4218) * CHOOSE(CONTROL!$C$15, $D$11, 100%, $F$11)</f>
        <v>28.4223</v>
      </c>
      <c r="D849" s="8">
        <f>CHOOSE( CONTROL!$C$32, 28.4165, 28.4161) * CHOOSE( CONTROL!$C$15, $D$11, 100%, $F$11)</f>
        <v>28.416499999999999</v>
      </c>
      <c r="E849" s="12">
        <f>CHOOSE( CONTROL!$C$32, 28.4174, 28.4169) * CHOOSE( CONTROL!$C$15, $D$11, 100%, $F$11)</f>
        <v>28.417400000000001</v>
      </c>
      <c r="F849" s="4">
        <f>CHOOSE( CONTROL!$C$32, 29.1212, 29.1208) * CHOOSE(CONTROL!$C$15, $D$11, 100%, $F$11)</f>
        <v>29.121200000000002</v>
      </c>
      <c r="G849" s="8">
        <f>CHOOSE( CONTROL!$C$32, 28.0872, 28.0868) * CHOOSE( CONTROL!$C$15, $D$11, 100%, $F$11)</f>
        <v>28.087199999999999</v>
      </c>
      <c r="H849" s="4">
        <f>CHOOSE( CONTROL!$C$32, 29.0268, 29.0264) * CHOOSE(CONTROL!$C$15, $D$11, 100%, $F$11)</f>
        <v>29.026800000000001</v>
      </c>
      <c r="I849" s="8">
        <f>CHOOSE( CONTROL!$C$32, 27.659, 27.6585) * CHOOSE(CONTROL!$C$15, $D$11, 100%, $F$11)</f>
        <v>27.658999999999999</v>
      </c>
      <c r="J849" s="4">
        <f>CHOOSE( CONTROL!$C$32, 27.5652, 27.5648) * CHOOSE(CONTROL!$C$15, $D$11, 100%, $F$11)</f>
        <v>27.565200000000001</v>
      </c>
      <c r="K849" s="4"/>
      <c r="L849" s="9">
        <v>30.7165</v>
      </c>
      <c r="M849" s="9">
        <v>12.063700000000001</v>
      </c>
      <c r="N849" s="9">
        <v>4.9444999999999997</v>
      </c>
      <c r="O849" s="9">
        <v>0.37409999999999999</v>
      </c>
      <c r="P849" s="9">
        <v>1.2927</v>
      </c>
      <c r="Q849" s="9">
        <v>19.688099999999999</v>
      </c>
      <c r="R849" s="9"/>
      <c r="S849" s="11"/>
    </row>
    <row r="850" spans="1:19" ht="15.75">
      <c r="A850" s="13">
        <v>67022</v>
      </c>
      <c r="B850" s="8">
        <f>CHOOSE( CONTROL!$C$32, 27.9576, 27.9572) * CHOOSE(CONTROL!$C$15, $D$11, 100%, $F$11)</f>
        <v>27.957599999999999</v>
      </c>
      <c r="C850" s="8">
        <f>CHOOSE( CONTROL!$C$32, 27.9656, 27.9651) * CHOOSE(CONTROL!$C$15, $D$11, 100%, $F$11)</f>
        <v>27.965599999999998</v>
      </c>
      <c r="D850" s="8">
        <f>CHOOSE( CONTROL!$C$32, 27.9603, 27.9599) * CHOOSE( CONTROL!$C$15, $D$11, 100%, $F$11)</f>
        <v>27.9603</v>
      </c>
      <c r="E850" s="12">
        <f>CHOOSE( CONTROL!$C$32, 27.961, 27.9606) * CHOOSE( CONTROL!$C$15, $D$11, 100%, $F$11)</f>
        <v>27.960999999999999</v>
      </c>
      <c r="F850" s="4">
        <f>CHOOSE( CONTROL!$C$32, 28.6646, 28.6641) * CHOOSE(CONTROL!$C$15, $D$11, 100%, $F$11)</f>
        <v>28.6646</v>
      </c>
      <c r="G850" s="8">
        <f>CHOOSE( CONTROL!$C$32, 27.6362, 27.6358) * CHOOSE( CONTROL!$C$15, $D$11, 100%, $F$11)</f>
        <v>27.636199999999999</v>
      </c>
      <c r="H850" s="4">
        <f>CHOOSE( CONTROL!$C$32, 28.5755, 28.5751) * CHOOSE(CONTROL!$C$15, $D$11, 100%, $F$11)</f>
        <v>28.575500000000002</v>
      </c>
      <c r="I850" s="8">
        <f>CHOOSE( CONTROL!$C$32, 27.217, 27.2165) * CHOOSE(CONTROL!$C$15, $D$11, 100%, $F$11)</f>
        <v>27.216999999999999</v>
      </c>
      <c r="J850" s="4">
        <f>CHOOSE( CONTROL!$C$32, 27.1221, 27.1216) * CHOOSE(CONTROL!$C$15, $D$11, 100%, $F$11)</f>
        <v>27.1221</v>
      </c>
      <c r="K850" s="4"/>
      <c r="L850" s="9">
        <v>29.7257</v>
      </c>
      <c r="M850" s="9">
        <v>11.6745</v>
      </c>
      <c r="N850" s="9">
        <v>4.7850000000000001</v>
      </c>
      <c r="O850" s="9">
        <v>0.36199999999999999</v>
      </c>
      <c r="P850" s="9">
        <v>1.2509999999999999</v>
      </c>
      <c r="Q850" s="9">
        <v>19.053000000000001</v>
      </c>
      <c r="R850" s="9"/>
      <c r="S850" s="11"/>
    </row>
    <row r="851" spans="1:19" ht="15.75">
      <c r="A851" s="13">
        <v>67053</v>
      </c>
      <c r="B851" s="8">
        <f>CHOOSE( CONTROL!$C$32, 29.1602, 29.1597) * CHOOSE(CONTROL!$C$15, $D$11, 100%, $F$11)</f>
        <v>29.1602</v>
      </c>
      <c r="C851" s="8">
        <f>CHOOSE( CONTROL!$C$32, 29.1681, 29.1677) * CHOOSE(CONTROL!$C$15, $D$11, 100%, $F$11)</f>
        <v>29.168099999999999</v>
      </c>
      <c r="D851" s="8">
        <f>CHOOSE( CONTROL!$C$32, 29.1633, 29.1628) * CHOOSE( CONTROL!$C$15, $D$11, 100%, $F$11)</f>
        <v>29.1633</v>
      </c>
      <c r="E851" s="12">
        <f>CHOOSE( CONTROL!$C$32, 29.1638, 29.1634) * CHOOSE( CONTROL!$C$15, $D$11, 100%, $F$11)</f>
        <v>29.163799999999998</v>
      </c>
      <c r="F851" s="4">
        <f>CHOOSE( CONTROL!$C$32, 29.8671, 29.8666) * CHOOSE(CONTROL!$C$15, $D$11, 100%, $F$11)</f>
        <v>29.867100000000001</v>
      </c>
      <c r="G851" s="8">
        <f>CHOOSE( CONTROL!$C$32, 28.825, 28.8246) * CHOOSE( CONTROL!$C$15, $D$11, 100%, $F$11)</f>
        <v>28.824999999999999</v>
      </c>
      <c r="H851" s="4">
        <f>CHOOSE( CONTROL!$C$32, 29.764, 29.7635) * CHOOSE(CONTROL!$C$15, $D$11, 100%, $F$11)</f>
        <v>29.763999999999999</v>
      </c>
      <c r="I851" s="8">
        <f>CHOOSE( CONTROL!$C$32, 28.3862, 28.3857) * CHOOSE(CONTROL!$C$15, $D$11, 100%, $F$11)</f>
        <v>28.386199999999999</v>
      </c>
      <c r="J851" s="4">
        <f>CHOOSE( CONTROL!$C$32, 28.2891, 28.2887) * CHOOSE(CONTROL!$C$15, $D$11, 100%, $F$11)</f>
        <v>28.289100000000001</v>
      </c>
      <c r="K851" s="4"/>
      <c r="L851" s="9">
        <v>30.7165</v>
      </c>
      <c r="M851" s="9">
        <v>12.063700000000001</v>
      </c>
      <c r="N851" s="9">
        <v>4.9444999999999997</v>
      </c>
      <c r="O851" s="9">
        <v>0.37409999999999999</v>
      </c>
      <c r="P851" s="9">
        <v>1.2927</v>
      </c>
      <c r="Q851" s="9">
        <v>19.688099999999999</v>
      </c>
      <c r="R851" s="9"/>
      <c r="S851" s="11"/>
    </row>
    <row r="852" spans="1:19" ht="15.75">
      <c r="A852" s="13">
        <v>67084</v>
      </c>
      <c r="B852" s="8">
        <f>CHOOSE( CONTROL!$C$32, 26.9101, 26.9096) * CHOOSE(CONTROL!$C$15, $D$11, 100%, $F$11)</f>
        <v>26.9101</v>
      </c>
      <c r="C852" s="8">
        <f>CHOOSE( CONTROL!$C$32, 26.9181, 26.9176) * CHOOSE(CONTROL!$C$15, $D$11, 100%, $F$11)</f>
        <v>26.918099999999999</v>
      </c>
      <c r="D852" s="8">
        <f>CHOOSE( CONTROL!$C$32, 26.9134, 26.9129) * CHOOSE( CONTROL!$C$15, $D$11, 100%, $F$11)</f>
        <v>26.913399999999999</v>
      </c>
      <c r="E852" s="12">
        <f>CHOOSE( CONTROL!$C$32, 26.9139, 26.9134) * CHOOSE( CONTROL!$C$15, $D$11, 100%, $F$11)</f>
        <v>26.913900000000002</v>
      </c>
      <c r="F852" s="4">
        <f>CHOOSE( CONTROL!$C$32, 27.617, 27.6166) * CHOOSE(CONTROL!$C$15, $D$11, 100%, $F$11)</f>
        <v>27.617000000000001</v>
      </c>
      <c r="G852" s="8">
        <f>CHOOSE( CONTROL!$C$32, 26.6014, 26.601) * CHOOSE( CONTROL!$C$15, $D$11, 100%, $F$11)</f>
        <v>26.601400000000002</v>
      </c>
      <c r="H852" s="4">
        <f>CHOOSE( CONTROL!$C$32, 27.5403, 27.5398) * CHOOSE(CONTROL!$C$15, $D$11, 100%, $F$11)</f>
        <v>27.540299999999998</v>
      </c>
      <c r="I852" s="8">
        <f>CHOOSE( CONTROL!$C$32, 26.2019, 26.2014) * CHOOSE(CONTROL!$C$15, $D$11, 100%, $F$11)</f>
        <v>26.201899999999998</v>
      </c>
      <c r="J852" s="4">
        <f>CHOOSE( CONTROL!$C$32, 26.1054, 26.105) * CHOOSE(CONTROL!$C$15, $D$11, 100%, $F$11)</f>
        <v>26.105399999999999</v>
      </c>
      <c r="K852" s="4"/>
      <c r="L852" s="9">
        <v>30.7165</v>
      </c>
      <c r="M852" s="9">
        <v>12.063700000000001</v>
      </c>
      <c r="N852" s="9">
        <v>4.9444999999999997</v>
      </c>
      <c r="O852" s="9">
        <v>0.37409999999999999</v>
      </c>
      <c r="P852" s="9">
        <v>1.2927</v>
      </c>
      <c r="Q852" s="9">
        <v>19.688099999999999</v>
      </c>
      <c r="R852" s="9"/>
      <c r="S852" s="11"/>
    </row>
    <row r="853" spans="1:19" ht="15.75">
      <c r="A853" s="13">
        <v>67114</v>
      </c>
      <c r="B853" s="8">
        <f>CHOOSE( CONTROL!$C$32, 26.3467, 26.3462) * CHOOSE(CONTROL!$C$15, $D$11, 100%, $F$11)</f>
        <v>26.346699999999998</v>
      </c>
      <c r="C853" s="8">
        <f>CHOOSE( CONTROL!$C$32, 26.3546, 26.3542) * CHOOSE(CONTROL!$C$15, $D$11, 100%, $F$11)</f>
        <v>26.354600000000001</v>
      </c>
      <c r="D853" s="8">
        <f>CHOOSE( CONTROL!$C$32, 26.3498, 26.3493) * CHOOSE( CONTROL!$C$15, $D$11, 100%, $F$11)</f>
        <v>26.349799999999998</v>
      </c>
      <c r="E853" s="12">
        <f>CHOOSE( CONTROL!$C$32, 26.3503, 26.3499) * CHOOSE( CONTROL!$C$15, $D$11, 100%, $F$11)</f>
        <v>26.350300000000001</v>
      </c>
      <c r="F853" s="4">
        <f>CHOOSE( CONTROL!$C$32, 27.0536, 27.0531) * CHOOSE(CONTROL!$C$15, $D$11, 100%, $F$11)</f>
        <v>27.053599999999999</v>
      </c>
      <c r="G853" s="8">
        <f>CHOOSE( CONTROL!$C$32, 26.0445, 26.044) * CHOOSE( CONTROL!$C$15, $D$11, 100%, $F$11)</f>
        <v>26.044499999999999</v>
      </c>
      <c r="H853" s="4">
        <f>CHOOSE( CONTROL!$C$32, 26.9834, 26.983) * CHOOSE(CONTROL!$C$15, $D$11, 100%, $F$11)</f>
        <v>26.9834</v>
      </c>
      <c r="I853" s="8">
        <f>CHOOSE( CONTROL!$C$32, 25.6542, 25.6538) * CHOOSE(CONTROL!$C$15, $D$11, 100%, $F$11)</f>
        <v>25.654199999999999</v>
      </c>
      <c r="J853" s="4">
        <f>CHOOSE( CONTROL!$C$32, 25.5586, 25.5582) * CHOOSE(CONTROL!$C$15, $D$11, 100%, $F$11)</f>
        <v>25.558599999999998</v>
      </c>
      <c r="K853" s="4"/>
      <c r="L853" s="9">
        <v>29.7257</v>
      </c>
      <c r="M853" s="9">
        <v>11.6745</v>
      </c>
      <c r="N853" s="9">
        <v>4.7850000000000001</v>
      </c>
      <c r="O853" s="9">
        <v>0.36199999999999999</v>
      </c>
      <c r="P853" s="9">
        <v>1.2509999999999999</v>
      </c>
      <c r="Q853" s="9">
        <v>19.053000000000001</v>
      </c>
      <c r="R853" s="9"/>
      <c r="S853" s="11"/>
    </row>
    <row r="854" spans="1:19" ht="15.75">
      <c r="A854" s="13">
        <v>67145</v>
      </c>
      <c r="B854" s="8">
        <f>CHOOSE( CONTROL!$C$32, 27.5146, 27.5144) * CHOOSE(CONTROL!$C$15, $D$11, 100%, $F$11)</f>
        <v>27.514600000000002</v>
      </c>
      <c r="C854" s="8">
        <f>CHOOSE( CONTROL!$C$32, 27.52, 27.5197) * CHOOSE(CONTROL!$C$15, $D$11, 100%, $F$11)</f>
        <v>27.52</v>
      </c>
      <c r="D854" s="8">
        <f>CHOOSE( CONTROL!$C$32, 27.5202, 27.5199) * CHOOSE( CONTROL!$C$15, $D$11, 100%, $F$11)</f>
        <v>27.520199999999999</v>
      </c>
      <c r="E854" s="12">
        <f>CHOOSE( CONTROL!$C$32, 27.5196, 27.5193) * CHOOSE( CONTROL!$C$15, $D$11, 100%, $F$11)</f>
        <v>27.519600000000001</v>
      </c>
      <c r="F854" s="4">
        <f>CHOOSE( CONTROL!$C$32, 28.2233, 28.223) * CHOOSE(CONTROL!$C$15, $D$11, 100%, $F$11)</f>
        <v>28.223299999999998</v>
      </c>
      <c r="G854" s="8">
        <f>CHOOSE( CONTROL!$C$32, 27.2005, 27.2002) * CHOOSE( CONTROL!$C$15, $D$11, 100%, $F$11)</f>
        <v>27.200500000000002</v>
      </c>
      <c r="H854" s="4">
        <f>CHOOSE( CONTROL!$C$32, 28.1394, 28.1392) * CHOOSE(CONTROL!$C$15, $D$11, 100%, $F$11)</f>
        <v>28.139399999999998</v>
      </c>
      <c r="I854" s="8">
        <f>CHOOSE( CONTROL!$C$32, 26.7907, 26.7904) * CHOOSE(CONTROL!$C$15, $D$11, 100%, $F$11)</f>
        <v>26.790700000000001</v>
      </c>
      <c r="J854" s="4">
        <f>CHOOSE( CONTROL!$C$32, 26.6938, 26.6936) * CHOOSE(CONTROL!$C$15, $D$11, 100%, $F$11)</f>
        <v>26.6938</v>
      </c>
      <c r="K854" s="4"/>
      <c r="L854" s="9">
        <v>31.095300000000002</v>
      </c>
      <c r="M854" s="9">
        <v>12.063700000000001</v>
      </c>
      <c r="N854" s="9">
        <v>4.9444999999999997</v>
      </c>
      <c r="O854" s="9">
        <v>0.37409999999999999</v>
      </c>
      <c r="P854" s="9">
        <v>1.2927</v>
      </c>
      <c r="Q854" s="9">
        <v>19.688099999999999</v>
      </c>
      <c r="R854" s="9"/>
      <c r="S854" s="11"/>
    </row>
    <row r="855" spans="1:19" ht="15.75">
      <c r="A855" s="13">
        <v>67175</v>
      </c>
      <c r="B855" s="8">
        <f>CHOOSE( CONTROL!$C$32, 29.6736, 29.6734) * CHOOSE(CONTROL!$C$15, $D$11, 100%, $F$11)</f>
        <v>29.6736</v>
      </c>
      <c r="C855" s="8">
        <f>CHOOSE( CONTROL!$C$32, 29.6787, 29.6784) * CHOOSE(CONTROL!$C$15, $D$11, 100%, $F$11)</f>
        <v>29.678699999999999</v>
      </c>
      <c r="D855" s="8">
        <f>CHOOSE( CONTROL!$C$32, 29.6466, 29.6463) * CHOOSE( CONTROL!$C$15, $D$11, 100%, $F$11)</f>
        <v>29.646599999999999</v>
      </c>
      <c r="E855" s="12">
        <f>CHOOSE( CONTROL!$C$32, 29.6578, 29.6575) * CHOOSE( CONTROL!$C$15, $D$11, 100%, $F$11)</f>
        <v>29.657800000000002</v>
      </c>
      <c r="F855" s="4">
        <f>CHOOSE( CONTROL!$C$32, 30.3389, 30.3386) * CHOOSE(CONTROL!$C$15, $D$11, 100%, $F$11)</f>
        <v>30.338899999999999</v>
      </c>
      <c r="G855" s="8">
        <f>CHOOSE( CONTROL!$C$32, 29.3235, 29.3232) * CHOOSE( CONTROL!$C$15, $D$11, 100%, $F$11)</f>
        <v>29.323499999999999</v>
      </c>
      <c r="H855" s="4">
        <f>CHOOSE( CONTROL!$C$32, 30.2303, 30.23) * CHOOSE(CONTROL!$C$15, $D$11, 100%, $F$11)</f>
        <v>30.2303</v>
      </c>
      <c r="I855" s="8">
        <f>CHOOSE( CONTROL!$C$32, 28.9383, 28.938) * CHOOSE(CONTROL!$C$15, $D$11, 100%, $F$11)</f>
        <v>28.938300000000002</v>
      </c>
      <c r="J855" s="4">
        <f>CHOOSE( CONTROL!$C$32, 28.7895, 28.7892) * CHOOSE(CONTROL!$C$15, $D$11, 100%, $F$11)</f>
        <v>28.7895</v>
      </c>
      <c r="K855" s="4"/>
      <c r="L855" s="9">
        <v>28.360600000000002</v>
      </c>
      <c r="M855" s="9">
        <v>11.6745</v>
      </c>
      <c r="N855" s="9">
        <v>4.7850000000000001</v>
      </c>
      <c r="O855" s="9">
        <v>0.36199999999999999</v>
      </c>
      <c r="P855" s="9">
        <v>1.2509999999999999</v>
      </c>
      <c r="Q855" s="9">
        <v>19.053000000000001</v>
      </c>
      <c r="R855" s="9"/>
      <c r="S855" s="11"/>
    </row>
    <row r="856" spans="1:19" ht="15.75">
      <c r="A856" s="13">
        <v>67206</v>
      </c>
      <c r="B856" s="8">
        <f>CHOOSE( CONTROL!$C$32, 29.6197, 29.6194) * CHOOSE(CONTROL!$C$15, $D$11, 100%, $F$11)</f>
        <v>29.619700000000002</v>
      </c>
      <c r="C856" s="8">
        <f>CHOOSE( CONTROL!$C$32, 29.6248, 29.6245) * CHOOSE(CONTROL!$C$15, $D$11, 100%, $F$11)</f>
        <v>29.6248</v>
      </c>
      <c r="D856" s="8">
        <f>CHOOSE( CONTROL!$C$32, 29.5945, 29.5942) * CHOOSE( CONTROL!$C$15, $D$11, 100%, $F$11)</f>
        <v>29.5945</v>
      </c>
      <c r="E856" s="12">
        <f>CHOOSE( CONTROL!$C$32, 29.605, 29.6047) * CHOOSE( CONTROL!$C$15, $D$11, 100%, $F$11)</f>
        <v>29.605</v>
      </c>
      <c r="F856" s="4">
        <f>CHOOSE( CONTROL!$C$32, 30.285, 30.2847) * CHOOSE(CONTROL!$C$15, $D$11, 100%, $F$11)</f>
        <v>30.285</v>
      </c>
      <c r="G856" s="8">
        <f>CHOOSE( CONTROL!$C$32, 29.2715, 29.2712) * CHOOSE( CONTROL!$C$15, $D$11, 100%, $F$11)</f>
        <v>29.2715</v>
      </c>
      <c r="H856" s="4">
        <f>CHOOSE( CONTROL!$C$32, 30.1769, 30.1767) * CHOOSE(CONTROL!$C$15, $D$11, 100%, $F$11)</f>
        <v>30.1769</v>
      </c>
      <c r="I856" s="8">
        <f>CHOOSE( CONTROL!$C$32, 28.8916, 28.8913) * CHOOSE(CONTROL!$C$15, $D$11, 100%, $F$11)</f>
        <v>28.8916</v>
      </c>
      <c r="J856" s="4">
        <f>CHOOSE( CONTROL!$C$32, 28.7371, 28.7369) * CHOOSE(CONTROL!$C$15, $D$11, 100%, $F$11)</f>
        <v>28.737100000000002</v>
      </c>
      <c r="K856" s="4"/>
      <c r="L856" s="9">
        <v>29.306000000000001</v>
      </c>
      <c r="M856" s="9">
        <v>12.063700000000001</v>
      </c>
      <c r="N856" s="9">
        <v>4.9444999999999997</v>
      </c>
      <c r="O856" s="9">
        <v>0.37409999999999999</v>
      </c>
      <c r="P856" s="9">
        <v>1.2927</v>
      </c>
      <c r="Q856" s="9">
        <v>19.688099999999999</v>
      </c>
      <c r="R856" s="9"/>
      <c r="S856" s="11"/>
    </row>
    <row r="857" spans="1:19" ht="15.75">
      <c r="A857" s="13">
        <v>67237</v>
      </c>
      <c r="B857" s="8">
        <f>CHOOSE( CONTROL!$C$32, 30.4931, 30.4928) * CHOOSE(CONTROL!$C$15, $D$11, 100%, $F$11)</f>
        <v>30.493099999999998</v>
      </c>
      <c r="C857" s="8">
        <f>CHOOSE( CONTROL!$C$32, 30.4982, 30.4979) * CHOOSE(CONTROL!$C$15, $D$11, 100%, $F$11)</f>
        <v>30.498200000000001</v>
      </c>
      <c r="D857" s="8">
        <f>CHOOSE( CONTROL!$C$32, 30.4958, 30.4955) * CHOOSE( CONTROL!$C$15, $D$11, 100%, $F$11)</f>
        <v>30.495799999999999</v>
      </c>
      <c r="E857" s="12">
        <f>CHOOSE( CONTROL!$C$32, 30.4961, 30.4958) * CHOOSE( CONTROL!$C$15, $D$11, 100%, $F$11)</f>
        <v>30.496099999999998</v>
      </c>
      <c r="F857" s="4">
        <f>CHOOSE( CONTROL!$C$32, 31.1584, 31.1581) * CHOOSE(CONTROL!$C$15, $D$11, 100%, $F$11)</f>
        <v>31.1584</v>
      </c>
      <c r="G857" s="8">
        <f>CHOOSE( CONTROL!$C$32, 30.1508, 30.1505) * CHOOSE( CONTROL!$C$15, $D$11, 100%, $F$11)</f>
        <v>30.1508</v>
      </c>
      <c r="H857" s="4">
        <f>CHOOSE( CONTROL!$C$32, 31.0401, 31.0399) * CHOOSE(CONTROL!$C$15, $D$11, 100%, $F$11)</f>
        <v>31.040099999999999</v>
      </c>
      <c r="I857" s="8">
        <f>CHOOSE( CONTROL!$C$32, 29.7132, 29.7129) * CHOOSE(CONTROL!$C$15, $D$11, 100%, $F$11)</f>
        <v>29.713200000000001</v>
      </c>
      <c r="J857" s="4">
        <f>CHOOSE( CONTROL!$C$32, 29.5848, 29.5845) * CHOOSE(CONTROL!$C$15, $D$11, 100%, $F$11)</f>
        <v>29.584800000000001</v>
      </c>
      <c r="K857" s="4"/>
      <c r="L857" s="9">
        <v>29.306000000000001</v>
      </c>
      <c r="M857" s="9">
        <v>12.063700000000001</v>
      </c>
      <c r="N857" s="9">
        <v>4.9444999999999997</v>
      </c>
      <c r="O857" s="9">
        <v>0.37409999999999999</v>
      </c>
      <c r="P857" s="9">
        <v>1.2927</v>
      </c>
      <c r="Q857" s="9">
        <v>19.688099999999999</v>
      </c>
      <c r="R857" s="9"/>
      <c r="S857" s="11"/>
    </row>
    <row r="858" spans="1:19" ht="15.75">
      <c r="A858" s="13">
        <v>67266</v>
      </c>
      <c r="B858" s="8">
        <f>CHOOSE( CONTROL!$C$32, 28.5224, 28.5221) * CHOOSE(CONTROL!$C$15, $D$11, 100%, $F$11)</f>
        <v>28.522400000000001</v>
      </c>
      <c r="C858" s="8">
        <f>CHOOSE( CONTROL!$C$32, 28.5274, 28.5272) * CHOOSE(CONTROL!$C$15, $D$11, 100%, $F$11)</f>
        <v>28.5274</v>
      </c>
      <c r="D858" s="8">
        <f>CHOOSE( CONTROL!$C$32, 28.5074, 28.5071) * CHOOSE( CONTROL!$C$15, $D$11, 100%, $F$11)</f>
        <v>28.507400000000001</v>
      </c>
      <c r="E858" s="12">
        <f>CHOOSE( CONTROL!$C$32, 28.5142, 28.5139) * CHOOSE( CONTROL!$C$15, $D$11, 100%, $F$11)</f>
        <v>28.514199999999999</v>
      </c>
      <c r="F858" s="4">
        <f>CHOOSE( CONTROL!$C$32, 29.1876, 29.1874) * CHOOSE(CONTROL!$C$15, $D$11, 100%, $F$11)</f>
        <v>29.1876</v>
      </c>
      <c r="G858" s="8">
        <f>CHOOSE( CONTROL!$C$32, 28.192, 28.1918) * CHOOSE( CONTROL!$C$15, $D$11, 100%, $F$11)</f>
        <v>28.192</v>
      </c>
      <c r="H858" s="4">
        <f>CHOOSE( CONTROL!$C$32, 29.0925, 29.0922) * CHOOSE(CONTROL!$C$15, $D$11, 100%, $F$11)</f>
        <v>29.092500000000001</v>
      </c>
      <c r="I858" s="8">
        <f>CHOOSE( CONTROL!$C$32, 27.8001, 27.7998) * CHOOSE(CONTROL!$C$15, $D$11, 100%, $F$11)</f>
        <v>27.8001</v>
      </c>
      <c r="J858" s="4">
        <f>CHOOSE( CONTROL!$C$32, 27.6722, 27.6719) * CHOOSE(CONTROL!$C$15, $D$11, 100%, $F$11)</f>
        <v>27.6722</v>
      </c>
      <c r="K858" s="4"/>
      <c r="L858" s="9">
        <v>27.415299999999998</v>
      </c>
      <c r="M858" s="9">
        <v>11.285299999999999</v>
      </c>
      <c r="N858" s="9">
        <v>4.6254999999999997</v>
      </c>
      <c r="O858" s="9">
        <v>0.34989999999999999</v>
      </c>
      <c r="P858" s="9">
        <v>1.2093</v>
      </c>
      <c r="Q858" s="9">
        <v>18.417899999999999</v>
      </c>
      <c r="R858" s="9"/>
      <c r="S858" s="11"/>
    </row>
    <row r="859" spans="1:19" ht="15.75">
      <c r="A859" s="13">
        <v>67297</v>
      </c>
      <c r="B859" s="8">
        <f>CHOOSE( CONTROL!$C$32, 27.9154, 27.9151) * CHOOSE(CONTROL!$C$15, $D$11, 100%, $F$11)</f>
        <v>27.915400000000002</v>
      </c>
      <c r="C859" s="8">
        <f>CHOOSE( CONTROL!$C$32, 27.9205, 27.9202) * CHOOSE(CONTROL!$C$15, $D$11, 100%, $F$11)</f>
        <v>27.920500000000001</v>
      </c>
      <c r="D859" s="8">
        <f>CHOOSE( CONTROL!$C$32, 27.8905, 27.8902) * CHOOSE( CONTROL!$C$15, $D$11, 100%, $F$11)</f>
        <v>27.890499999999999</v>
      </c>
      <c r="E859" s="12">
        <f>CHOOSE( CONTROL!$C$32, 27.9009, 27.9006) * CHOOSE( CONTROL!$C$15, $D$11, 100%, $F$11)</f>
        <v>27.9009</v>
      </c>
      <c r="F859" s="4">
        <f>CHOOSE( CONTROL!$C$32, 28.5807, 28.5804) * CHOOSE(CONTROL!$C$15, $D$11, 100%, $F$11)</f>
        <v>28.5807</v>
      </c>
      <c r="G859" s="8">
        <f>CHOOSE( CONTROL!$C$32, 27.5789, 27.5787) * CHOOSE( CONTROL!$C$15, $D$11, 100%, $F$11)</f>
        <v>27.578900000000001</v>
      </c>
      <c r="H859" s="4">
        <f>CHOOSE( CONTROL!$C$32, 28.4926, 28.4923) * CHOOSE(CONTROL!$C$15, $D$11, 100%, $F$11)</f>
        <v>28.492599999999999</v>
      </c>
      <c r="I859" s="8">
        <f>CHOOSE( CONTROL!$C$32, 27.1755, 27.1752) * CHOOSE(CONTROL!$C$15, $D$11, 100%, $F$11)</f>
        <v>27.1755</v>
      </c>
      <c r="J859" s="4">
        <f>CHOOSE( CONTROL!$C$32, 27.0831, 27.0829) * CHOOSE(CONTROL!$C$15, $D$11, 100%, $F$11)</f>
        <v>27.083100000000002</v>
      </c>
      <c r="K859" s="4"/>
      <c r="L859" s="9">
        <v>29.306000000000001</v>
      </c>
      <c r="M859" s="9">
        <v>12.063700000000001</v>
      </c>
      <c r="N859" s="9">
        <v>4.9444999999999997</v>
      </c>
      <c r="O859" s="9">
        <v>0.37409999999999999</v>
      </c>
      <c r="P859" s="9">
        <v>1.2927</v>
      </c>
      <c r="Q859" s="9">
        <v>19.688099999999999</v>
      </c>
      <c r="R859" s="9"/>
      <c r="S859" s="11"/>
    </row>
    <row r="860" spans="1:19" ht="15.75">
      <c r="A860" s="13">
        <v>67327</v>
      </c>
      <c r="B860" s="8">
        <f>CHOOSE( CONTROL!$C$32, 28.3403, 28.34) * CHOOSE(CONTROL!$C$15, $D$11, 100%, $F$11)</f>
        <v>28.340299999999999</v>
      </c>
      <c r="C860" s="8">
        <f>CHOOSE( CONTROL!$C$32, 28.3448, 28.3445) * CHOOSE(CONTROL!$C$15, $D$11, 100%, $F$11)</f>
        <v>28.344799999999999</v>
      </c>
      <c r="D860" s="8">
        <f>CHOOSE( CONTROL!$C$32, 28.3443, 28.344) * CHOOSE( CONTROL!$C$15, $D$11, 100%, $F$11)</f>
        <v>28.3443</v>
      </c>
      <c r="E860" s="12">
        <f>CHOOSE( CONTROL!$C$32, 28.344, 28.3437) * CHOOSE( CONTROL!$C$15, $D$11, 100%, $F$11)</f>
        <v>28.344000000000001</v>
      </c>
      <c r="F860" s="4">
        <f>CHOOSE( CONTROL!$C$32, 29.0486, 29.0483) * CHOOSE(CONTROL!$C$15, $D$11, 100%, $F$11)</f>
        <v>29.0486</v>
      </c>
      <c r="G860" s="8">
        <f>CHOOSE( CONTROL!$C$32, 28.0151, 28.0148) * CHOOSE( CONTROL!$C$15, $D$11, 100%, $F$11)</f>
        <v>28.0151</v>
      </c>
      <c r="H860" s="4">
        <f>CHOOSE( CONTROL!$C$32, 28.9551, 28.9548) * CHOOSE(CONTROL!$C$15, $D$11, 100%, $F$11)</f>
        <v>28.955100000000002</v>
      </c>
      <c r="I860" s="8">
        <f>CHOOSE( CONTROL!$C$32, 27.5879, 27.5876) * CHOOSE(CONTROL!$C$15, $D$11, 100%, $F$11)</f>
        <v>27.587900000000001</v>
      </c>
      <c r="J860" s="4">
        <f>CHOOSE( CONTROL!$C$32, 27.4948, 27.4945) * CHOOSE(CONTROL!$C$15, $D$11, 100%, $F$11)</f>
        <v>27.494800000000001</v>
      </c>
      <c r="K860" s="4"/>
      <c r="L860" s="9">
        <v>30.092199999999998</v>
      </c>
      <c r="M860" s="9">
        <v>11.6745</v>
      </c>
      <c r="N860" s="9">
        <v>4.7850000000000001</v>
      </c>
      <c r="O860" s="9">
        <v>0.36199999999999999</v>
      </c>
      <c r="P860" s="9">
        <v>1.2509999999999999</v>
      </c>
      <c r="Q860" s="9">
        <v>19.053000000000001</v>
      </c>
      <c r="R860" s="9"/>
      <c r="S860" s="11"/>
    </row>
    <row r="861" spans="1:19" ht="15.75">
      <c r="A861" s="13">
        <v>67358</v>
      </c>
      <c r="B861" s="8">
        <f>CHOOSE( CONTROL!$C$32, 29.0967, 29.0963) * CHOOSE(CONTROL!$C$15, $D$11, 100%, $F$11)</f>
        <v>29.096699999999998</v>
      </c>
      <c r="C861" s="8">
        <f>CHOOSE( CONTROL!$C$32, 29.1047, 29.1042) * CHOOSE(CONTROL!$C$15, $D$11, 100%, $F$11)</f>
        <v>29.104700000000001</v>
      </c>
      <c r="D861" s="8">
        <f>CHOOSE( CONTROL!$C$32, 29.099, 29.0985) * CHOOSE( CONTROL!$C$15, $D$11, 100%, $F$11)</f>
        <v>29.099</v>
      </c>
      <c r="E861" s="12">
        <f>CHOOSE( CONTROL!$C$32, 29.0998, 29.0994) * CHOOSE( CONTROL!$C$15, $D$11, 100%, $F$11)</f>
        <v>29.099799999999998</v>
      </c>
      <c r="F861" s="4">
        <f>CHOOSE( CONTROL!$C$32, 29.8037, 29.8032) * CHOOSE(CONTROL!$C$15, $D$11, 100%, $F$11)</f>
        <v>29.803699999999999</v>
      </c>
      <c r="G861" s="8">
        <f>CHOOSE( CONTROL!$C$32, 28.7617, 28.7612) * CHOOSE( CONTROL!$C$15, $D$11, 100%, $F$11)</f>
        <v>28.761700000000001</v>
      </c>
      <c r="H861" s="4">
        <f>CHOOSE( CONTROL!$C$32, 29.7013, 29.7008) * CHOOSE(CONTROL!$C$15, $D$11, 100%, $F$11)</f>
        <v>29.7013</v>
      </c>
      <c r="I861" s="8">
        <f>CHOOSE( CONTROL!$C$32, 28.3216, 28.3212) * CHOOSE(CONTROL!$C$15, $D$11, 100%, $F$11)</f>
        <v>28.3216</v>
      </c>
      <c r="J861" s="4">
        <f>CHOOSE( CONTROL!$C$32, 28.2275, 28.2271) * CHOOSE(CONTROL!$C$15, $D$11, 100%, $F$11)</f>
        <v>28.227499999999999</v>
      </c>
      <c r="K861" s="4"/>
      <c r="L861" s="9">
        <v>30.7165</v>
      </c>
      <c r="M861" s="9">
        <v>12.063700000000001</v>
      </c>
      <c r="N861" s="9">
        <v>4.9444999999999997</v>
      </c>
      <c r="O861" s="9">
        <v>0.37409999999999999</v>
      </c>
      <c r="P861" s="9">
        <v>1.2927</v>
      </c>
      <c r="Q861" s="9">
        <v>19.688099999999999</v>
      </c>
      <c r="R861" s="9"/>
      <c r="S861" s="11"/>
    </row>
    <row r="862" spans="1:19" ht="15.75">
      <c r="A862" s="13">
        <v>67388</v>
      </c>
      <c r="B862" s="8">
        <f>CHOOSE( CONTROL!$C$32, 28.6291, 28.6286) * CHOOSE(CONTROL!$C$15, $D$11, 100%, $F$11)</f>
        <v>28.629100000000001</v>
      </c>
      <c r="C862" s="8">
        <f>CHOOSE( CONTROL!$C$32, 28.6371, 28.6366) * CHOOSE(CONTROL!$C$15, $D$11, 100%, $F$11)</f>
        <v>28.6371</v>
      </c>
      <c r="D862" s="8">
        <f>CHOOSE( CONTROL!$C$32, 28.6318, 28.6313) * CHOOSE( CONTROL!$C$15, $D$11, 100%, $F$11)</f>
        <v>28.631799999999998</v>
      </c>
      <c r="E862" s="12">
        <f>CHOOSE( CONTROL!$C$32, 28.6325, 28.632) * CHOOSE( CONTROL!$C$15, $D$11, 100%, $F$11)</f>
        <v>28.6325</v>
      </c>
      <c r="F862" s="4">
        <f>CHOOSE( CONTROL!$C$32, 29.336, 29.3356) * CHOOSE(CONTROL!$C$15, $D$11, 100%, $F$11)</f>
        <v>29.335999999999999</v>
      </c>
      <c r="G862" s="8">
        <f>CHOOSE( CONTROL!$C$32, 28.2998, 28.2994) * CHOOSE( CONTROL!$C$15, $D$11, 100%, $F$11)</f>
        <v>28.299800000000001</v>
      </c>
      <c r="H862" s="4">
        <f>CHOOSE( CONTROL!$C$32, 29.2391, 29.2387) * CHOOSE(CONTROL!$C$15, $D$11, 100%, $F$11)</f>
        <v>29.239100000000001</v>
      </c>
      <c r="I862" s="8">
        <f>CHOOSE( CONTROL!$C$32, 27.869, 27.8685) * CHOOSE(CONTROL!$C$15, $D$11, 100%, $F$11)</f>
        <v>27.869</v>
      </c>
      <c r="J862" s="4">
        <f>CHOOSE( CONTROL!$C$32, 27.7737, 27.7733) * CHOOSE(CONTROL!$C$15, $D$11, 100%, $F$11)</f>
        <v>27.773700000000002</v>
      </c>
      <c r="K862" s="4"/>
      <c r="L862" s="9">
        <v>29.7257</v>
      </c>
      <c r="M862" s="9">
        <v>11.6745</v>
      </c>
      <c r="N862" s="9">
        <v>4.7850000000000001</v>
      </c>
      <c r="O862" s="9">
        <v>0.36199999999999999</v>
      </c>
      <c r="P862" s="9">
        <v>1.2509999999999999</v>
      </c>
      <c r="Q862" s="9">
        <v>19.053000000000001</v>
      </c>
      <c r="R862" s="9"/>
      <c r="S862" s="11"/>
    </row>
    <row r="863" spans="1:19" ht="15.75">
      <c r="A863" s="13">
        <v>67419</v>
      </c>
      <c r="B863" s="8">
        <f>CHOOSE( CONTROL!$C$32, 29.8605, 29.8601) * CHOOSE(CONTROL!$C$15, $D$11, 100%, $F$11)</f>
        <v>29.860499999999998</v>
      </c>
      <c r="C863" s="8">
        <f>CHOOSE( CONTROL!$C$32, 29.8685, 29.868) * CHOOSE(CONTROL!$C$15, $D$11, 100%, $F$11)</f>
        <v>29.868500000000001</v>
      </c>
      <c r="D863" s="8">
        <f>CHOOSE( CONTROL!$C$32, 29.8636, 29.8632) * CHOOSE( CONTROL!$C$15, $D$11, 100%, $F$11)</f>
        <v>29.863600000000002</v>
      </c>
      <c r="E863" s="12">
        <f>CHOOSE( CONTROL!$C$32, 29.8642, 29.8637) * CHOOSE( CONTROL!$C$15, $D$11, 100%, $F$11)</f>
        <v>29.8642</v>
      </c>
      <c r="F863" s="4">
        <f>CHOOSE( CONTROL!$C$32, 30.5675, 30.567) * CHOOSE(CONTROL!$C$15, $D$11, 100%, $F$11)</f>
        <v>30.567499999999999</v>
      </c>
      <c r="G863" s="8">
        <f>CHOOSE( CONTROL!$C$32, 29.5172, 29.5168) * CHOOSE( CONTROL!$C$15, $D$11, 100%, $F$11)</f>
        <v>29.517199999999999</v>
      </c>
      <c r="H863" s="4">
        <f>CHOOSE( CONTROL!$C$32, 30.4561, 30.4557) * CHOOSE(CONTROL!$C$15, $D$11, 100%, $F$11)</f>
        <v>30.456099999999999</v>
      </c>
      <c r="I863" s="8">
        <f>CHOOSE( CONTROL!$C$32, 29.0662, 29.0658) * CHOOSE(CONTROL!$C$15, $D$11, 100%, $F$11)</f>
        <v>29.066199999999998</v>
      </c>
      <c r="J863" s="4">
        <f>CHOOSE( CONTROL!$C$32, 28.9688, 28.9684) * CHOOSE(CONTROL!$C$15, $D$11, 100%, $F$11)</f>
        <v>28.968800000000002</v>
      </c>
      <c r="K863" s="4"/>
      <c r="L863" s="9">
        <v>30.7165</v>
      </c>
      <c r="M863" s="9">
        <v>12.063700000000001</v>
      </c>
      <c r="N863" s="9">
        <v>4.9444999999999997</v>
      </c>
      <c r="O863" s="9">
        <v>0.37409999999999999</v>
      </c>
      <c r="P863" s="9">
        <v>1.2927</v>
      </c>
      <c r="Q863" s="9">
        <v>19.688099999999999</v>
      </c>
      <c r="R863" s="9"/>
      <c r="S863" s="11"/>
    </row>
    <row r="864" spans="1:19" ht="15.75">
      <c r="A864" s="13">
        <v>67450</v>
      </c>
      <c r="B864" s="8">
        <f>CHOOSE( CONTROL!$C$32, 27.5564, 27.5559) * CHOOSE(CONTROL!$C$15, $D$11, 100%, $F$11)</f>
        <v>27.5564</v>
      </c>
      <c r="C864" s="8">
        <f>CHOOSE( CONTROL!$C$32, 27.5644, 27.5639) * CHOOSE(CONTROL!$C$15, $D$11, 100%, $F$11)</f>
        <v>27.564399999999999</v>
      </c>
      <c r="D864" s="8">
        <f>CHOOSE( CONTROL!$C$32, 27.5597, 27.5592) * CHOOSE( CONTROL!$C$15, $D$11, 100%, $F$11)</f>
        <v>27.559699999999999</v>
      </c>
      <c r="E864" s="12">
        <f>CHOOSE( CONTROL!$C$32, 27.5602, 27.5597) * CHOOSE( CONTROL!$C$15, $D$11, 100%, $F$11)</f>
        <v>27.560199999999998</v>
      </c>
      <c r="F864" s="4">
        <f>CHOOSE( CONTROL!$C$32, 28.2633, 28.2629) * CHOOSE(CONTROL!$C$15, $D$11, 100%, $F$11)</f>
        <v>28.263300000000001</v>
      </c>
      <c r="G864" s="8">
        <f>CHOOSE( CONTROL!$C$32, 27.2402, 27.2397) * CHOOSE( CONTROL!$C$15, $D$11, 100%, $F$11)</f>
        <v>27.240200000000002</v>
      </c>
      <c r="H864" s="4">
        <f>CHOOSE( CONTROL!$C$32, 28.179, 28.1786) * CHOOSE(CONTROL!$C$15, $D$11, 100%, $F$11)</f>
        <v>28.178999999999998</v>
      </c>
      <c r="I864" s="8">
        <f>CHOOSE( CONTROL!$C$32, 26.8294, 26.829) * CHOOSE(CONTROL!$C$15, $D$11, 100%, $F$11)</f>
        <v>26.8294</v>
      </c>
      <c r="J864" s="4">
        <f>CHOOSE( CONTROL!$C$32, 26.7327, 26.7322) * CHOOSE(CONTROL!$C$15, $D$11, 100%, $F$11)</f>
        <v>26.732700000000001</v>
      </c>
      <c r="K864" s="4"/>
      <c r="L864" s="9">
        <v>30.7165</v>
      </c>
      <c r="M864" s="9">
        <v>12.063700000000001</v>
      </c>
      <c r="N864" s="9">
        <v>4.9444999999999997</v>
      </c>
      <c r="O864" s="9">
        <v>0.37409999999999999</v>
      </c>
      <c r="P864" s="9">
        <v>1.2927</v>
      </c>
      <c r="Q864" s="9">
        <v>19.688099999999999</v>
      </c>
      <c r="R864" s="9"/>
      <c r="S864" s="11"/>
    </row>
    <row r="865" spans="1:19" ht="15.75">
      <c r="A865" s="13">
        <v>67480</v>
      </c>
      <c r="B865" s="8">
        <f>CHOOSE( CONTROL!$C$32, 26.9794, 26.979) * CHOOSE(CONTROL!$C$15, $D$11, 100%, $F$11)</f>
        <v>26.979399999999998</v>
      </c>
      <c r="C865" s="8">
        <f>CHOOSE( CONTROL!$C$32, 26.9874, 26.9869) * CHOOSE(CONTROL!$C$15, $D$11, 100%, $F$11)</f>
        <v>26.987400000000001</v>
      </c>
      <c r="D865" s="8">
        <f>CHOOSE( CONTROL!$C$32, 26.9825, 26.9821) * CHOOSE( CONTROL!$C$15, $D$11, 100%, $F$11)</f>
        <v>26.982500000000002</v>
      </c>
      <c r="E865" s="12">
        <f>CHOOSE( CONTROL!$C$32, 26.9831, 26.9826) * CHOOSE( CONTROL!$C$15, $D$11, 100%, $F$11)</f>
        <v>26.9831</v>
      </c>
      <c r="F865" s="4">
        <f>CHOOSE( CONTROL!$C$32, 27.6864, 27.6859) * CHOOSE(CONTROL!$C$15, $D$11, 100%, $F$11)</f>
        <v>27.686399999999999</v>
      </c>
      <c r="G865" s="8">
        <f>CHOOSE( CONTROL!$C$32, 26.6698, 26.6694) * CHOOSE( CONTROL!$C$15, $D$11, 100%, $F$11)</f>
        <v>26.669799999999999</v>
      </c>
      <c r="H865" s="4">
        <f>CHOOSE( CONTROL!$C$32, 27.6088, 27.6083) * CHOOSE(CONTROL!$C$15, $D$11, 100%, $F$11)</f>
        <v>27.608799999999999</v>
      </c>
      <c r="I865" s="8">
        <f>CHOOSE( CONTROL!$C$32, 26.2686, 26.2682) * CHOOSE(CONTROL!$C$15, $D$11, 100%, $F$11)</f>
        <v>26.268599999999999</v>
      </c>
      <c r="J865" s="4">
        <f>CHOOSE( CONTROL!$C$32, 26.1727, 26.1723) * CHOOSE(CONTROL!$C$15, $D$11, 100%, $F$11)</f>
        <v>26.172699999999999</v>
      </c>
      <c r="K865" s="4"/>
      <c r="L865" s="9">
        <v>29.7257</v>
      </c>
      <c r="M865" s="9">
        <v>11.6745</v>
      </c>
      <c r="N865" s="9">
        <v>4.7850000000000001</v>
      </c>
      <c r="O865" s="9">
        <v>0.36199999999999999</v>
      </c>
      <c r="P865" s="9">
        <v>1.2509999999999999</v>
      </c>
      <c r="Q865" s="9">
        <v>19.053000000000001</v>
      </c>
      <c r="R865" s="9"/>
      <c r="S865" s="11"/>
    </row>
    <row r="866" spans="1:19" ht="15.75">
      <c r="A866" s="13">
        <v>67511</v>
      </c>
      <c r="B866" s="8">
        <f>CHOOSE( CONTROL!$C$32, 28.1755, 28.1752) * CHOOSE(CONTROL!$C$15, $D$11, 100%, $F$11)</f>
        <v>28.1755</v>
      </c>
      <c r="C866" s="8">
        <f>CHOOSE( CONTROL!$C$32, 28.1809, 28.1806) * CHOOSE(CONTROL!$C$15, $D$11, 100%, $F$11)</f>
        <v>28.180900000000001</v>
      </c>
      <c r="D866" s="8">
        <f>CHOOSE( CONTROL!$C$32, 28.1811, 28.1808) * CHOOSE( CONTROL!$C$15, $D$11, 100%, $F$11)</f>
        <v>28.181100000000001</v>
      </c>
      <c r="E866" s="12">
        <f>CHOOSE( CONTROL!$C$32, 28.1805, 28.1802) * CHOOSE( CONTROL!$C$15, $D$11, 100%, $F$11)</f>
        <v>28.180499999999999</v>
      </c>
      <c r="F866" s="4">
        <f>CHOOSE( CONTROL!$C$32, 28.8842, 28.8839) * CHOOSE(CONTROL!$C$15, $D$11, 100%, $F$11)</f>
        <v>28.8842</v>
      </c>
      <c r="G866" s="8">
        <f>CHOOSE( CONTROL!$C$32, 27.8536, 27.8533) * CHOOSE( CONTROL!$C$15, $D$11, 100%, $F$11)</f>
        <v>27.8536</v>
      </c>
      <c r="H866" s="4">
        <f>CHOOSE( CONTROL!$C$32, 28.7926, 28.7923) * CHOOSE(CONTROL!$C$15, $D$11, 100%, $F$11)</f>
        <v>28.7926</v>
      </c>
      <c r="I866" s="8">
        <f>CHOOSE( CONTROL!$C$32, 27.4324, 27.4321) * CHOOSE(CONTROL!$C$15, $D$11, 100%, $F$11)</f>
        <v>27.432400000000001</v>
      </c>
      <c r="J866" s="4">
        <f>CHOOSE( CONTROL!$C$32, 27.3352, 27.3349) * CHOOSE(CONTROL!$C$15, $D$11, 100%, $F$11)</f>
        <v>27.3352</v>
      </c>
      <c r="K866" s="4"/>
      <c r="L866" s="9">
        <v>31.095300000000002</v>
      </c>
      <c r="M866" s="9">
        <v>12.063700000000001</v>
      </c>
      <c r="N866" s="9">
        <v>4.9444999999999997</v>
      </c>
      <c r="O866" s="9">
        <v>0.37409999999999999</v>
      </c>
      <c r="P866" s="9">
        <v>1.2927</v>
      </c>
      <c r="Q866" s="9">
        <v>19.688099999999999</v>
      </c>
      <c r="R866" s="9"/>
      <c r="S866" s="11"/>
    </row>
    <row r="867" spans="1:19" ht="15.75">
      <c r="A867" s="13">
        <v>67541</v>
      </c>
      <c r="B867" s="8">
        <f>CHOOSE( CONTROL!$C$32, 30.3864, 30.3861) * CHOOSE(CONTROL!$C$15, $D$11, 100%, $F$11)</f>
        <v>30.386399999999998</v>
      </c>
      <c r="C867" s="8">
        <f>CHOOSE( CONTROL!$C$32, 30.3915, 30.3912) * CHOOSE(CONTROL!$C$15, $D$11, 100%, $F$11)</f>
        <v>30.391500000000001</v>
      </c>
      <c r="D867" s="8">
        <f>CHOOSE( CONTROL!$C$32, 30.3593, 30.3591) * CHOOSE( CONTROL!$C$15, $D$11, 100%, $F$11)</f>
        <v>30.359300000000001</v>
      </c>
      <c r="E867" s="12">
        <f>CHOOSE( CONTROL!$C$32, 30.3705, 30.3703) * CHOOSE( CONTROL!$C$15, $D$11, 100%, $F$11)</f>
        <v>30.3705</v>
      </c>
      <c r="F867" s="4">
        <f>CHOOSE( CONTROL!$C$32, 31.0517, 31.0514) * CHOOSE(CONTROL!$C$15, $D$11, 100%, $F$11)</f>
        <v>31.0517</v>
      </c>
      <c r="G867" s="8">
        <f>CHOOSE( CONTROL!$C$32, 30.0279, 30.0276) * CHOOSE( CONTROL!$C$15, $D$11, 100%, $F$11)</f>
        <v>30.027899999999999</v>
      </c>
      <c r="H867" s="4">
        <f>CHOOSE( CONTROL!$C$32, 30.9347, 30.9344) * CHOOSE(CONTROL!$C$15, $D$11, 100%, $F$11)</f>
        <v>30.934699999999999</v>
      </c>
      <c r="I867" s="8">
        <f>CHOOSE( CONTROL!$C$32, 29.6304, 29.6301) * CHOOSE(CONTROL!$C$15, $D$11, 100%, $F$11)</f>
        <v>29.630400000000002</v>
      </c>
      <c r="J867" s="4">
        <f>CHOOSE( CONTROL!$C$32, 29.4812, 29.481) * CHOOSE(CONTROL!$C$15, $D$11, 100%, $F$11)</f>
        <v>29.481200000000001</v>
      </c>
      <c r="K867" s="4"/>
      <c r="L867" s="9">
        <v>28.360600000000002</v>
      </c>
      <c r="M867" s="9">
        <v>11.6745</v>
      </c>
      <c r="N867" s="9">
        <v>4.7850000000000001</v>
      </c>
      <c r="O867" s="9">
        <v>0.36199999999999999</v>
      </c>
      <c r="P867" s="9">
        <v>1.2509999999999999</v>
      </c>
      <c r="Q867" s="9">
        <v>19.053000000000001</v>
      </c>
      <c r="R867" s="9"/>
      <c r="S867" s="11"/>
    </row>
    <row r="868" spans="1:19" ht="15.75">
      <c r="A868" s="13">
        <v>67572</v>
      </c>
      <c r="B868" s="8">
        <f>CHOOSE( CONTROL!$C$32, 30.3311, 30.3309) * CHOOSE(CONTROL!$C$15, $D$11, 100%, $F$11)</f>
        <v>30.331099999999999</v>
      </c>
      <c r="C868" s="8">
        <f>CHOOSE( CONTROL!$C$32, 30.3362, 30.3359) * CHOOSE(CONTROL!$C$15, $D$11, 100%, $F$11)</f>
        <v>30.336200000000002</v>
      </c>
      <c r="D868" s="8">
        <f>CHOOSE( CONTROL!$C$32, 30.3059, 30.3056) * CHOOSE( CONTROL!$C$15, $D$11, 100%, $F$11)</f>
        <v>30.305900000000001</v>
      </c>
      <c r="E868" s="12">
        <f>CHOOSE( CONTROL!$C$32, 30.3164, 30.3161) * CHOOSE( CONTROL!$C$15, $D$11, 100%, $F$11)</f>
        <v>30.316400000000002</v>
      </c>
      <c r="F868" s="4">
        <f>CHOOSE( CONTROL!$C$32, 30.9964, 30.9962) * CHOOSE(CONTROL!$C$15, $D$11, 100%, $F$11)</f>
        <v>30.996400000000001</v>
      </c>
      <c r="G868" s="8">
        <f>CHOOSE( CONTROL!$C$32, 29.9746, 29.9744) * CHOOSE( CONTROL!$C$15, $D$11, 100%, $F$11)</f>
        <v>29.974599999999999</v>
      </c>
      <c r="H868" s="4">
        <f>CHOOSE( CONTROL!$C$32, 30.8801, 30.8798) * CHOOSE(CONTROL!$C$15, $D$11, 100%, $F$11)</f>
        <v>30.880099999999999</v>
      </c>
      <c r="I868" s="8">
        <f>CHOOSE( CONTROL!$C$32, 29.5824, 29.5822) * CHOOSE(CONTROL!$C$15, $D$11, 100%, $F$11)</f>
        <v>29.5824</v>
      </c>
      <c r="J868" s="4">
        <f>CHOOSE( CONTROL!$C$32, 29.4276, 29.4274) * CHOOSE(CONTROL!$C$15, $D$11, 100%, $F$11)</f>
        <v>29.427600000000002</v>
      </c>
      <c r="K868" s="4"/>
      <c r="L868" s="9">
        <v>29.306000000000001</v>
      </c>
      <c r="M868" s="9">
        <v>12.063700000000001</v>
      </c>
      <c r="N868" s="9">
        <v>4.9444999999999997</v>
      </c>
      <c r="O868" s="9">
        <v>0.37409999999999999</v>
      </c>
      <c r="P868" s="9">
        <v>1.2927</v>
      </c>
      <c r="Q868" s="9">
        <v>19.688099999999999</v>
      </c>
      <c r="R868" s="9"/>
      <c r="S868" s="11"/>
    </row>
    <row r="869" spans="1:19" ht="15.75">
      <c r="A869" s="13">
        <v>67603</v>
      </c>
      <c r="B869" s="8">
        <f>CHOOSE( CONTROL!$C$32, 31.2255, 31.2253) * CHOOSE(CONTROL!$C$15, $D$11, 100%, $F$11)</f>
        <v>31.2255</v>
      </c>
      <c r="C869" s="8">
        <f>CHOOSE( CONTROL!$C$32, 31.2306, 31.2303) * CHOOSE(CONTROL!$C$15, $D$11, 100%, $F$11)</f>
        <v>31.230599999999999</v>
      </c>
      <c r="D869" s="8">
        <f>CHOOSE( CONTROL!$C$32, 31.2283, 31.228) * CHOOSE( CONTROL!$C$15, $D$11, 100%, $F$11)</f>
        <v>31.228300000000001</v>
      </c>
      <c r="E869" s="12">
        <f>CHOOSE( CONTROL!$C$32, 31.2286, 31.2283) * CHOOSE( CONTROL!$C$15, $D$11, 100%, $F$11)</f>
        <v>31.2286</v>
      </c>
      <c r="F869" s="4">
        <f>CHOOSE( CONTROL!$C$32, 31.8908, 31.8905) * CHOOSE(CONTROL!$C$15, $D$11, 100%, $F$11)</f>
        <v>31.890799999999999</v>
      </c>
      <c r="G869" s="8">
        <f>CHOOSE( CONTROL!$C$32, 30.8747, 30.8744) * CHOOSE( CONTROL!$C$15, $D$11, 100%, $F$11)</f>
        <v>30.874700000000001</v>
      </c>
      <c r="H869" s="4">
        <f>CHOOSE( CONTROL!$C$32, 31.764, 31.7637) * CHOOSE(CONTROL!$C$15, $D$11, 100%, $F$11)</f>
        <v>31.763999999999999</v>
      </c>
      <c r="I869" s="8">
        <f>CHOOSE( CONTROL!$C$32, 30.4244, 30.4241) * CHOOSE(CONTROL!$C$15, $D$11, 100%, $F$11)</f>
        <v>30.424399999999999</v>
      </c>
      <c r="J869" s="4">
        <f>CHOOSE( CONTROL!$C$32, 30.2956, 30.2954) * CHOOSE(CONTROL!$C$15, $D$11, 100%, $F$11)</f>
        <v>30.2956</v>
      </c>
      <c r="K869" s="4"/>
      <c r="L869" s="9">
        <v>29.306000000000001</v>
      </c>
      <c r="M869" s="9">
        <v>12.063700000000001</v>
      </c>
      <c r="N869" s="9">
        <v>4.9444999999999997</v>
      </c>
      <c r="O869" s="9">
        <v>0.37409999999999999</v>
      </c>
      <c r="P869" s="9">
        <v>1.2927</v>
      </c>
      <c r="Q869" s="9">
        <v>19.688099999999999</v>
      </c>
      <c r="R869" s="9"/>
      <c r="S869" s="11"/>
    </row>
    <row r="870" spans="1:19" ht="15.75">
      <c r="A870" s="13">
        <v>67631</v>
      </c>
      <c r="B870" s="8">
        <f>CHOOSE( CONTROL!$C$32, 29.2075, 29.2072) * CHOOSE(CONTROL!$C$15, $D$11, 100%, $F$11)</f>
        <v>29.2075</v>
      </c>
      <c r="C870" s="8">
        <f>CHOOSE( CONTROL!$C$32, 29.2125, 29.2123) * CHOOSE(CONTROL!$C$15, $D$11, 100%, $F$11)</f>
        <v>29.212499999999999</v>
      </c>
      <c r="D870" s="8">
        <f>CHOOSE( CONTROL!$C$32, 29.1925, 29.1922) * CHOOSE( CONTROL!$C$15, $D$11, 100%, $F$11)</f>
        <v>29.192499999999999</v>
      </c>
      <c r="E870" s="12">
        <f>CHOOSE( CONTROL!$C$32, 29.1993, 29.199) * CHOOSE( CONTROL!$C$15, $D$11, 100%, $F$11)</f>
        <v>29.199300000000001</v>
      </c>
      <c r="F870" s="4">
        <f>CHOOSE( CONTROL!$C$32, 29.8727, 29.8725) * CHOOSE(CONTROL!$C$15, $D$11, 100%, $F$11)</f>
        <v>29.872699999999998</v>
      </c>
      <c r="G870" s="8">
        <f>CHOOSE( CONTROL!$C$32, 28.8691, 28.8688) * CHOOSE( CONTROL!$C$15, $D$11, 100%, $F$11)</f>
        <v>28.8691</v>
      </c>
      <c r="H870" s="4">
        <f>CHOOSE( CONTROL!$C$32, 29.7696, 29.7693) * CHOOSE(CONTROL!$C$15, $D$11, 100%, $F$11)</f>
        <v>29.769600000000001</v>
      </c>
      <c r="I870" s="8">
        <f>CHOOSE( CONTROL!$C$32, 28.4653, 28.465) * CHOOSE(CONTROL!$C$15, $D$11, 100%, $F$11)</f>
        <v>28.465299999999999</v>
      </c>
      <c r="J870" s="4">
        <f>CHOOSE( CONTROL!$C$32, 28.3371, 28.3368) * CHOOSE(CONTROL!$C$15, $D$11, 100%, $F$11)</f>
        <v>28.3371</v>
      </c>
      <c r="K870" s="4"/>
      <c r="L870" s="9">
        <v>26.469899999999999</v>
      </c>
      <c r="M870" s="9">
        <v>10.8962</v>
      </c>
      <c r="N870" s="9">
        <v>4.4660000000000002</v>
      </c>
      <c r="O870" s="9">
        <v>0.33789999999999998</v>
      </c>
      <c r="P870" s="9">
        <v>1.1676</v>
      </c>
      <c r="Q870" s="9">
        <v>17.782800000000002</v>
      </c>
      <c r="R870" s="9"/>
      <c r="S870" s="11"/>
    </row>
    <row r="871" spans="1:19" ht="15.75">
      <c r="A871" s="13">
        <v>67662</v>
      </c>
      <c r="B871" s="8">
        <f>CHOOSE( CONTROL!$C$32, 28.5859, 28.5856) * CHOOSE(CONTROL!$C$15, $D$11, 100%, $F$11)</f>
        <v>28.585899999999999</v>
      </c>
      <c r="C871" s="8">
        <f>CHOOSE( CONTROL!$C$32, 28.591, 28.5907) * CHOOSE(CONTROL!$C$15, $D$11, 100%, $F$11)</f>
        <v>28.591000000000001</v>
      </c>
      <c r="D871" s="8">
        <f>CHOOSE( CONTROL!$C$32, 28.561, 28.5607) * CHOOSE( CONTROL!$C$15, $D$11, 100%, $F$11)</f>
        <v>28.561</v>
      </c>
      <c r="E871" s="12">
        <f>CHOOSE( CONTROL!$C$32, 28.5714, 28.5711) * CHOOSE( CONTROL!$C$15, $D$11, 100%, $F$11)</f>
        <v>28.571400000000001</v>
      </c>
      <c r="F871" s="4">
        <f>CHOOSE( CONTROL!$C$32, 29.2512, 29.2509) * CHOOSE(CONTROL!$C$15, $D$11, 100%, $F$11)</f>
        <v>29.251200000000001</v>
      </c>
      <c r="G871" s="8">
        <f>CHOOSE( CONTROL!$C$32, 28.2416, 28.2413) * CHOOSE( CONTROL!$C$15, $D$11, 100%, $F$11)</f>
        <v>28.241599999999998</v>
      </c>
      <c r="H871" s="4">
        <f>CHOOSE( CONTROL!$C$32, 29.1553, 29.155) * CHOOSE(CONTROL!$C$15, $D$11, 100%, $F$11)</f>
        <v>29.1553</v>
      </c>
      <c r="I871" s="8">
        <f>CHOOSE( CONTROL!$C$32, 27.8266, 27.8263) * CHOOSE(CONTROL!$C$15, $D$11, 100%, $F$11)</f>
        <v>27.826599999999999</v>
      </c>
      <c r="J871" s="4">
        <f>CHOOSE( CONTROL!$C$32, 27.7339, 27.7336) * CHOOSE(CONTROL!$C$15, $D$11, 100%, $F$11)</f>
        <v>27.733899999999998</v>
      </c>
      <c r="K871" s="4"/>
      <c r="L871" s="9">
        <v>29.306000000000001</v>
      </c>
      <c r="M871" s="9">
        <v>12.063700000000001</v>
      </c>
      <c r="N871" s="9">
        <v>4.9444999999999997</v>
      </c>
      <c r="O871" s="9">
        <v>0.37409999999999999</v>
      </c>
      <c r="P871" s="9">
        <v>1.2927</v>
      </c>
      <c r="Q871" s="9">
        <v>19.688099999999999</v>
      </c>
      <c r="R871" s="9"/>
      <c r="S871" s="11"/>
    </row>
    <row r="872" spans="1:19" ht="15.75">
      <c r="A872" s="13">
        <v>67692</v>
      </c>
      <c r="B872" s="8">
        <f>CHOOSE( CONTROL!$C$32, 29.021, 29.0207) * CHOOSE(CONTROL!$C$15, $D$11, 100%, $F$11)</f>
        <v>29.021000000000001</v>
      </c>
      <c r="C872" s="8">
        <f>CHOOSE( CONTROL!$C$32, 29.0255, 29.0252) * CHOOSE(CONTROL!$C$15, $D$11, 100%, $F$11)</f>
        <v>29.025500000000001</v>
      </c>
      <c r="D872" s="8">
        <f>CHOOSE( CONTROL!$C$32, 29.025, 29.0247) * CHOOSE( CONTROL!$C$15, $D$11, 100%, $F$11)</f>
        <v>29.024999999999999</v>
      </c>
      <c r="E872" s="12">
        <f>CHOOSE( CONTROL!$C$32, 29.0247, 29.0244) * CHOOSE( CONTROL!$C$15, $D$11, 100%, $F$11)</f>
        <v>29.024699999999999</v>
      </c>
      <c r="F872" s="4">
        <f>CHOOSE( CONTROL!$C$32, 29.7293, 29.729) * CHOOSE(CONTROL!$C$15, $D$11, 100%, $F$11)</f>
        <v>29.729299999999999</v>
      </c>
      <c r="G872" s="8">
        <f>CHOOSE( CONTROL!$C$32, 28.6878, 28.6876) * CHOOSE( CONTROL!$C$15, $D$11, 100%, $F$11)</f>
        <v>28.687799999999999</v>
      </c>
      <c r="H872" s="4">
        <f>CHOOSE( CONTROL!$C$32, 29.6278, 29.6275) * CHOOSE(CONTROL!$C$15, $D$11, 100%, $F$11)</f>
        <v>29.627800000000001</v>
      </c>
      <c r="I872" s="8">
        <f>CHOOSE( CONTROL!$C$32, 28.2488, 28.2486) * CHOOSE(CONTROL!$C$15, $D$11, 100%, $F$11)</f>
        <v>28.248799999999999</v>
      </c>
      <c r="J872" s="4">
        <f>CHOOSE( CONTROL!$C$32, 28.1554, 28.1551) * CHOOSE(CONTROL!$C$15, $D$11, 100%, $F$11)</f>
        <v>28.1554</v>
      </c>
      <c r="K872" s="4"/>
      <c r="L872" s="9">
        <v>30.092199999999998</v>
      </c>
      <c r="M872" s="9">
        <v>11.6745</v>
      </c>
      <c r="N872" s="9">
        <v>4.7850000000000001</v>
      </c>
      <c r="O872" s="9">
        <v>0.36199999999999999</v>
      </c>
      <c r="P872" s="9">
        <v>1.2509999999999999</v>
      </c>
      <c r="Q872" s="9">
        <v>19.053000000000001</v>
      </c>
      <c r="R872" s="9"/>
      <c r="S872" s="11"/>
    </row>
    <row r="873" spans="1:19" ht="15.75">
      <c r="A873" s="13">
        <v>67723</v>
      </c>
      <c r="B873" s="8">
        <f>CHOOSE( CONTROL!$C$32, 29.7956, 29.7951) * CHOOSE(CONTROL!$C$15, $D$11, 100%, $F$11)</f>
        <v>29.7956</v>
      </c>
      <c r="C873" s="8">
        <f>CHOOSE( CONTROL!$C$32, 29.8035, 29.8031) * CHOOSE(CONTROL!$C$15, $D$11, 100%, $F$11)</f>
        <v>29.8035</v>
      </c>
      <c r="D873" s="8">
        <f>CHOOSE( CONTROL!$C$32, 29.7978, 29.7974) * CHOOSE( CONTROL!$C$15, $D$11, 100%, $F$11)</f>
        <v>29.797799999999999</v>
      </c>
      <c r="E873" s="12">
        <f>CHOOSE( CONTROL!$C$32, 29.7987, 29.7982) * CHOOSE( CONTROL!$C$15, $D$11, 100%, $F$11)</f>
        <v>29.7987</v>
      </c>
      <c r="F873" s="4">
        <f>CHOOSE( CONTROL!$C$32, 30.5025, 30.502) * CHOOSE(CONTROL!$C$15, $D$11, 100%, $F$11)</f>
        <v>30.502500000000001</v>
      </c>
      <c r="G873" s="8">
        <f>CHOOSE( CONTROL!$C$32, 29.4523, 29.4519) * CHOOSE( CONTROL!$C$15, $D$11, 100%, $F$11)</f>
        <v>29.452300000000001</v>
      </c>
      <c r="H873" s="4">
        <f>CHOOSE( CONTROL!$C$32, 30.3919, 30.3915) * CHOOSE(CONTROL!$C$15, $D$11, 100%, $F$11)</f>
        <v>30.3919</v>
      </c>
      <c r="I873" s="8">
        <f>CHOOSE( CONTROL!$C$32, 29.0002, 28.9997) * CHOOSE(CONTROL!$C$15, $D$11, 100%, $F$11)</f>
        <v>29.0002</v>
      </c>
      <c r="J873" s="4">
        <f>CHOOSE( CONTROL!$C$32, 28.9058, 28.9053) * CHOOSE(CONTROL!$C$15, $D$11, 100%, $F$11)</f>
        <v>28.905799999999999</v>
      </c>
      <c r="K873" s="4"/>
      <c r="L873" s="9">
        <v>30.7165</v>
      </c>
      <c r="M873" s="9">
        <v>12.063700000000001</v>
      </c>
      <c r="N873" s="9">
        <v>4.9444999999999997</v>
      </c>
      <c r="O873" s="9">
        <v>0.37409999999999999</v>
      </c>
      <c r="P873" s="9">
        <v>1.2927</v>
      </c>
      <c r="Q873" s="9">
        <v>19.688099999999999</v>
      </c>
      <c r="R873" s="9"/>
      <c r="S873" s="11"/>
    </row>
    <row r="874" spans="1:19" ht="15.75">
      <c r="A874" s="13">
        <v>67753</v>
      </c>
      <c r="B874" s="8">
        <f>CHOOSE( CONTROL!$C$32, 29.3167, 29.3163) * CHOOSE(CONTROL!$C$15, $D$11, 100%, $F$11)</f>
        <v>29.316700000000001</v>
      </c>
      <c r="C874" s="8">
        <f>CHOOSE( CONTROL!$C$32, 29.3247, 29.3242) * CHOOSE(CONTROL!$C$15, $D$11, 100%, $F$11)</f>
        <v>29.3247</v>
      </c>
      <c r="D874" s="8">
        <f>CHOOSE( CONTROL!$C$32, 29.3194, 29.3189) * CHOOSE( CONTROL!$C$15, $D$11, 100%, $F$11)</f>
        <v>29.319400000000002</v>
      </c>
      <c r="E874" s="12">
        <f>CHOOSE( CONTROL!$C$32, 29.3201, 29.3196) * CHOOSE( CONTROL!$C$15, $D$11, 100%, $F$11)</f>
        <v>29.3201</v>
      </c>
      <c r="F874" s="4">
        <f>CHOOSE( CONTROL!$C$32, 30.0236, 30.0232) * CHOOSE(CONTROL!$C$15, $D$11, 100%, $F$11)</f>
        <v>30.023599999999998</v>
      </c>
      <c r="G874" s="8">
        <f>CHOOSE( CONTROL!$C$32, 28.9794, 28.979) * CHOOSE( CONTROL!$C$15, $D$11, 100%, $F$11)</f>
        <v>28.979399999999998</v>
      </c>
      <c r="H874" s="4">
        <f>CHOOSE( CONTROL!$C$32, 29.9187, 29.9182) * CHOOSE(CONTROL!$C$15, $D$11, 100%, $F$11)</f>
        <v>29.918700000000001</v>
      </c>
      <c r="I874" s="8">
        <f>CHOOSE( CONTROL!$C$32, 28.5366, 28.5362) * CHOOSE(CONTROL!$C$15, $D$11, 100%, $F$11)</f>
        <v>28.5366</v>
      </c>
      <c r="J874" s="4">
        <f>CHOOSE( CONTROL!$C$32, 28.441, 28.4406) * CHOOSE(CONTROL!$C$15, $D$11, 100%, $F$11)</f>
        <v>28.440999999999999</v>
      </c>
      <c r="K874" s="4"/>
      <c r="L874" s="9">
        <v>29.7257</v>
      </c>
      <c r="M874" s="9">
        <v>11.6745</v>
      </c>
      <c r="N874" s="9">
        <v>4.7850000000000001</v>
      </c>
      <c r="O874" s="9">
        <v>0.36199999999999999</v>
      </c>
      <c r="P874" s="9">
        <v>1.2509999999999999</v>
      </c>
      <c r="Q874" s="9">
        <v>19.053000000000001</v>
      </c>
      <c r="R874" s="9"/>
      <c r="S874" s="11"/>
    </row>
    <row r="875" spans="1:19" ht="15.75">
      <c r="A875" s="13">
        <v>67784</v>
      </c>
      <c r="B875" s="8">
        <f>CHOOSE( CONTROL!$C$32, 30.5777, 30.5773) * CHOOSE(CONTROL!$C$15, $D$11, 100%, $F$11)</f>
        <v>30.5777</v>
      </c>
      <c r="C875" s="8">
        <f>CHOOSE( CONTROL!$C$32, 30.5857, 30.5852) * CHOOSE(CONTROL!$C$15, $D$11, 100%, $F$11)</f>
        <v>30.585699999999999</v>
      </c>
      <c r="D875" s="8">
        <f>CHOOSE( CONTROL!$C$32, 30.5808, 30.5804) * CHOOSE( CONTROL!$C$15, $D$11, 100%, $F$11)</f>
        <v>30.5808</v>
      </c>
      <c r="E875" s="12">
        <f>CHOOSE( CONTROL!$C$32, 30.5814, 30.5809) * CHOOSE( CONTROL!$C$15, $D$11, 100%, $F$11)</f>
        <v>30.581399999999999</v>
      </c>
      <c r="F875" s="4">
        <f>CHOOSE( CONTROL!$C$32, 31.2847, 31.2842) * CHOOSE(CONTROL!$C$15, $D$11, 100%, $F$11)</f>
        <v>31.284700000000001</v>
      </c>
      <c r="G875" s="8">
        <f>CHOOSE( CONTROL!$C$32, 30.226, 30.2256) * CHOOSE( CONTROL!$C$15, $D$11, 100%, $F$11)</f>
        <v>30.225999999999999</v>
      </c>
      <c r="H875" s="4">
        <f>CHOOSE( CONTROL!$C$32, 31.1649, 31.1645) * CHOOSE(CONTROL!$C$15, $D$11, 100%, $F$11)</f>
        <v>31.164899999999999</v>
      </c>
      <c r="I875" s="8">
        <f>CHOOSE( CONTROL!$C$32, 29.7626, 29.7621) * CHOOSE(CONTROL!$C$15, $D$11, 100%, $F$11)</f>
        <v>29.762599999999999</v>
      </c>
      <c r="J875" s="4">
        <f>CHOOSE( CONTROL!$C$32, 29.6649, 29.6644) * CHOOSE(CONTROL!$C$15, $D$11, 100%, $F$11)</f>
        <v>29.664899999999999</v>
      </c>
      <c r="K875" s="4"/>
      <c r="L875" s="9">
        <v>30.7165</v>
      </c>
      <c r="M875" s="9">
        <v>12.063700000000001</v>
      </c>
      <c r="N875" s="9">
        <v>4.9444999999999997</v>
      </c>
      <c r="O875" s="9">
        <v>0.37409999999999999</v>
      </c>
      <c r="P875" s="9">
        <v>1.2927</v>
      </c>
      <c r="Q875" s="9">
        <v>19.688099999999999</v>
      </c>
      <c r="R875" s="9"/>
      <c r="S875" s="11"/>
    </row>
    <row r="876" spans="1:19" ht="15.75">
      <c r="A876" s="13">
        <v>67815</v>
      </c>
      <c r="B876" s="8">
        <f>CHOOSE( CONTROL!$C$32, 28.2182, 28.2178) * CHOOSE(CONTROL!$C$15, $D$11, 100%, $F$11)</f>
        <v>28.2182</v>
      </c>
      <c r="C876" s="8">
        <f>CHOOSE( CONTROL!$C$32, 28.2262, 28.2258) * CHOOSE(CONTROL!$C$15, $D$11, 100%, $F$11)</f>
        <v>28.226199999999999</v>
      </c>
      <c r="D876" s="8">
        <f>CHOOSE( CONTROL!$C$32, 28.2215, 28.221) * CHOOSE( CONTROL!$C$15, $D$11, 100%, $F$11)</f>
        <v>28.221499999999999</v>
      </c>
      <c r="E876" s="12">
        <f>CHOOSE( CONTROL!$C$32, 28.222, 28.2215) * CHOOSE( CONTROL!$C$15, $D$11, 100%, $F$11)</f>
        <v>28.222000000000001</v>
      </c>
      <c r="F876" s="4">
        <f>CHOOSE( CONTROL!$C$32, 28.9252, 28.9247) * CHOOSE(CONTROL!$C$15, $D$11, 100%, $F$11)</f>
        <v>28.9252</v>
      </c>
      <c r="G876" s="8">
        <f>CHOOSE( CONTROL!$C$32, 27.8943, 27.8938) * CHOOSE( CONTROL!$C$15, $D$11, 100%, $F$11)</f>
        <v>27.894300000000001</v>
      </c>
      <c r="H876" s="4">
        <f>CHOOSE( CONTROL!$C$32, 28.8331, 28.8326) * CHOOSE(CONTROL!$C$15, $D$11, 100%, $F$11)</f>
        <v>28.833100000000002</v>
      </c>
      <c r="I876" s="8">
        <f>CHOOSE( CONTROL!$C$32, 27.472, 27.4716) * CHOOSE(CONTROL!$C$15, $D$11, 100%, $F$11)</f>
        <v>27.472000000000001</v>
      </c>
      <c r="J876" s="4">
        <f>CHOOSE( CONTROL!$C$32, 27.375, 27.3745) * CHOOSE(CONTROL!$C$15, $D$11, 100%, $F$11)</f>
        <v>27.375</v>
      </c>
      <c r="K876" s="4"/>
      <c r="L876" s="9">
        <v>30.7165</v>
      </c>
      <c r="M876" s="9">
        <v>12.063700000000001</v>
      </c>
      <c r="N876" s="9">
        <v>4.9444999999999997</v>
      </c>
      <c r="O876" s="9">
        <v>0.37409999999999999</v>
      </c>
      <c r="P876" s="9">
        <v>1.2927</v>
      </c>
      <c r="Q876" s="9">
        <v>19.688099999999999</v>
      </c>
      <c r="R876" s="9"/>
      <c r="S876" s="11"/>
    </row>
    <row r="877" spans="1:19" ht="15.75">
      <c r="A877" s="13">
        <v>67845</v>
      </c>
      <c r="B877" s="8">
        <f>CHOOSE( CONTROL!$C$32, 27.6274, 27.6269) * CHOOSE(CONTROL!$C$15, $D$11, 100%, $F$11)</f>
        <v>27.627400000000002</v>
      </c>
      <c r="C877" s="8">
        <f>CHOOSE( CONTROL!$C$32, 27.6354, 27.6349) * CHOOSE(CONTROL!$C$15, $D$11, 100%, $F$11)</f>
        <v>27.635400000000001</v>
      </c>
      <c r="D877" s="8">
        <f>CHOOSE( CONTROL!$C$32, 27.6305, 27.63) * CHOOSE( CONTROL!$C$15, $D$11, 100%, $F$11)</f>
        <v>27.630500000000001</v>
      </c>
      <c r="E877" s="12">
        <f>CHOOSE( CONTROL!$C$32, 27.6311, 27.6306) * CHOOSE( CONTROL!$C$15, $D$11, 100%, $F$11)</f>
        <v>27.6311</v>
      </c>
      <c r="F877" s="4">
        <f>CHOOSE( CONTROL!$C$32, 28.3343, 28.3339) * CHOOSE(CONTROL!$C$15, $D$11, 100%, $F$11)</f>
        <v>28.334299999999999</v>
      </c>
      <c r="G877" s="8">
        <f>CHOOSE( CONTROL!$C$32, 27.3102, 27.3098) * CHOOSE( CONTROL!$C$15, $D$11, 100%, $F$11)</f>
        <v>27.310199999999998</v>
      </c>
      <c r="H877" s="4">
        <f>CHOOSE( CONTROL!$C$32, 28.2492, 28.2487) * CHOOSE(CONTROL!$C$15, $D$11, 100%, $F$11)</f>
        <v>28.249199999999998</v>
      </c>
      <c r="I877" s="8">
        <f>CHOOSE( CONTROL!$C$32, 26.8978, 26.8974) * CHOOSE(CONTROL!$C$15, $D$11, 100%, $F$11)</f>
        <v>26.8978</v>
      </c>
      <c r="J877" s="4">
        <f>CHOOSE( CONTROL!$C$32, 26.8016, 26.8011) * CHOOSE(CONTROL!$C$15, $D$11, 100%, $F$11)</f>
        <v>26.801600000000001</v>
      </c>
      <c r="K877" s="4"/>
      <c r="L877" s="9">
        <v>29.7257</v>
      </c>
      <c r="M877" s="9">
        <v>11.6745</v>
      </c>
      <c r="N877" s="9">
        <v>4.7850000000000001</v>
      </c>
      <c r="O877" s="9">
        <v>0.36199999999999999</v>
      </c>
      <c r="P877" s="9">
        <v>1.2509999999999999</v>
      </c>
      <c r="Q877" s="9">
        <v>19.053000000000001</v>
      </c>
      <c r="R877" s="9"/>
      <c r="S877" s="11"/>
    </row>
    <row r="878" spans="1:19" ht="15.75">
      <c r="A878" s="13">
        <v>67876</v>
      </c>
      <c r="B878" s="8">
        <f>CHOOSE( CONTROL!$C$32, 28.8523, 28.852) * CHOOSE(CONTROL!$C$15, $D$11, 100%, $F$11)</f>
        <v>28.8523</v>
      </c>
      <c r="C878" s="8">
        <f>CHOOSE( CONTROL!$C$32, 28.8576, 28.8573) * CHOOSE(CONTROL!$C$15, $D$11, 100%, $F$11)</f>
        <v>28.857600000000001</v>
      </c>
      <c r="D878" s="8">
        <f>CHOOSE( CONTROL!$C$32, 28.8578, 28.8575) * CHOOSE( CONTROL!$C$15, $D$11, 100%, $F$11)</f>
        <v>28.857800000000001</v>
      </c>
      <c r="E878" s="12">
        <f>CHOOSE( CONTROL!$C$32, 28.8572, 28.8569) * CHOOSE( CONTROL!$C$15, $D$11, 100%, $F$11)</f>
        <v>28.857199999999999</v>
      </c>
      <c r="F878" s="4">
        <f>CHOOSE( CONTROL!$C$32, 29.5609, 29.5607) * CHOOSE(CONTROL!$C$15, $D$11, 100%, $F$11)</f>
        <v>29.5609</v>
      </c>
      <c r="G878" s="8">
        <f>CHOOSE( CONTROL!$C$32, 28.5224, 28.5221) * CHOOSE( CONTROL!$C$15, $D$11, 100%, $F$11)</f>
        <v>28.522400000000001</v>
      </c>
      <c r="H878" s="4">
        <f>CHOOSE( CONTROL!$C$32, 29.4614, 29.4611) * CHOOSE(CONTROL!$C$15, $D$11, 100%, $F$11)</f>
        <v>29.461400000000001</v>
      </c>
      <c r="I878" s="8">
        <f>CHOOSE( CONTROL!$C$32, 28.0895, 28.0893) * CHOOSE(CONTROL!$C$15, $D$11, 100%, $F$11)</f>
        <v>28.089500000000001</v>
      </c>
      <c r="J878" s="4">
        <f>CHOOSE( CONTROL!$C$32, 27.992, 27.9917) * CHOOSE(CONTROL!$C$15, $D$11, 100%, $F$11)</f>
        <v>27.992000000000001</v>
      </c>
      <c r="K878" s="4"/>
      <c r="L878" s="9">
        <v>31.095300000000002</v>
      </c>
      <c r="M878" s="9">
        <v>12.063700000000001</v>
      </c>
      <c r="N878" s="9">
        <v>4.9444999999999997</v>
      </c>
      <c r="O878" s="9">
        <v>0.37409999999999999</v>
      </c>
      <c r="P878" s="9">
        <v>1.2927</v>
      </c>
      <c r="Q878" s="9">
        <v>19.688099999999999</v>
      </c>
      <c r="R878" s="9"/>
      <c r="S878" s="11"/>
    </row>
    <row r="879" spans="1:19" ht="15.75">
      <c r="A879" s="13">
        <v>67906</v>
      </c>
      <c r="B879" s="8">
        <f>CHOOSE( CONTROL!$C$32, 31.1163, 31.116) * CHOOSE(CONTROL!$C$15, $D$11, 100%, $F$11)</f>
        <v>31.116299999999999</v>
      </c>
      <c r="C879" s="8">
        <f>CHOOSE( CONTROL!$C$32, 31.1214, 31.1211) * CHOOSE(CONTROL!$C$15, $D$11, 100%, $F$11)</f>
        <v>31.121400000000001</v>
      </c>
      <c r="D879" s="8">
        <f>CHOOSE( CONTROL!$C$32, 31.0892, 31.0889) * CHOOSE( CONTROL!$C$15, $D$11, 100%, $F$11)</f>
        <v>31.089200000000002</v>
      </c>
      <c r="E879" s="12">
        <f>CHOOSE( CONTROL!$C$32, 31.1004, 31.1001) * CHOOSE( CONTROL!$C$15, $D$11, 100%, $F$11)</f>
        <v>31.1004</v>
      </c>
      <c r="F879" s="4">
        <f>CHOOSE( CONTROL!$C$32, 31.7816, 31.7813) * CHOOSE(CONTROL!$C$15, $D$11, 100%, $F$11)</f>
        <v>31.781600000000001</v>
      </c>
      <c r="G879" s="8">
        <f>CHOOSE( CONTROL!$C$32, 30.7492, 30.749) * CHOOSE( CONTROL!$C$15, $D$11, 100%, $F$11)</f>
        <v>30.749199999999998</v>
      </c>
      <c r="H879" s="4">
        <f>CHOOSE( CONTROL!$C$32, 31.656, 31.6557) * CHOOSE(CONTROL!$C$15, $D$11, 100%, $F$11)</f>
        <v>31.655999999999999</v>
      </c>
      <c r="I879" s="8">
        <f>CHOOSE( CONTROL!$C$32, 30.3391, 30.3388) * CHOOSE(CONTROL!$C$15, $D$11, 100%, $F$11)</f>
        <v>30.339099999999998</v>
      </c>
      <c r="J879" s="4">
        <f>CHOOSE( CONTROL!$C$32, 30.1896, 30.1893) * CHOOSE(CONTROL!$C$15, $D$11, 100%, $F$11)</f>
        <v>30.189599999999999</v>
      </c>
      <c r="K879" s="4"/>
      <c r="L879" s="9">
        <v>28.360600000000002</v>
      </c>
      <c r="M879" s="9">
        <v>11.6745</v>
      </c>
      <c r="N879" s="9">
        <v>4.7850000000000001</v>
      </c>
      <c r="O879" s="9">
        <v>0.36199999999999999</v>
      </c>
      <c r="P879" s="9">
        <v>1.2509999999999999</v>
      </c>
      <c r="Q879" s="9">
        <v>19.053000000000001</v>
      </c>
      <c r="R879" s="9"/>
      <c r="S879" s="11"/>
    </row>
    <row r="880" spans="1:19" ht="15.75">
      <c r="A880" s="13">
        <v>67937</v>
      </c>
      <c r="B880" s="8">
        <f>CHOOSE( CONTROL!$C$32, 31.0597, 31.0594) * CHOOSE(CONTROL!$C$15, $D$11, 100%, $F$11)</f>
        <v>31.059699999999999</v>
      </c>
      <c r="C880" s="8">
        <f>CHOOSE( CONTROL!$C$32, 31.0648, 31.0645) * CHOOSE(CONTROL!$C$15, $D$11, 100%, $F$11)</f>
        <v>31.064800000000002</v>
      </c>
      <c r="D880" s="8">
        <f>CHOOSE( CONTROL!$C$32, 31.0345, 31.0342) * CHOOSE( CONTROL!$C$15, $D$11, 100%, $F$11)</f>
        <v>31.034500000000001</v>
      </c>
      <c r="E880" s="12">
        <f>CHOOSE( CONTROL!$C$32, 31.045, 31.0447) * CHOOSE( CONTROL!$C$15, $D$11, 100%, $F$11)</f>
        <v>31.045000000000002</v>
      </c>
      <c r="F880" s="4">
        <f>CHOOSE( CONTROL!$C$32, 31.725, 31.7247) * CHOOSE(CONTROL!$C$15, $D$11, 100%, $F$11)</f>
        <v>31.725000000000001</v>
      </c>
      <c r="G880" s="8">
        <f>CHOOSE( CONTROL!$C$32, 30.6947, 30.6944) * CHOOSE( CONTROL!$C$15, $D$11, 100%, $F$11)</f>
        <v>30.694700000000001</v>
      </c>
      <c r="H880" s="4">
        <f>CHOOSE( CONTROL!$C$32, 31.6001, 31.5998) * CHOOSE(CONTROL!$C$15, $D$11, 100%, $F$11)</f>
        <v>31.600100000000001</v>
      </c>
      <c r="I880" s="8">
        <f>CHOOSE( CONTROL!$C$32, 30.2898, 30.2896) * CHOOSE(CONTROL!$C$15, $D$11, 100%, $F$11)</f>
        <v>30.2898</v>
      </c>
      <c r="J880" s="4">
        <f>CHOOSE( CONTROL!$C$32, 30.1347, 30.1344) * CHOOSE(CONTROL!$C$15, $D$11, 100%, $F$11)</f>
        <v>30.134699999999999</v>
      </c>
      <c r="K880" s="4"/>
      <c r="L880" s="9">
        <v>29.306000000000001</v>
      </c>
      <c r="M880" s="9">
        <v>12.063700000000001</v>
      </c>
      <c r="N880" s="9">
        <v>4.9444999999999997</v>
      </c>
      <c r="O880" s="9">
        <v>0.37409999999999999</v>
      </c>
      <c r="P880" s="9">
        <v>1.2927</v>
      </c>
      <c r="Q880" s="9">
        <v>19.688099999999999</v>
      </c>
      <c r="R880" s="9"/>
      <c r="S880" s="11"/>
    </row>
    <row r="881" spans="1:19" ht="15.75">
      <c r="A881" s="13">
        <v>67968</v>
      </c>
      <c r="B881" s="8">
        <f>CHOOSE( CONTROL!$C$32, 31.9756, 31.9753) * CHOOSE(CONTROL!$C$15, $D$11, 100%, $F$11)</f>
        <v>31.9756</v>
      </c>
      <c r="C881" s="8">
        <f>CHOOSE( CONTROL!$C$32, 31.9807, 31.9804) * CHOOSE(CONTROL!$C$15, $D$11, 100%, $F$11)</f>
        <v>31.980699999999999</v>
      </c>
      <c r="D881" s="8">
        <f>CHOOSE( CONTROL!$C$32, 31.9783, 31.978) * CHOOSE( CONTROL!$C$15, $D$11, 100%, $F$11)</f>
        <v>31.978300000000001</v>
      </c>
      <c r="E881" s="12">
        <f>CHOOSE( CONTROL!$C$32, 31.9786, 31.9783) * CHOOSE( CONTROL!$C$15, $D$11, 100%, $F$11)</f>
        <v>31.9786</v>
      </c>
      <c r="F881" s="4">
        <f>CHOOSE( CONTROL!$C$32, 32.6409, 32.6406) * CHOOSE(CONTROL!$C$15, $D$11, 100%, $F$11)</f>
        <v>32.640900000000002</v>
      </c>
      <c r="G881" s="8">
        <f>CHOOSE( CONTROL!$C$32, 31.6159, 31.6157) * CHOOSE( CONTROL!$C$15, $D$11, 100%, $F$11)</f>
        <v>31.6159</v>
      </c>
      <c r="H881" s="4">
        <f>CHOOSE( CONTROL!$C$32, 32.5053, 32.505) * CHOOSE(CONTROL!$C$15, $D$11, 100%, $F$11)</f>
        <v>32.505299999999998</v>
      </c>
      <c r="I881" s="8">
        <f>CHOOSE( CONTROL!$C$32, 31.1527, 31.1524) * CHOOSE(CONTROL!$C$15, $D$11, 100%, $F$11)</f>
        <v>31.152699999999999</v>
      </c>
      <c r="J881" s="4">
        <f>CHOOSE( CONTROL!$C$32, 31.0236, 31.0233) * CHOOSE(CONTROL!$C$15, $D$11, 100%, $F$11)</f>
        <v>31.023599999999998</v>
      </c>
      <c r="K881" s="4"/>
      <c r="L881" s="9">
        <v>29.306000000000001</v>
      </c>
      <c r="M881" s="9">
        <v>12.063700000000001</v>
      </c>
      <c r="N881" s="9">
        <v>4.9444999999999997</v>
      </c>
      <c r="O881" s="9">
        <v>0.37409999999999999</v>
      </c>
      <c r="P881" s="9">
        <v>1.2927</v>
      </c>
      <c r="Q881" s="9">
        <v>19.688099999999999</v>
      </c>
      <c r="R881" s="9"/>
      <c r="S881" s="11"/>
    </row>
    <row r="882" spans="1:19" ht="15.75">
      <c r="A882" s="13">
        <v>67996</v>
      </c>
      <c r="B882" s="8">
        <f>CHOOSE( CONTROL!$C$32, 29.909, 29.9087) * CHOOSE(CONTROL!$C$15, $D$11, 100%, $F$11)</f>
        <v>29.908999999999999</v>
      </c>
      <c r="C882" s="8">
        <f>CHOOSE( CONTROL!$C$32, 29.9141, 29.9138) * CHOOSE(CONTROL!$C$15, $D$11, 100%, $F$11)</f>
        <v>29.914100000000001</v>
      </c>
      <c r="D882" s="8">
        <f>CHOOSE( CONTROL!$C$32, 29.8941, 29.8938) * CHOOSE( CONTROL!$C$15, $D$11, 100%, $F$11)</f>
        <v>29.894100000000002</v>
      </c>
      <c r="E882" s="12">
        <f>CHOOSE( CONTROL!$C$32, 29.9009, 29.9006) * CHOOSE( CONTROL!$C$15, $D$11, 100%, $F$11)</f>
        <v>29.9009</v>
      </c>
      <c r="F882" s="4">
        <f>CHOOSE( CONTROL!$C$32, 30.5743, 30.574) * CHOOSE(CONTROL!$C$15, $D$11, 100%, $F$11)</f>
        <v>30.574300000000001</v>
      </c>
      <c r="G882" s="8">
        <f>CHOOSE( CONTROL!$C$32, 29.5624, 29.5622) * CHOOSE( CONTROL!$C$15, $D$11, 100%, $F$11)</f>
        <v>29.5624</v>
      </c>
      <c r="H882" s="4">
        <f>CHOOSE( CONTROL!$C$32, 30.4629, 30.4626) * CHOOSE(CONTROL!$C$15, $D$11, 100%, $F$11)</f>
        <v>30.462900000000001</v>
      </c>
      <c r="I882" s="8">
        <f>CHOOSE( CONTROL!$C$32, 29.1465, 29.1462) * CHOOSE(CONTROL!$C$15, $D$11, 100%, $F$11)</f>
        <v>29.1465</v>
      </c>
      <c r="J882" s="4">
        <f>CHOOSE( CONTROL!$C$32, 29.018, 29.0177) * CHOOSE(CONTROL!$C$15, $D$11, 100%, $F$11)</f>
        <v>29.018000000000001</v>
      </c>
      <c r="K882" s="4"/>
      <c r="L882" s="9">
        <v>26.469899999999999</v>
      </c>
      <c r="M882" s="9">
        <v>10.8962</v>
      </c>
      <c r="N882" s="9">
        <v>4.4660000000000002</v>
      </c>
      <c r="O882" s="9">
        <v>0.33789999999999998</v>
      </c>
      <c r="P882" s="9">
        <v>1.1676</v>
      </c>
      <c r="Q882" s="9">
        <v>17.782800000000002</v>
      </c>
      <c r="R882" s="9"/>
      <c r="S882" s="11"/>
    </row>
    <row r="883" spans="1:19" ht="15.75">
      <c r="A883" s="13">
        <v>68027</v>
      </c>
      <c r="B883" s="8">
        <f>CHOOSE( CONTROL!$C$32, 29.2725, 29.2723) * CHOOSE(CONTROL!$C$15, $D$11, 100%, $F$11)</f>
        <v>29.272500000000001</v>
      </c>
      <c r="C883" s="8">
        <f>CHOOSE( CONTROL!$C$32, 29.2776, 29.2773) * CHOOSE(CONTROL!$C$15, $D$11, 100%, $F$11)</f>
        <v>29.2776</v>
      </c>
      <c r="D883" s="8">
        <f>CHOOSE( CONTROL!$C$32, 29.2476, 29.2473) * CHOOSE( CONTROL!$C$15, $D$11, 100%, $F$11)</f>
        <v>29.247599999999998</v>
      </c>
      <c r="E883" s="12">
        <f>CHOOSE( CONTROL!$C$32, 29.258, 29.2577) * CHOOSE( CONTROL!$C$15, $D$11, 100%, $F$11)</f>
        <v>29.257999999999999</v>
      </c>
      <c r="F883" s="4">
        <f>CHOOSE( CONTROL!$C$32, 29.9378, 29.9375) * CHOOSE(CONTROL!$C$15, $D$11, 100%, $F$11)</f>
        <v>29.937799999999999</v>
      </c>
      <c r="G883" s="8">
        <f>CHOOSE( CONTROL!$C$32, 28.9202, 28.9199) * CHOOSE( CONTROL!$C$15, $D$11, 100%, $F$11)</f>
        <v>28.920200000000001</v>
      </c>
      <c r="H883" s="4">
        <f>CHOOSE( CONTROL!$C$32, 29.8339, 29.8336) * CHOOSE(CONTROL!$C$15, $D$11, 100%, $F$11)</f>
        <v>29.8339</v>
      </c>
      <c r="I883" s="8">
        <f>CHOOSE( CONTROL!$C$32, 28.4933, 28.493) * CHOOSE(CONTROL!$C$15, $D$11, 100%, $F$11)</f>
        <v>28.493300000000001</v>
      </c>
      <c r="J883" s="4">
        <f>CHOOSE( CONTROL!$C$32, 28.4002, 28.4) * CHOOSE(CONTROL!$C$15, $D$11, 100%, $F$11)</f>
        <v>28.400200000000002</v>
      </c>
      <c r="K883" s="4"/>
      <c r="L883" s="9">
        <v>29.306000000000001</v>
      </c>
      <c r="M883" s="9">
        <v>12.063700000000001</v>
      </c>
      <c r="N883" s="9">
        <v>4.9444999999999997</v>
      </c>
      <c r="O883" s="9">
        <v>0.37409999999999999</v>
      </c>
      <c r="P883" s="9">
        <v>1.2927</v>
      </c>
      <c r="Q883" s="9">
        <v>19.688099999999999</v>
      </c>
      <c r="R883" s="9"/>
      <c r="S883" s="11"/>
    </row>
    <row r="884" spans="1:19" ht="15.75">
      <c r="A884" s="13">
        <v>68057</v>
      </c>
      <c r="B884" s="8">
        <f>CHOOSE( CONTROL!$C$32, 29.7181, 29.7178) * CHOOSE(CONTROL!$C$15, $D$11, 100%, $F$11)</f>
        <v>29.7181</v>
      </c>
      <c r="C884" s="8">
        <f>CHOOSE( CONTROL!$C$32, 29.7226, 29.7223) * CHOOSE(CONTROL!$C$15, $D$11, 100%, $F$11)</f>
        <v>29.7226</v>
      </c>
      <c r="D884" s="8">
        <f>CHOOSE( CONTROL!$C$32, 29.7221, 29.7218) * CHOOSE( CONTROL!$C$15, $D$11, 100%, $F$11)</f>
        <v>29.722100000000001</v>
      </c>
      <c r="E884" s="12">
        <f>CHOOSE( CONTROL!$C$32, 29.7218, 29.7215) * CHOOSE( CONTROL!$C$15, $D$11, 100%, $F$11)</f>
        <v>29.721800000000002</v>
      </c>
      <c r="F884" s="4">
        <f>CHOOSE( CONTROL!$C$32, 30.4264, 30.4261) * CHOOSE(CONTROL!$C$15, $D$11, 100%, $F$11)</f>
        <v>30.426400000000001</v>
      </c>
      <c r="G884" s="8">
        <f>CHOOSE( CONTROL!$C$32, 29.3767, 29.3765) * CHOOSE( CONTROL!$C$15, $D$11, 100%, $F$11)</f>
        <v>29.3767</v>
      </c>
      <c r="H884" s="4">
        <f>CHOOSE( CONTROL!$C$32, 30.3167, 30.3164) * CHOOSE(CONTROL!$C$15, $D$11, 100%, $F$11)</f>
        <v>30.316700000000001</v>
      </c>
      <c r="I884" s="8">
        <f>CHOOSE( CONTROL!$C$32, 28.9257, 28.9254) * CHOOSE(CONTROL!$C$15, $D$11, 100%, $F$11)</f>
        <v>28.925699999999999</v>
      </c>
      <c r="J884" s="4">
        <f>CHOOSE( CONTROL!$C$32, 28.8319, 28.8316) * CHOOSE(CONTROL!$C$15, $D$11, 100%, $F$11)</f>
        <v>28.831900000000001</v>
      </c>
      <c r="K884" s="4"/>
      <c r="L884" s="9">
        <v>30.092199999999998</v>
      </c>
      <c r="M884" s="9">
        <v>11.6745</v>
      </c>
      <c r="N884" s="9">
        <v>4.7850000000000001</v>
      </c>
      <c r="O884" s="9">
        <v>0.36199999999999999</v>
      </c>
      <c r="P884" s="9">
        <v>1.2509999999999999</v>
      </c>
      <c r="Q884" s="9">
        <v>19.053000000000001</v>
      </c>
      <c r="R884" s="9"/>
      <c r="S884" s="11"/>
    </row>
    <row r="885" spans="1:19" ht="15.75">
      <c r="A885" s="13">
        <v>68088</v>
      </c>
      <c r="B885" s="8">
        <f>CHOOSE( CONTROL!$C$32, 30.5112, 30.5107) * CHOOSE(CONTROL!$C$15, $D$11, 100%, $F$11)</f>
        <v>30.511199999999999</v>
      </c>
      <c r="C885" s="8">
        <f>CHOOSE( CONTROL!$C$32, 30.5192, 30.5187) * CHOOSE(CONTROL!$C$15, $D$11, 100%, $F$11)</f>
        <v>30.519200000000001</v>
      </c>
      <c r="D885" s="8">
        <f>CHOOSE( CONTROL!$C$32, 30.5135, 30.513) * CHOOSE( CONTROL!$C$15, $D$11, 100%, $F$11)</f>
        <v>30.513500000000001</v>
      </c>
      <c r="E885" s="12">
        <f>CHOOSE( CONTROL!$C$32, 30.5143, 30.5138) * CHOOSE( CONTROL!$C$15, $D$11, 100%, $F$11)</f>
        <v>30.514299999999999</v>
      </c>
      <c r="F885" s="4">
        <f>CHOOSE( CONTROL!$C$32, 31.2181, 31.2177) * CHOOSE(CONTROL!$C$15, $D$11, 100%, $F$11)</f>
        <v>31.2181</v>
      </c>
      <c r="G885" s="8">
        <f>CHOOSE( CONTROL!$C$32, 30.1596, 30.1591) * CHOOSE( CONTROL!$C$15, $D$11, 100%, $F$11)</f>
        <v>30.159600000000001</v>
      </c>
      <c r="H885" s="4">
        <f>CHOOSE( CONTROL!$C$32, 31.0992, 31.0987) * CHOOSE(CONTROL!$C$15, $D$11, 100%, $F$11)</f>
        <v>31.0992</v>
      </c>
      <c r="I885" s="8">
        <f>CHOOSE( CONTROL!$C$32, 29.695, 29.6946) * CHOOSE(CONTROL!$C$15, $D$11, 100%, $F$11)</f>
        <v>29.695</v>
      </c>
      <c r="J885" s="4">
        <f>CHOOSE( CONTROL!$C$32, 29.6003, 29.5999) * CHOOSE(CONTROL!$C$15, $D$11, 100%, $F$11)</f>
        <v>29.600300000000001</v>
      </c>
      <c r="K885" s="4"/>
      <c r="L885" s="9">
        <v>30.7165</v>
      </c>
      <c r="M885" s="9">
        <v>12.063700000000001</v>
      </c>
      <c r="N885" s="9">
        <v>4.9444999999999997</v>
      </c>
      <c r="O885" s="9">
        <v>0.37409999999999999</v>
      </c>
      <c r="P885" s="9">
        <v>1.2927</v>
      </c>
      <c r="Q885" s="9">
        <v>19.688099999999999</v>
      </c>
      <c r="R885" s="9"/>
      <c r="S885" s="11"/>
    </row>
    <row r="886" spans="1:19" ht="15.75">
      <c r="A886" s="13">
        <v>68118</v>
      </c>
      <c r="B886" s="8">
        <f>CHOOSE( CONTROL!$C$32, 30.0208, 30.0204) * CHOOSE(CONTROL!$C$15, $D$11, 100%, $F$11)</f>
        <v>30.020800000000001</v>
      </c>
      <c r="C886" s="8">
        <f>CHOOSE( CONTROL!$C$32, 30.0288, 30.0284) * CHOOSE(CONTROL!$C$15, $D$11, 100%, $F$11)</f>
        <v>30.0288</v>
      </c>
      <c r="D886" s="8">
        <f>CHOOSE( CONTROL!$C$32, 30.0235, 30.0231) * CHOOSE( CONTROL!$C$15, $D$11, 100%, $F$11)</f>
        <v>30.023499999999999</v>
      </c>
      <c r="E886" s="12">
        <f>CHOOSE( CONTROL!$C$32, 30.0242, 30.0238) * CHOOSE( CONTROL!$C$15, $D$11, 100%, $F$11)</f>
        <v>30.0242</v>
      </c>
      <c r="F886" s="4">
        <f>CHOOSE( CONTROL!$C$32, 30.7278, 30.7273) * CHOOSE(CONTROL!$C$15, $D$11, 100%, $F$11)</f>
        <v>30.727799999999998</v>
      </c>
      <c r="G886" s="8">
        <f>CHOOSE( CONTROL!$C$32, 29.6753, 29.6748) * CHOOSE( CONTROL!$C$15, $D$11, 100%, $F$11)</f>
        <v>29.6753</v>
      </c>
      <c r="H886" s="4">
        <f>CHOOSE( CONTROL!$C$32, 30.6146, 30.6141) * CHOOSE(CONTROL!$C$15, $D$11, 100%, $F$11)</f>
        <v>30.614599999999999</v>
      </c>
      <c r="I886" s="8">
        <f>CHOOSE( CONTROL!$C$32, 29.2203, 29.2199) * CHOOSE(CONTROL!$C$15, $D$11, 100%, $F$11)</f>
        <v>29.220300000000002</v>
      </c>
      <c r="J886" s="4">
        <f>CHOOSE( CONTROL!$C$32, 29.1244, 29.124) * CHOOSE(CONTROL!$C$15, $D$11, 100%, $F$11)</f>
        <v>29.124400000000001</v>
      </c>
      <c r="K886" s="4"/>
      <c r="L886" s="9">
        <v>29.7257</v>
      </c>
      <c r="M886" s="9">
        <v>11.6745</v>
      </c>
      <c r="N886" s="9">
        <v>4.7850000000000001</v>
      </c>
      <c r="O886" s="9">
        <v>0.36199999999999999</v>
      </c>
      <c r="P886" s="9">
        <v>1.2509999999999999</v>
      </c>
      <c r="Q886" s="9">
        <v>19.053000000000001</v>
      </c>
      <c r="R886" s="9"/>
      <c r="S886" s="11"/>
    </row>
    <row r="887" spans="1:19" ht="15.75">
      <c r="A887" s="13">
        <v>68149</v>
      </c>
      <c r="B887" s="8">
        <f>CHOOSE( CONTROL!$C$32, 31.3121, 31.3117) * CHOOSE(CONTROL!$C$15, $D$11, 100%, $F$11)</f>
        <v>31.312100000000001</v>
      </c>
      <c r="C887" s="8">
        <f>CHOOSE( CONTROL!$C$32, 31.3201, 31.3197) * CHOOSE(CONTROL!$C$15, $D$11, 100%, $F$11)</f>
        <v>31.3201</v>
      </c>
      <c r="D887" s="8">
        <f>CHOOSE( CONTROL!$C$32, 31.3153, 31.3148) * CHOOSE( CONTROL!$C$15, $D$11, 100%, $F$11)</f>
        <v>31.315300000000001</v>
      </c>
      <c r="E887" s="12">
        <f>CHOOSE( CONTROL!$C$32, 31.3158, 31.3154) * CHOOSE( CONTROL!$C$15, $D$11, 100%, $F$11)</f>
        <v>31.315799999999999</v>
      </c>
      <c r="F887" s="4">
        <f>CHOOSE( CONTROL!$C$32, 32.0191, 32.0186) * CHOOSE(CONTROL!$C$15, $D$11, 100%, $F$11)</f>
        <v>32.019100000000002</v>
      </c>
      <c r="G887" s="8">
        <f>CHOOSE( CONTROL!$C$32, 30.9518, 30.9514) * CHOOSE( CONTROL!$C$15, $D$11, 100%, $F$11)</f>
        <v>30.951799999999999</v>
      </c>
      <c r="H887" s="4">
        <f>CHOOSE( CONTROL!$C$32, 31.8908, 31.8903) * CHOOSE(CONTROL!$C$15, $D$11, 100%, $F$11)</f>
        <v>31.890799999999999</v>
      </c>
      <c r="I887" s="8">
        <f>CHOOSE( CONTROL!$C$32, 30.4757, 30.4753) * CHOOSE(CONTROL!$C$15, $D$11, 100%, $F$11)</f>
        <v>30.4757</v>
      </c>
      <c r="J887" s="4">
        <f>CHOOSE( CONTROL!$C$32, 30.3776, 30.3772) * CHOOSE(CONTROL!$C$15, $D$11, 100%, $F$11)</f>
        <v>30.377600000000001</v>
      </c>
      <c r="K887" s="4"/>
      <c r="L887" s="9">
        <v>30.7165</v>
      </c>
      <c r="M887" s="9">
        <v>12.063700000000001</v>
      </c>
      <c r="N887" s="9">
        <v>4.9444999999999997</v>
      </c>
      <c r="O887" s="9">
        <v>0.37409999999999999</v>
      </c>
      <c r="P887" s="9">
        <v>1.2927</v>
      </c>
      <c r="Q887" s="9">
        <v>19.688099999999999</v>
      </c>
      <c r="R887" s="9"/>
      <c r="S887" s="11"/>
    </row>
    <row r="888" spans="1:19" ht="15.75">
      <c r="A888" s="13">
        <v>68180</v>
      </c>
      <c r="B888" s="8">
        <f>CHOOSE( CONTROL!$C$32, 28.896, 28.8955) * CHOOSE(CONTROL!$C$15, $D$11, 100%, $F$11)</f>
        <v>28.896000000000001</v>
      </c>
      <c r="C888" s="8">
        <f>CHOOSE( CONTROL!$C$32, 28.9039, 28.9035) * CHOOSE(CONTROL!$C$15, $D$11, 100%, $F$11)</f>
        <v>28.9039</v>
      </c>
      <c r="D888" s="8">
        <f>CHOOSE( CONTROL!$C$32, 28.8992, 28.8988) * CHOOSE( CONTROL!$C$15, $D$11, 100%, $F$11)</f>
        <v>28.8992</v>
      </c>
      <c r="E888" s="12">
        <f>CHOOSE( CONTROL!$C$32, 28.8997, 28.8993) * CHOOSE( CONTROL!$C$15, $D$11, 100%, $F$11)</f>
        <v>28.899699999999999</v>
      </c>
      <c r="F888" s="4">
        <f>CHOOSE( CONTROL!$C$32, 29.6029, 29.6025) * CHOOSE(CONTROL!$C$15, $D$11, 100%, $F$11)</f>
        <v>29.602900000000002</v>
      </c>
      <c r="G888" s="8">
        <f>CHOOSE( CONTROL!$C$32, 28.5641, 28.5636) * CHOOSE( CONTROL!$C$15, $D$11, 100%, $F$11)</f>
        <v>28.5641</v>
      </c>
      <c r="H888" s="4">
        <f>CHOOSE( CONTROL!$C$32, 29.5029, 29.5024) * CHOOSE(CONTROL!$C$15, $D$11, 100%, $F$11)</f>
        <v>29.5029</v>
      </c>
      <c r="I888" s="8">
        <f>CHOOSE( CONTROL!$C$32, 28.1301, 28.1297) * CHOOSE(CONTROL!$C$15, $D$11, 100%, $F$11)</f>
        <v>28.130099999999999</v>
      </c>
      <c r="J888" s="4">
        <f>CHOOSE( CONTROL!$C$32, 28.0327, 28.0323) * CHOOSE(CONTROL!$C$15, $D$11, 100%, $F$11)</f>
        <v>28.032699999999998</v>
      </c>
      <c r="K888" s="4"/>
      <c r="L888" s="9">
        <v>30.7165</v>
      </c>
      <c r="M888" s="9">
        <v>12.063700000000001</v>
      </c>
      <c r="N888" s="9">
        <v>4.9444999999999997</v>
      </c>
      <c r="O888" s="9">
        <v>0.37409999999999999</v>
      </c>
      <c r="P888" s="9">
        <v>1.2927</v>
      </c>
      <c r="Q888" s="9">
        <v>19.688099999999999</v>
      </c>
      <c r="R888" s="9"/>
      <c r="S888" s="11"/>
    </row>
    <row r="889" spans="1:19" ht="15.75">
      <c r="A889" s="13">
        <v>68210</v>
      </c>
      <c r="B889" s="8">
        <f>CHOOSE( CONTROL!$C$32, 28.2909, 28.2905) * CHOOSE(CONTROL!$C$15, $D$11, 100%, $F$11)</f>
        <v>28.290900000000001</v>
      </c>
      <c r="C889" s="8">
        <f>CHOOSE( CONTROL!$C$32, 28.2989, 28.2984) * CHOOSE(CONTROL!$C$15, $D$11, 100%, $F$11)</f>
        <v>28.2989</v>
      </c>
      <c r="D889" s="8">
        <f>CHOOSE( CONTROL!$C$32, 28.294, 28.2936) * CHOOSE( CONTROL!$C$15, $D$11, 100%, $F$11)</f>
        <v>28.294</v>
      </c>
      <c r="E889" s="12">
        <f>CHOOSE( CONTROL!$C$32, 28.2946, 28.2941) * CHOOSE( CONTROL!$C$15, $D$11, 100%, $F$11)</f>
        <v>28.294599999999999</v>
      </c>
      <c r="F889" s="4">
        <f>CHOOSE( CONTROL!$C$32, 28.9979, 28.9974) * CHOOSE(CONTROL!$C$15, $D$11, 100%, $F$11)</f>
        <v>28.997900000000001</v>
      </c>
      <c r="G889" s="8">
        <f>CHOOSE( CONTROL!$C$32, 27.966, 27.9655) * CHOOSE( CONTROL!$C$15, $D$11, 100%, $F$11)</f>
        <v>27.966000000000001</v>
      </c>
      <c r="H889" s="4">
        <f>CHOOSE( CONTROL!$C$32, 28.9049, 28.9045) * CHOOSE(CONTROL!$C$15, $D$11, 100%, $F$11)</f>
        <v>28.904900000000001</v>
      </c>
      <c r="I889" s="8">
        <f>CHOOSE( CONTROL!$C$32, 27.5421, 27.5417) * CHOOSE(CONTROL!$C$15, $D$11, 100%, $F$11)</f>
        <v>27.542100000000001</v>
      </c>
      <c r="J889" s="4">
        <f>CHOOSE( CONTROL!$C$32, 27.4455, 27.4451) * CHOOSE(CONTROL!$C$15, $D$11, 100%, $F$11)</f>
        <v>27.445499999999999</v>
      </c>
      <c r="K889" s="4"/>
      <c r="L889" s="9">
        <v>29.7257</v>
      </c>
      <c r="M889" s="9">
        <v>11.6745</v>
      </c>
      <c r="N889" s="9">
        <v>4.7850000000000001</v>
      </c>
      <c r="O889" s="9">
        <v>0.36199999999999999</v>
      </c>
      <c r="P889" s="9">
        <v>1.2509999999999999</v>
      </c>
      <c r="Q889" s="9">
        <v>19.053000000000001</v>
      </c>
      <c r="R889" s="9"/>
      <c r="S889" s="11"/>
    </row>
    <row r="890" spans="1:19" ht="15.75">
      <c r="A890" s="13">
        <v>68241</v>
      </c>
      <c r="B890" s="8">
        <f>CHOOSE( CONTROL!$C$32, 29.5453, 29.545) * CHOOSE(CONTROL!$C$15, $D$11, 100%, $F$11)</f>
        <v>29.545300000000001</v>
      </c>
      <c r="C890" s="8">
        <f>CHOOSE( CONTROL!$C$32, 29.5506, 29.5503) * CHOOSE(CONTROL!$C$15, $D$11, 100%, $F$11)</f>
        <v>29.550599999999999</v>
      </c>
      <c r="D890" s="8">
        <f>CHOOSE( CONTROL!$C$32, 29.5508, 29.5506) * CHOOSE( CONTROL!$C$15, $D$11, 100%, $F$11)</f>
        <v>29.550799999999999</v>
      </c>
      <c r="E890" s="12">
        <f>CHOOSE( CONTROL!$C$32, 29.5502, 29.5499) * CHOOSE( CONTROL!$C$15, $D$11, 100%, $F$11)</f>
        <v>29.5502</v>
      </c>
      <c r="F890" s="4">
        <f>CHOOSE( CONTROL!$C$32, 30.254, 30.2537) * CHOOSE(CONTROL!$C$15, $D$11, 100%, $F$11)</f>
        <v>30.254000000000001</v>
      </c>
      <c r="G890" s="8">
        <f>CHOOSE( CONTROL!$C$32, 29.2073, 29.207) * CHOOSE( CONTROL!$C$15, $D$11, 100%, $F$11)</f>
        <v>29.2073</v>
      </c>
      <c r="H890" s="4">
        <f>CHOOSE( CONTROL!$C$32, 30.1463, 30.146) * CHOOSE(CONTROL!$C$15, $D$11, 100%, $F$11)</f>
        <v>30.1463</v>
      </c>
      <c r="I890" s="8">
        <f>CHOOSE( CONTROL!$C$32, 28.7624, 28.7622) * CHOOSE(CONTROL!$C$15, $D$11, 100%, $F$11)</f>
        <v>28.7624</v>
      </c>
      <c r="J890" s="4">
        <f>CHOOSE( CONTROL!$C$32, 28.6646, 28.6643) * CHOOSE(CONTROL!$C$15, $D$11, 100%, $F$11)</f>
        <v>28.6646</v>
      </c>
      <c r="K890" s="4"/>
      <c r="L890" s="9">
        <v>31.095300000000002</v>
      </c>
      <c r="M890" s="9">
        <v>12.063700000000001</v>
      </c>
      <c r="N890" s="9">
        <v>4.9444999999999997</v>
      </c>
      <c r="O890" s="9">
        <v>0.37409999999999999</v>
      </c>
      <c r="P890" s="9">
        <v>1.2927</v>
      </c>
      <c r="Q890" s="9">
        <v>19.688099999999999</v>
      </c>
      <c r="R890" s="9"/>
      <c r="S890" s="11"/>
    </row>
    <row r="891" spans="1:19" ht="15.75">
      <c r="A891" s="13">
        <v>68271</v>
      </c>
      <c r="B891" s="8">
        <f>CHOOSE( CONTROL!$C$32, 31.8637, 31.8634) * CHOOSE(CONTROL!$C$15, $D$11, 100%, $F$11)</f>
        <v>31.863700000000001</v>
      </c>
      <c r="C891" s="8">
        <f>CHOOSE( CONTROL!$C$32, 31.8688, 31.8685) * CHOOSE(CONTROL!$C$15, $D$11, 100%, $F$11)</f>
        <v>31.8688</v>
      </c>
      <c r="D891" s="8">
        <f>CHOOSE( CONTROL!$C$32, 31.8366, 31.8364) * CHOOSE( CONTROL!$C$15, $D$11, 100%, $F$11)</f>
        <v>31.836600000000001</v>
      </c>
      <c r="E891" s="12">
        <f>CHOOSE( CONTROL!$C$32, 31.8478, 31.8476) * CHOOSE( CONTROL!$C$15, $D$11, 100%, $F$11)</f>
        <v>31.847799999999999</v>
      </c>
      <c r="F891" s="4">
        <f>CHOOSE( CONTROL!$C$32, 32.529, 32.5287) * CHOOSE(CONTROL!$C$15, $D$11, 100%, $F$11)</f>
        <v>32.529000000000003</v>
      </c>
      <c r="G891" s="8">
        <f>CHOOSE( CONTROL!$C$32, 31.4879, 31.4876) * CHOOSE( CONTROL!$C$15, $D$11, 100%, $F$11)</f>
        <v>31.4879</v>
      </c>
      <c r="H891" s="4">
        <f>CHOOSE( CONTROL!$C$32, 32.3947, 32.3944) * CHOOSE(CONTROL!$C$15, $D$11, 100%, $F$11)</f>
        <v>32.3947</v>
      </c>
      <c r="I891" s="8">
        <f>CHOOSE( CONTROL!$C$32, 31.0648, 31.0645) * CHOOSE(CONTROL!$C$15, $D$11, 100%, $F$11)</f>
        <v>31.064800000000002</v>
      </c>
      <c r="J891" s="4">
        <f>CHOOSE( CONTROL!$C$32, 30.915, 30.9147) * CHOOSE(CONTROL!$C$15, $D$11, 100%, $F$11)</f>
        <v>30.914999999999999</v>
      </c>
      <c r="K891" s="4"/>
      <c r="L891" s="9">
        <v>28.360600000000002</v>
      </c>
      <c r="M891" s="9">
        <v>11.6745</v>
      </c>
      <c r="N891" s="9">
        <v>4.7850000000000001</v>
      </c>
      <c r="O891" s="9">
        <v>0.36199999999999999</v>
      </c>
      <c r="P891" s="9">
        <v>1.2509999999999999</v>
      </c>
      <c r="Q891" s="9">
        <v>19.053000000000001</v>
      </c>
      <c r="R891" s="9"/>
      <c r="S891" s="11"/>
    </row>
    <row r="892" spans="1:19" ht="15.75">
      <c r="A892" s="13">
        <v>68302</v>
      </c>
      <c r="B892" s="8">
        <f>CHOOSE( CONTROL!$C$32, 31.8058, 31.8055) * CHOOSE(CONTROL!$C$15, $D$11, 100%, $F$11)</f>
        <v>31.805800000000001</v>
      </c>
      <c r="C892" s="8">
        <f>CHOOSE( CONTROL!$C$32, 31.8108, 31.8106) * CHOOSE(CONTROL!$C$15, $D$11, 100%, $F$11)</f>
        <v>31.8108</v>
      </c>
      <c r="D892" s="8">
        <f>CHOOSE( CONTROL!$C$32, 31.7805, 31.7803) * CHOOSE( CONTROL!$C$15, $D$11, 100%, $F$11)</f>
        <v>31.7805</v>
      </c>
      <c r="E892" s="12">
        <f>CHOOSE( CONTROL!$C$32, 31.791, 31.7908) * CHOOSE( CONTROL!$C$15, $D$11, 100%, $F$11)</f>
        <v>31.791</v>
      </c>
      <c r="F892" s="4">
        <f>CHOOSE( CONTROL!$C$32, 32.471, 32.4708) * CHOOSE(CONTROL!$C$15, $D$11, 100%, $F$11)</f>
        <v>32.470999999999997</v>
      </c>
      <c r="G892" s="8">
        <f>CHOOSE( CONTROL!$C$32, 31.432, 31.4317) * CHOOSE( CONTROL!$C$15, $D$11, 100%, $F$11)</f>
        <v>31.431999999999999</v>
      </c>
      <c r="H892" s="4">
        <f>CHOOSE( CONTROL!$C$32, 32.3374, 32.3372) * CHOOSE(CONTROL!$C$15, $D$11, 100%, $F$11)</f>
        <v>32.337400000000002</v>
      </c>
      <c r="I892" s="8">
        <f>CHOOSE( CONTROL!$C$32, 31.0143, 31.014) * CHOOSE(CONTROL!$C$15, $D$11, 100%, $F$11)</f>
        <v>31.014299999999999</v>
      </c>
      <c r="J892" s="4">
        <f>CHOOSE( CONTROL!$C$32, 30.8587, 30.8585) * CHOOSE(CONTROL!$C$15, $D$11, 100%, $F$11)</f>
        <v>30.858699999999999</v>
      </c>
      <c r="K892" s="4"/>
      <c r="L892" s="9">
        <v>29.306000000000001</v>
      </c>
      <c r="M892" s="9">
        <v>12.063700000000001</v>
      </c>
      <c r="N892" s="9">
        <v>4.9444999999999997</v>
      </c>
      <c r="O892" s="9">
        <v>0.37409999999999999</v>
      </c>
      <c r="P892" s="9">
        <v>1.2927</v>
      </c>
      <c r="Q892" s="9">
        <v>19.688099999999999</v>
      </c>
      <c r="R892" s="9"/>
      <c r="S892" s="11"/>
    </row>
    <row r="893" spans="1:19" ht="15.75">
      <c r="A893" s="13">
        <v>68333</v>
      </c>
      <c r="B893" s="8">
        <f>CHOOSE( CONTROL!$C$32, 32.7437, 32.7434) * CHOOSE(CONTROL!$C$15, $D$11, 100%, $F$11)</f>
        <v>32.743699999999997</v>
      </c>
      <c r="C893" s="8">
        <f>CHOOSE( CONTROL!$C$32, 32.7487, 32.7485) * CHOOSE(CONTROL!$C$15, $D$11, 100%, $F$11)</f>
        <v>32.748699999999999</v>
      </c>
      <c r="D893" s="8">
        <f>CHOOSE( CONTROL!$C$32, 32.7464, 32.7461) * CHOOSE( CONTROL!$C$15, $D$11, 100%, $F$11)</f>
        <v>32.746400000000001</v>
      </c>
      <c r="E893" s="12">
        <f>CHOOSE( CONTROL!$C$32, 32.7467, 32.7464) * CHOOSE( CONTROL!$C$15, $D$11, 100%, $F$11)</f>
        <v>32.746699999999997</v>
      </c>
      <c r="F893" s="4">
        <f>CHOOSE( CONTROL!$C$32, 33.4089, 33.4087) * CHOOSE(CONTROL!$C$15, $D$11, 100%, $F$11)</f>
        <v>33.408900000000003</v>
      </c>
      <c r="G893" s="8">
        <f>CHOOSE( CONTROL!$C$32, 32.375, 32.3748) * CHOOSE( CONTROL!$C$15, $D$11, 100%, $F$11)</f>
        <v>32.375</v>
      </c>
      <c r="H893" s="4">
        <f>CHOOSE( CONTROL!$C$32, 33.2643, 33.2641) * CHOOSE(CONTROL!$C$15, $D$11, 100%, $F$11)</f>
        <v>33.264299999999999</v>
      </c>
      <c r="I893" s="8">
        <f>CHOOSE( CONTROL!$C$32, 31.8985, 31.8982) * CHOOSE(CONTROL!$C$15, $D$11, 100%, $F$11)</f>
        <v>31.898499999999999</v>
      </c>
      <c r="J893" s="4">
        <f>CHOOSE( CONTROL!$C$32, 31.769, 31.7687) * CHOOSE(CONTROL!$C$15, $D$11, 100%, $F$11)</f>
        <v>31.768999999999998</v>
      </c>
      <c r="K893" s="4"/>
      <c r="L893" s="9">
        <v>29.306000000000001</v>
      </c>
      <c r="M893" s="9">
        <v>12.063700000000001</v>
      </c>
      <c r="N893" s="9">
        <v>4.9444999999999997</v>
      </c>
      <c r="O893" s="9">
        <v>0.37409999999999999</v>
      </c>
      <c r="P893" s="9">
        <v>1.2927</v>
      </c>
      <c r="Q893" s="9">
        <v>19.688099999999999</v>
      </c>
      <c r="R893" s="9"/>
      <c r="S893" s="11"/>
    </row>
    <row r="894" spans="1:19" ht="15.75">
      <c r="A894" s="13">
        <v>68361</v>
      </c>
      <c r="B894" s="8">
        <f>CHOOSE( CONTROL!$C$32, 30.6274, 30.6272) * CHOOSE(CONTROL!$C$15, $D$11, 100%, $F$11)</f>
        <v>30.627400000000002</v>
      </c>
      <c r="C894" s="8">
        <f>CHOOSE( CONTROL!$C$32, 30.6325, 30.6322) * CHOOSE(CONTROL!$C$15, $D$11, 100%, $F$11)</f>
        <v>30.6325</v>
      </c>
      <c r="D894" s="8">
        <f>CHOOSE( CONTROL!$C$32, 30.6125, 30.6122) * CHOOSE( CONTROL!$C$15, $D$11, 100%, $F$11)</f>
        <v>30.612500000000001</v>
      </c>
      <c r="E894" s="12">
        <f>CHOOSE( CONTROL!$C$32, 30.6193, 30.619) * CHOOSE( CONTROL!$C$15, $D$11, 100%, $F$11)</f>
        <v>30.619299999999999</v>
      </c>
      <c r="F894" s="4">
        <f>CHOOSE( CONTROL!$C$32, 31.2927, 31.2924) * CHOOSE(CONTROL!$C$15, $D$11, 100%, $F$11)</f>
        <v>31.2927</v>
      </c>
      <c r="G894" s="8">
        <f>CHOOSE( CONTROL!$C$32, 30.2724, 30.2722) * CHOOSE( CONTROL!$C$15, $D$11, 100%, $F$11)</f>
        <v>30.272400000000001</v>
      </c>
      <c r="H894" s="4">
        <f>CHOOSE( CONTROL!$C$32, 31.1729, 31.1726) * CHOOSE(CONTROL!$C$15, $D$11, 100%, $F$11)</f>
        <v>31.172899999999998</v>
      </c>
      <c r="I894" s="8">
        <f>CHOOSE( CONTROL!$C$32, 29.8441, 29.8438) * CHOOSE(CONTROL!$C$15, $D$11, 100%, $F$11)</f>
        <v>29.844100000000001</v>
      </c>
      <c r="J894" s="4">
        <f>CHOOSE( CONTROL!$C$32, 29.7152, 29.7149) * CHOOSE(CONTROL!$C$15, $D$11, 100%, $F$11)</f>
        <v>29.715199999999999</v>
      </c>
      <c r="K894" s="4"/>
      <c r="L894" s="9">
        <v>26.469899999999999</v>
      </c>
      <c r="M894" s="9">
        <v>10.8962</v>
      </c>
      <c r="N894" s="9">
        <v>4.4660000000000002</v>
      </c>
      <c r="O894" s="9">
        <v>0.33789999999999998</v>
      </c>
      <c r="P894" s="9">
        <v>1.1676</v>
      </c>
      <c r="Q894" s="9">
        <v>17.782800000000002</v>
      </c>
      <c r="R894" s="9"/>
      <c r="S894" s="11"/>
    </row>
    <row r="895" spans="1:19" ht="15.75">
      <c r="A895" s="13">
        <v>68392</v>
      </c>
      <c r="B895" s="8">
        <f>CHOOSE( CONTROL!$C$32, 29.9756, 29.9754) * CHOOSE(CONTROL!$C$15, $D$11, 100%, $F$11)</f>
        <v>29.9756</v>
      </c>
      <c r="C895" s="8">
        <f>CHOOSE( CONTROL!$C$32, 29.9807, 29.9804) * CHOOSE(CONTROL!$C$15, $D$11, 100%, $F$11)</f>
        <v>29.980699999999999</v>
      </c>
      <c r="D895" s="8">
        <f>CHOOSE( CONTROL!$C$32, 29.9507, 29.9505) * CHOOSE( CONTROL!$C$15, $D$11, 100%, $F$11)</f>
        <v>29.950700000000001</v>
      </c>
      <c r="E895" s="12">
        <f>CHOOSE( CONTROL!$C$32, 29.9611, 29.9609) * CHOOSE( CONTROL!$C$15, $D$11, 100%, $F$11)</f>
        <v>29.961099999999998</v>
      </c>
      <c r="F895" s="4">
        <f>CHOOSE( CONTROL!$C$32, 30.6409, 30.6407) * CHOOSE(CONTROL!$C$15, $D$11, 100%, $F$11)</f>
        <v>30.640899999999998</v>
      </c>
      <c r="G895" s="8">
        <f>CHOOSE( CONTROL!$C$32, 29.6151, 29.6148) * CHOOSE( CONTROL!$C$15, $D$11, 100%, $F$11)</f>
        <v>29.615100000000002</v>
      </c>
      <c r="H895" s="4">
        <f>CHOOSE( CONTROL!$C$32, 30.5287, 30.5285) * CHOOSE(CONTROL!$C$15, $D$11, 100%, $F$11)</f>
        <v>30.528700000000001</v>
      </c>
      <c r="I895" s="8">
        <f>CHOOSE( CONTROL!$C$32, 29.176, 29.1757) * CHOOSE(CONTROL!$C$15, $D$11, 100%, $F$11)</f>
        <v>29.175999999999998</v>
      </c>
      <c r="J895" s="4">
        <f>CHOOSE( CONTROL!$C$32, 29.0826, 29.0823) * CHOOSE(CONTROL!$C$15, $D$11, 100%, $F$11)</f>
        <v>29.082599999999999</v>
      </c>
      <c r="K895" s="4"/>
      <c r="L895" s="9">
        <v>29.306000000000001</v>
      </c>
      <c r="M895" s="9">
        <v>12.063700000000001</v>
      </c>
      <c r="N895" s="9">
        <v>4.9444999999999997</v>
      </c>
      <c r="O895" s="9">
        <v>0.37409999999999999</v>
      </c>
      <c r="P895" s="9">
        <v>1.2927</v>
      </c>
      <c r="Q895" s="9">
        <v>19.688099999999999</v>
      </c>
      <c r="R895" s="9"/>
      <c r="S895" s="11"/>
    </row>
    <row r="896" spans="1:19" ht="15.75">
      <c r="A896" s="13">
        <v>68422</v>
      </c>
      <c r="B896" s="8">
        <f>CHOOSE( CONTROL!$C$32, 30.4319, 30.4316) * CHOOSE(CONTROL!$C$15, $D$11, 100%, $F$11)</f>
        <v>30.431899999999999</v>
      </c>
      <c r="C896" s="8">
        <f>CHOOSE( CONTROL!$C$32, 30.4364, 30.4361) * CHOOSE(CONTROL!$C$15, $D$11, 100%, $F$11)</f>
        <v>30.436399999999999</v>
      </c>
      <c r="D896" s="8">
        <f>CHOOSE( CONTROL!$C$32, 30.4359, 30.4356) * CHOOSE( CONTROL!$C$15, $D$11, 100%, $F$11)</f>
        <v>30.4359</v>
      </c>
      <c r="E896" s="12">
        <f>CHOOSE( CONTROL!$C$32, 30.4356, 30.4353) * CHOOSE( CONTROL!$C$15, $D$11, 100%, $F$11)</f>
        <v>30.435600000000001</v>
      </c>
      <c r="F896" s="4">
        <f>CHOOSE( CONTROL!$C$32, 31.1402, 31.1399) * CHOOSE(CONTROL!$C$15, $D$11, 100%, $F$11)</f>
        <v>31.1402</v>
      </c>
      <c r="G896" s="8">
        <f>CHOOSE( CONTROL!$C$32, 30.0822, 30.0819) * CHOOSE( CONTROL!$C$15, $D$11, 100%, $F$11)</f>
        <v>30.0822</v>
      </c>
      <c r="H896" s="4">
        <f>CHOOSE( CONTROL!$C$32, 31.0221, 31.0219) * CHOOSE(CONTROL!$C$15, $D$11, 100%, $F$11)</f>
        <v>31.022099999999998</v>
      </c>
      <c r="I896" s="8">
        <f>CHOOSE( CONTROL!$C$32, 29.6188, 29.6185) * CHOOSE(CONTROL!$C$15, $D$11, 100%, $F$11)</f>
        <v>29.6188</v>
      </c>
      <c r="J896" s="4">
        <f>CHOOSE( CONTROL!$C$32, 29.5246, 29.5244) * CHOOSE(CONTROL!$C$15, $D$11, 100%, $F$11)</f>
        <v>29.5246</v>
      </c>
      <c r="K896" s="4"/>
      <c r="L896" s="9">
        <v>30.092199999999998</v>
      </c>
      <c r="M896" s="9">
        <v>11.6745</v>
      </c>
      <c r="N896" s="9">
        <v>4.7850000000000001</v>
      </c>
      <c r="O896" s="9">
        <v>0.36199999999999999</v>
      </c>
      <c r="P896" s="9">
        <v>1.2509999999999999</v>
      </c>
      <c r="Q896" s="9">
        <v>19.053000000000001</v>
      </c>
      <c r="R896" s="9"/>
      <c r="S896" s="11"/>
    </row>
    <row r="897" spans="1:19" ht="15.75">
      <c r="A897" s="13">
        <v>68453</v>
      </c>
      <c r="B897" s="8">
        <f>CHOOSE( CONTROL!$C$32, 31.244, 31.2436) * CHOOSE(CONTROL!$C$15, $D$11, 100%, $F$11)</f>
        <v>31.244</v>
      </c>
      <c r="C897" s="8">
        <f>CHOOSE( CONTROL!$C$32, 31.252, 31.2515) * CHOOSE(CONTROL!$C$15, $D$11, 100%, $F$11)</f>
        <v>31.251999999999999</v>
      </c>
      <c r="D897" s="8">
        <f>CHOOSE( CONTROL!$C$32, 31.2463, 31.2458) * CHOOSE( CONTROL!$C$15, $D$11, 100%, $F$11)</f>
        <v>31.246300000000002</v>
      </c>
      <c r="E897" s="12">
        <f>CHOOSE( CONTROL!$C$32, 31.2471, 31.2467) * CHOOSE( CONTROL!$C$15, $D$11, 100%, $F$11)</f>
        <v>31.2471</v>
      </c>
      <c r="F897" s="4">
        <f>CHOOSE( CONTROL!$C$32, 31.951, 31.9505) * CHOOSE(CONTROL!$C$15, $D$11, 100%, $F$11)</f>
        <v>31.951000000000001</v>
      </c>
      <c r="G897" s="8">
        <f>CHOOSE( CONTROL!$C$32, 30.8838, 30.8834) * CHOOSE( CONTROL!$C$15, $D$11, 100%, $F$11)</f>
        <v>30.883800000000001</v>
      </c>
      <c r="H897" s="4">
        <f>CHOOSE( CONTROL!$C$32, 31.8234, 31.823) * CHOOSE(CONTROL!$C$15, $D$11, 100%, $F$11)</f>
        <v>31.823399999999999</v>
      </c>
      <c r="I897" s="8">
        <f>CHOOSE( CONTROL!$C$32, 30.4066, 30.4062) * CHOOSE(CONTROL!$C$15, $D$11, 100%, $F$11)</f>
        <v>30.406600000000001</v>
      </c>
      <c r="J897" s="4">
        <f>CHOOSE( CONTROL!$C$32, 30.3115, 30.3111) * CHOOSE(CONTROL!$C$15, $D$11, 100%, $F$11)</f>
        <v>30.311499999999999</v>
      </c>
      <c r="K897" s="4"/>
      <c r="L897" s="9">
        <v>30.7165</v>
      </c>
      <c r="M897" s="9">
        <v>12.063700000000001</v>
      </c>
      <c r="N897" s="9">
        <v>4.9444999999999997</v>
      </c>
      <c r="O897" s="9">
        <v>0.37409999999999999</v>
      </c>
      <c r="P897" s="9">
        <v>1.2927</v>
      </c>
      <c r="Q897" s="9">
        <v>19.688099999999999</v>
      </c>
      <c r="R897" s="9"/>
      <c r="S897" s="11"/>
    </row>
    <row r="898" spans="1:19" ht="15.75">
      <c r="A898" s="13">
        <v>68483</v>
      </c>
      <c r="B898" s="8">
        <f>CHOOSE( CONTROL!$C$32, 30.7419, 30.7414) * CHOOSE(CONTROL!$C$15, $D$11, 100%, $F$11)</f>
        <v>30.741900000000001</v>
      </c>
      <c r="C898" s="8">
        <f>CHOOSE( CONTROL!$C$32, 30.7499, 30.7494) * CHOOSE(CONTROL!$C$15, $D$11, 100%, $F$11)</f>
        <v>30.7499</v>
      </c>
      <c r="D898" s="8">
        <f>CHOOSE( CONTROL!$C$32, 30.7446, 30.7441) * CHOOSE( CONTROL!$C$15, $D$11, 100%, $F$11)</f>
        <v>30.744599999999998</v>
      </c>
      <c r="E898" s="12">
        <f>CHOOSE( CONTROL!$C$32, 30.7453, 30.7448) * CHOOSE( CONTROL!$C$15, $D$11, 100%, $F$11)</f>
        <v>30.7453</v>
      </c>
      <c r="F898" s="4">
        <f>CHOOSE( CONTROL!$C$32, 31.4488, 31.4484) * CHOOSE(CONTROL!$C$15, $D$11, 100%, $F$11)</f>
        <v>31.448799999999999</v>
      </c>
      <c r="G898" s="8">
        <f>CHOOSE( CONTROL!$C$32, 30.3879, 30.3874) * CHOOSE( CONTROL!$C$15, $D$11, 100%, $F$11)</f>
        <v>30.387899999999998</v>
      </c>
      <c r="H898" s="4">
        <f>CHOOSE( CONTROL!$C$32, 31.3272, 31.3267) * CHOOSE(CONTROL!$C$15, $D$11, 100%, $F$11)</f>
        <v>31.327200000000001</v>
      </c>
      <c r="I898" s="8">
        <f>CHOOSE( CONTROL!$C$32, 29.9204, 29.92) * CHOOSE(CONTROL!$C$15, $D$11, 100%, $F$11)</f>
        <v>29.920400000000001</v>
      </c>
      <c r="J898" s="4">
        <f>CHOOSE( CONTROL!$C$32, 29.8242, 29.8237) * CHOOSE(CONTROL!$C$15, $D$11, 100%, $F$11)</f>
        <v>29.824200000000001</v>
      </c>
      <c r="K898" s="4"/>
      <c r="L898" s="9">
        <v>29.7257</v>
      </c>
      <c r="M898" s="9">
        <v>11.6745</v>
      </c>
      <c r="N898" s="9">
        <v>4.7850000000000001</v>
      </c>
      <c r="O898" s="9">
        <v>0.36199999999999999</v>
      </c>
      <c r="P898" s="9">
        <v>1.2509999999999999</v>
      </c>
      <c r="Q898" s="9">
        <v>19.053000000000001</v>
      </c>
      <c r="R898" s="9"/>
      <c r="S898" s="11"/>
    </row>
    <row r="899" spans="1:19" ht="15.75">
      <c r="A899" s="13">
        <v>68514</v>
      </c>
      <c r="B899" s="8">
        <f>CHOOSE( CONTROL!$C$32, 32.0642, 32.0638) * CHOOSE(CONTROL!$C$15, $D$11, 100%, $F$11)</f>
        <v>32.0642</v>
      </c>
      <c r="C899" s="8">
        <f>CHOOSE( CONTROL!$C$32, 32.0722, 32.0717) * CHOOSE(CONTROL!$C$15, $D$11, 100%, $F$11)</f>
        <v>32.072200000000002</v>
      </c>
      <c r="D899" s="8">
        <f>CHOOSE( CONTROL!$C$32, 32.0673, 32.0669) * CHOOSE( CONTROL!$C$15, $D$11, 100%, $F$11)</f>
        <v>32.067300000000003</v>
      </c>
      <c r="E899" s="12">
        <f>CHOOSE( CONTROL!$C$32, 32.0679, 32.0674) * CHOOSE( CONTROL!$C$15, $D$11, 100%, $F$11)</f>
        <v>32.067900000000002</v>
      </c>
      <c r="F899" s="4">
        <f>CHOOSE( CONTROL!$C$32, 32.7712, 32.7707) * CHOOSE(CONTROL!$C$15, $D$11, 100%, $F$11)</f>
        <v>32.7712</v>
      </c>
      <c r="G899" s="8">
        <f>CHOOSE( CONTROL!$C$32, 31.6951, 31.6946) * CHOOSE( CONTROL!$C$15, $D$11, 100%, $F$11)</f>
        <v>31.6951</v>
      </c>
      <c r="H899" s="4">
        <f>CHOOSE( CONTROL!$C$32, 32.634, 32.6336) * CHOOSE(CONTROL!$C$15, $D$11, 100%, $F$11)</f>
        <v>32.634</v>
      </c>
      <c r="I899" s="8">
        <f>CHOOSE( CONTROL!$C$32, 31.206, 31.2055) * CHOOSE(CONTROL!$C$15, $D$11, 100%, $F$11)</f>
        <v>31.206</v>
      </c>
      <c r="J899" s="4">
        <f>CHOOSE( CONTROL!$C$32, 31.1075, 31.1071) * CHOOSE(CONTROL!$C$15, $D$11, 100%, $F$11)</f>
        <v>31.107500000000002</v>
      </c>
      <c r="K899" s="4"/>
      <c r="L899" s="9">
        <v>30.7165</v>
      </c>
      <c r="M899" s="9">
        <v>12.063700000000001</v>
      </c>
      <c r="N899" s="9">
        <v>4.9444999999999997</v>
      </c>
      <c r="O899" s="9">
        <v>0.37409999999999999</v>
      </c>
      <c r="P899" s="9">
        <v>1.2927</v>
      </c>
      <c r="Q899" s="9">
        <v>19.688099999999999</v>
      </c>
      <c r="R899" s="9"/>
      <c r="S899" s="11"/>
    </row>
    <row r="900" spans="1:19" ht="15.75">
      <c r="A900" s="13">
        <v>68545</v>
      </c>
      <c r="B900" s="8">
        <f>CHOOSE( CONTROL!$C$32, 29.59, 29.5895) * CHOOSE(CONTROL!$C$15, $D$11, 100%, $F$11)</f>
        <v>29.59</v>
      </c>
      <c r="C900" s="8">
        <f>CHOOSE( CONTROL!$C$32, 29.598, 29.5975) * CHOOSE(CONTROL!$C$15, $D$11, 100%, $F$11)</f>
        <v>29.597999999999999</v>
      </c>
      <c r="D900" s="8">
        <f>CHOOSE( CONTROL!$C$32, 29.5932, 29.5928) * CHOOSE( CONTROL!$C$15, $D$11, 100%, $F$11)</f>
        <v>29.5932</v>
      </c>
      <c r="E900" s="12">
        <f>CHOOSE( CONTROL!$C$32, 29.5937, 29.5933) * CHOOSE( CONTROL!$C$15, $D$11, 100%, $F$11)</f>
        <v>29.593699999999998</v>
      </c>
      <c r="F900" s="4">
        <f>CHOOSE( CONTROL!$C$32, 30.2969, 30.2965) * CHOOSE(CONTROL!$C$15, $D$11, 100%, $F$11)</f>
        <v>30.296900000000001</v>
      </c>
      <c r="G900" s="8">
        <f>CHOOSE( CONTROL!$C$32, 29.2499, 29.2495) * CHOOSE( CONTROL!$C$15, $D$11, 100%, $F$11)</f>
        <v>29.2499</v>
      </c>
      <c r="H900" s="4">
        <f>CHOOSE( CONTROL!$C$32, 30.1888, 30.1883) * CHOOSE(CONTROL!$C$15, $D$11, 100%, $F$11)</f>
        <v>30.188800000000001</v>
      </c>
      <c r="I900" s="8">
        <f>CHOOSE( CONTROL!$C$32, 28.804, 28.8035) * CHOOSE(CONTROL!$C$15, $D$11, 100%, $F$11)</f>
        <v>28.803999999999998</v>
      </c>
      <c r="J900" s="4">
        <f>CHOOSE( CONTROL!$C$32, 28.7063, 28.7058) * CHOOSE(CONTROL!$C$15, $D$11, 100%, $F$11)</f>
        <v>28.706299999999999</v>
      </c>
      <c r="K900" s="4"/>
      <c r="L900" s="9">
        <v>30.7165</v>
      </c>
      <c r="M900" s="9">
        <v>12.063700000000001</v>
      </c>
      <c r="N900" s="9">
        <v>4.9444999999999997</v>
      </c>
      <c r="O900" s="9">
        <v>0.37409999999999999</v>
      </c>
      <c r="P900" s="9">
        <v>1.2927</v>
      </c>
      <c r="Q900" s="9">
        <v>19.688099999999999</v>
      </c>
      <c r="R900" s="9"/>
      <c r="S900" s="11"/>
    </row>
    <row r="901" spans="1:19" ht="15.75">
      <c r="A901" s="13">
        <v>68575</v>
      </c>
      <c r="B901" s="8">
        <f>CHOOSE( CONTROL!$C$32, 28.9704, 28.97) * CHOOSE(CONTROL!$C$15, $D$11, 100%, $F$11)</f>
        <v>28.970400000000001</v>
      </c>
      <c r="C901" s="8">
        <f>CHOOSE( CONTROL!$C$32, 28.9784, 28.9779) * CHOOSE(CONTROL!$C$15, $D$11, 100%, $F$11)</f>
        <v>28.978400000000001</v>
      </c>
      <c r="D901" s="8">
        <f>CHOOSE( CONTROL!$C$32, 28.9735, 28.9731) * CHOOSE( CONTROL!$C$15, $D$11, 100%, $F$11)</f>
        <v>28.973500000000001</v>
      </c>
      <c r="E901" s="12">
        <f>CHOOSE( CONTROL!$C$32, 28.9741, 28.9736) * CHOOSE( CONTROL!$C$15, $D$11, 100%, $F$11)</f>
        <v>28.9741</v>
      </c>
      <c r="F901" s="4">
        <f>CHOOSE( CONTROL!$C$32, 29.6774, 29.6769) * CHOOSE(CONTROL!$C$15, $D$11, 100%, $F$11)</f>
        <v>29.677399999999999</v>
      </c>
      <c r="G901" s="8">
        <f>CHOOSE( CONTROL!$C$32, 28.6375, 28.6371) * CHOOSE( CONTROL!$C$15, $D$11, 100%, $F$11)</f>
        <v>28.637499999999999</v>
      </c>
      <c r="H901" s="4">
        <f>CHOOSE( CONTROL!$C$32, 29.5764, 29.576) * CHOOSE(CONTROL!$C$15, $D$11, 100%, $F$11)</f>
        <v>29.5764</v>
      </c>
      <c r="I901" s="8">
        <f>CHOOSE( CONTROL!$C$32, 28.2019, 28.2014) * CHOOSE(CONTROL!$C$15, $D$11, 100%, $F$11)</f>
        <v>28.201899999999998</v>
      </c>
      <c r="J901" s="4">
        <f>CHOOSE( CONTROL!$C$32, 28.105, 28.1045) * CHOOSE(CONTROL!$C$15, $D$11, 100%, $F$11)</f>
        <v>28.105</v>
      </c>
      <c r="K901" s="4"/>
      <c r="L901" s="9">
        <v>29.7257</v>
      </c>
      <c r="M901" s="9">
        <v>11.6745</v>
      </c>
      <c r="N901" s="9">
        <v>4.7850000000000001</v>
      </c>
      <c r="O901" s="9">
        <v>0.36199999999999999</v>
      </c>
      <c r="P901" s="9">
        <v>1.2509999999999999</v>
      </c>
      <c r="Q901" s="9">
        <v>19.053000000000001</v>
      </c>
      <c r="R901" s="9"/>
      <c r="S901" s="11"/>
    </row>
    <row r="902" spans="1:19" ht="15.75">
      <c r="A902" s="13">
        <v>68606</v>
      </c>
      <c r="B902" s="8">
        <f>CHOOSE( CONTROL!$C$32, 30.255, 30.2547) * CHOOSE(CONTROL!$C$15, $D$11, 100%, $F$11)</f>
        <v>30.254999999999999</v>
      </c>
      <c r="C902" s="8">
        <f>CHOOSE( CONTROL!$C$32, 30.2603, 30.26) * CHOOSE(CONTROL!$C$15, $D$11, 100%, $F$11)</f>
        <v>30.260300000000001</v>
      </c>
      <c r="D902" s="8">
        <f>CHOOSE( CONTROL!$C$32, 30.2605, 30.2602) * CHOOSE( CONTROL!$C$15, $D$11, 100%, $F$11)</f>
        <v>30.2605</v>
      </c>
      <c r="E902" s="12">
        <f>CHOOSE( CONTROL!$C$32, 30.2599, 30.2596) * CHOOSE( CONTROL!$C$15, $D$11, 100%, $F$11)</f>
        <v>30.259899999999998</v>
      </c>
      <c r="F902" s="4">
        <f>CHOOSE( CONTROL!$C$32, 30.9636, 30.9633) * CHOOSE(CONTROL!$C$15, $D$11, 100%, $F$11)</f>
        <v>30.9636</v>
      </c>
      <c r="G902" s="8">
        <f>CHOOSE( CONTROL!$C$32, 29.9087, 29.9084) * CHOOSE( CONTROL!$C$15, $D$11, 100%, $F$11)</f>
        <v>29.9087</v>
      </c>
      <c r="H902" s="4">
        <f>CHOOSE( CONTROL!$C$32, 30.8477, 30.8474) * CHOOSE(CONTROL!$C$15, $D$11, 100%, $F$11)</f>
        <v>30.8477</v>
      </c>
      <c r="I902" s="8">
        <f>CHOOSE( CONTROL!$C$32, 29.4515, 29.4512) * CHOOSE(CONTROL!$C$15, $D$11, 100%, $F$11)</f>
        <v>29.451499999999999</v>
      </c>
      <c r="J902" s="4">
        <f>CHOOSE( CONTROL!$C$32, 29.3533, 29.353) * CHOOSE(CONTROL!$C$15, $D$11, 100%, $F$11)</f>
        <v>29.353300000000001</v>
      </c>
      <c r="K902" s="4"/>
      <c r="L902" s="9">
        <v>31.095300000000002</v>
      </c>
      <c r="M902" s="9">
        <v>12.063700000000001</v>
      </c>
      <c r="N902" s="9">
        <v>4.9444999999999997</v>
      </c>
      <c r="O902" s="9">
        <v>0.37409999999999999</v>
      </c>
      <c r="P902" s="9">
        <v>1.2927</v>
      </c>
      <c r="Q902" s="9">
        <v>19.688099999999999</v>
      </c>
      <c r="R902" s="9"/>
      <c r="S902" s="11"/>
    </row>
    <row r="903" spans="1:19" ht="15.75">
      <c r="A903" s="13">
        <v>68636</v>
      </c>
      <c r="B903" s="8">
        <f>CHOOSE( CONTROL!$C$32, 32.6291, 32.6288) * CHOOSE(CONTROL!$C$15, $D$11, 100%, $F$11)</f>
        <v>32.629100000000001</v>
      </c>
      <c r="C903" s="8">
        <f>CHOOSE( CONTROL!$C$32, 32.6342, 32.6339) * CHOOSE(CONTROL!$C$15, $D$11, 100%, $F$11)</f>
        <v>32.6342</v>
      </c>
      <c r="D903" s="8">
        <f>CHOOSE( CONTROL!$C$32, 32.602, 32.6018) * CHOOSE( CONTROL!$C$15, $D$11, 100%, $F$11)</f>
        <v>32.601999999999997</v>
      </c>
      <c r="E903" s="12">
        <f>CHOOSE( CONTROL!$C$32, 32.6132, 32.613) * CHOOSE( CONTROL!$C$15, $D$11, 100%, $F$11)</f>
        <v>32.613199999999999</v>
      </c>
      <c r="F903" s="4">
        <f>CHOOSE( CONTROL!$C$32, 33.2944, 33.2941) * CHOOSE(CONTROL!$C$15, $D$11, 100%, $F$11)</f>
        <v>33.294400000000003</v>
      </c>
      <c r="G903" s="8">
        <f>CHOOSE( CONTROL!$C$32, 32.2443, 32.2441) * CHOOSE( CONTROL!$C$15, $D$11, 100%, $F$11)</f>
        <v>32.244300000000003</v>
      </c>
      <c r="H903" s="4">
        <f>CHOOSE( CONTROL!$C$32, 33.1511, 33.1508) * CHOOSE(CONTROL!$C$15, $D$11, 100%, $F$11)</f>
        <v>33.1511</v>
      </c>
      <c r="I903" s="8">
        <f>CHOOSE( CONTROL!$C$32, 31.808, 31.8077) * CHOOSE(CONTROL!$C$15, $D$11, 100%, $F$11)</f>
        <v>31.808</v>
      </c>
      <c r="J903" s="4">
        <f>CHOOSE( CONTROL!$C$32, 31.6578, 31.6575) * CHOOSE(CONTROL!$C$15, $D$11, 100%, $F$11)</f>
        <v>31.657800000000002</v>
      </c>
      <c r="K903" s="4"/>
      <c r="L903" s="9">
        <v>28.360600000000002</v>
      </c>
      <c r="M903" s="9">
        <v>11.6745</v>
      </c>
      <c r="N903" s="9">
        <v>4.7850000000000001</v>
      </c>
      <c r="O903" s="9">
        <v>0.36199999999999999</v>
      </c>
      <c r="P903" s="9">
        <v>1.2509999999999999</v>
      </c>
      <c r="Q903" s="9">
        <v>19.053000000000001</v>
      </c>
      <c r="R903" s="9"/>
      <c r="S903" s="11"/>
    </row>
    <row r="904" spans="1:19" ht="15.75">
      <c r="A904" s="13">
        <v>68667</v>
      </c>
      <c r="B904" s="8">
        <f>CHOOSE( CONTROL!$C$32, 32.5698, 32.5695) * CHOOSE(CONTROL!$C$15, $D$11, 100%, $F$11)</f>
        <v>32.569800000000001</v>
      </c>
      <c r="C904" s="8">
        <f>CHOOSE( CONTROL!$C$32, 32.5748, 32.5746) * CHOOSE(CONTROL!$C$15, $D$11, 100%, $F$11)</f>
        <v>32.574800000000003</v>
      </c>
      <c r="D904" s="8">
        <f>CHOOSE( CONTROL!$C$32, 32.5445, 32.5443) * CHOOSE( CONTROL!$C$15, $D$11, 100%, $F$11)</f>
        <v>32.544499999999999</v>
      </c>
      <c r="E904" s="12">
        <f>CHOOSE( CONTROL!$C$32, 32.555, 32.5548) * CHOOSE( CONTROL!$C$15, $D$11, 100%, $F$11)</f>
        <v>32.555</v>
      </c>
      <c r="F904" s="4">
        <f>CHOOSE( CONTROL!$C$32, 33.235, 33.2348) * CHOOSE(CONTROL!$C$15, $D$11, 100%, $F$11)</f>
        <v>33.234999999999999</v>
      </c>
      <c r="G904" s="8">
        <f>CHOOSE( CONTROL!$C$32, 32.187, 32.1868) * CHOOSE( CONTROL!$C$15, $D$11, 100%, $F$11)</f>
        <v>32.186999999999998</v>
      </c>
      <c r="H904" s="4">
        <f>CHOOSE( CONTROL!$C$32, 33.0925, 33.0922) * CHOOSE(CONTROL!$C$15, $D$11, 100%, $F$11)</f>
        <v>33.092500000000001</v>
      </c>
      <c r="I904" s="8">
        <f>CHOOSE( CONTROL!$C$32, 31.7561, 31.7558) * CHOOSE(CONTROL!$C$15, $D$11, 100%, $F$11)</f>
        <v>31.7561</v>
      </c>
      <c r="J904" s="4">
        <f>CHOOSE( CONTROL!$C$32, 31.6002, 31.5999) * CHOOSE(CONTROL!$C$15, $D$11, 100%, $F$11)</f>
        <v>31.600200000000001</v>
      </c>
      <c r="K904" s="4"/>
      <c r="L904" s="9">
        <v>29.306000000000001</v>
      </c>
      <c r="M904" s="9">
        <v>12.063700000000001</v>
      </c>
      <c r="N904" s="9">
        <v>4.9444999999999997</v>
      </c>
      <c r="O904" s="9">
        <v>0.37409999999999999</v>
      </c>
      <c r="P904" s="9">
        <v>1.2927</v>
      </c>
      <c r="Q904" s="9">
        <v>19.688099999999999</v>
      </c>
      <c r="R904" s="9"/>
      <c r="S904" s="11"/>
    </row>
    <row r="905" spans="1:19" ht="15.75">
      <c r="A905" s="13">
        <v>68698</v>
      </c>
      <c r="B905" s="8">
        <f>CHOOSE( CONTROL!$C$32, 33.5302, 33.5299) * CHOOSE(CONTROL!$C$15, $D$11, 100%, $F$11)</f>
        <v>33.530200000000001</v>
      </c>
      <c r="C905" s="8">
        <f>CHOOSE( CONTROL!$C$32, 33.5353, 33.535) * CHOOSE(CONTROL!$C$15, $D$11, 100%, $F$11)</f>
        <v>33.535299999999999</v>
      </c>
      <c r="D905" s="8">
        <f>CHOOSE( CONTROL!$C$32, 33.5329, 33.5326) * CHOOSE( CONTROL!$C$15, $D$11, 100%, $F$11)</f>
        <v>33.532899999999998</v>
      </c>
      <c r="E905" s="12">
        <f>CHOOSE( CONTROL!$C$32, 33.5332, 33.5329) * CHOOSE( CONTROL!$C$15, $D$11, 100%, $F$11)</f>
        <v>33.533200000000001</v>
      </c>
      <c r="F905" s="4">
        <f>CHOOSE( CONTROL!$C$32, 34.1955, 34.1952) * CHOOSE(CONTROL!$C$15, $D$11, 100%, $F$11)</f>
        <v>34.195500000000003</v>
      </c>
      <c r="G905" s="8">
        <f>CHOOSE( CONTROL!$C$32, 33.1523, 33.1521) * CHOOSE( CONTROL!$C$15, $D$11, 100%, $F$11)</f>
        <v>33.152299999999997</v>
      </c>
      <c r="H905" s="4">
        <f>CHOOSE( CONTROL!$C$32, 34.0416, 34.0414) * CHOOSE(CONTROL!$C$15, $D$11, 100%, $F$11)</f>
        <v>34.041600000000003</v>
      </c>
      <c r="I905" s="8">
        <f>CHOOSE( CONTROL!$C$32, 32.6622, 32.6619) * CHOOSE(CONTROL!$C$15, $D$11, 100%, $F$11)</f>
        <v>32.662199999999999</v>
      </c>
      <c r="J905" s="4">
        <f>CHOOSE( CONTROL!$C$32, 32.5323, 32.532) * CHOOSE(CONTROL!$C$15, $D$11, 100%, $F$11)</f>
        <v>32.532299999999999</v>
      </c>
      <c r="K905" s="4"/>
      <c r="L905" s="9">
        <v>29.306000000000001</v>
      </c>
      <c r="M905" s="9">
        <v>12.063700000000001</v>
      </c>
      <c r="N905" s="9">
        <v>4.9444999999999997</v>
      </c>
      <c r="O905" s="9">
        <v>0.37409999999999999</v>
      </c>
      <c r="P905" s="9">
        <v>1.2927</v>
      </c>
      <c r="Q905" s="9">
        <v>19.688099999999999</v>
      </c>
      <c r="R905" s="9"/>
      <c r="S905" s="11"/>
    </row>
    <row r="906" spans="1:19" ht="15.75">
      <c r="A906" s="13">
        <v>68727</v>
      </c>
      <c r="B906" s="8">
        <f>CHOOSE( CONTROL!$C$32, 31.3631, 31.3628) * CHOOSE(CONTROL!$C$15, $D$11, 100%, $F$11)</f>
        <v>31.363099999999999</v>
      </c>
      <c r="C906" s="8">
        <f>CHOOSE( CONTROL!$C$32, 31.3682, 31.3679) * CHOOSE(CONTROL!$C$15, $D$11, 100%, $F$11)</f>
        <v>31.368200000000002</v>
      </c>
      <c r="D906" s="8">
        <f>CHOOSE( CONTROL!$C$32, 31.3482, 31.3479) * CHOOSE( CONTROL!$C$15, $D$11, 100%, $F$11)</f>
        <v>31.348199999999999</v>
      </c>
      <c r="E906" s="12">
        <f>CHOOSE( CONTROL!$C$32, 31.355, 31.3547) * CHOOSE( CONTROL!$C$15, $D$11, 100%, $F$11)</f>
        <v>31.355</v>
      </c>
      <c r="F906" s="4">
        <f>CHOOSE( CONTROL!$C$32, 32.0284, 32.0281) * CHOOSE(CONTROL!$C$15, $D$11, 100%, $F$11)</f>
        <v>32.028399999999998</v>
      </c>
      <c r="G906" s="8">
        <f>CHOOSE( CONTROL!$C$32, 30.9995, 30.9992) * CHOOSE( CONTROL!$C$15, $D$11, 100%, $F$11)</f>
        <v>30.999500000000001</v>
      </c>
      <c r="H906" s="4">
        <f>CHOOSE( CONTROL!$C$32, 31.9, 31.8997) * CHOOSE(CONTROL!$C$15, $D$11, 100%, $F$11)</f>
        <v>31.9</v>
      </c>
      <c r="I906" s="8">
        <f>CHOOSE( CONTROL!$C$32, 30.5584, 30.5581) * CHOOSE(CONTROL!$C$15, $D$11, 100%, $F$11)</f>
        <v>30.558399999999999</v>
      </c>
      <c r="J906" s="4">
        <f>CHOOSE( CONTROL!$C$32, 30.4291, 30.4289) * CHOOSE(CONTROL!$C$15, $D$11, 100%, $F$11)</f>
        <v>30.429099999999998</v>
      </c>
      <c r="K906" s="4"/>
      <c r="L906" s="9">
        <v>27.415299999999998</v>
      </c>
      <c r="M906" s="9">
        <v>11.285299999999999</v>
      </c>
      <c r="N906" s="9">
        <v>4.6254999999999997</v>
      </c>
      <c r="O906" s="9">
        <v>0.34989999999999999</v>
      </c>
      <c r="P906" s="9">
        <v>1.2093</v>
      </c>
      <c r="Q906" s="9">
        <v>18.417899999999999</v>
      </c>
      <c r="R906" s="9"/>
      <c r="S906" s="11"/>
    </row>
    <row r="907" spans="1:19" ht="15.75">
      <c r="A907" s="13">
        <v>68758</v>
      </c>
      <c r="B907" s="8">
        <f>CHOOSE( CONTROL!$C$32, 30.6957, 30.6954) * CHOOSE(CONTROL!$C$15, $D$11, 100%, $F$11)</f>
        <v>30.695699999999999</v>
      </c>
      <c r="C907" s="8">
        <f>CHOOSE( CONTROL!$C$32, 30.7007, 30.7005) * CHOOSE(CONTROL!$C$15, $D$11, 100%, $F$11)</f>
        <v>30.700700000000001</v>
      </c>
      <c r="D907" s="8">
        <f>CHOOSE( CONTROL!$C$32, 30.6708, 30.6705) * CHOOSE( CONTROL!$C$15, $D$11, 100%, $F$11)</f>
        <v>30.6708</v>
      </c>
      <c r="E907" s="12">
        <f>CHOOSE( CONTROL!$C$32, 30.6812, 30.6809) * CHOOSE( CONTROL!$C$15, $D$11, 100%, $F$11)</f>
        <v>30.6812</v>
      </c>
      <c r="F907" s="4">
        <f>CHOOSE( CONTROL!$C$32, 31.3609, 31.3607) * CHOOSE(CONTROL!$C$15, $D$11, 100%, $F$11)</f>
        <v>31.360900000000001</v>
      </c>
      <c r="G907" s="8">
        <f>CHOOSE( CONTROL!$C$32, 30.3266, 30.3264) * CHOOSE( CONTROL!$C$15, $D$11, 100%, $F$11)</f>
        <v>30.326599999999999</v>
      </c>
      <c r="H907" s="4">
        <f>CHOOSE( CONTROL!$C$32, 31.2403, 31.2401) * CHOOSE(CONTROL!$C$15, $D$11, 100%, $F$11)</f>
        <v>31.240300000000001</v>
      </c>
      <c r="I907" s="8">
        <f>CHOOSE( CONTROL!$C$32, 29.8751, 29.8748) * CHOOSE(CONTROL!$C$15, $D$11, 100%, $F$11)</f>
        <v>29.8751</v>
      </c>
      <c r="J907" s="4">
        <f>CHOOSE( CONTROL!$C$32, 29.7814, 29.7811) * CHOOSE(CONTROL!$C$15, $D$11, 100%, $F$11)</f>
        <v>29.781400000000001</v>
      </c>
      <c r="K907" s="4"/>
      <c r="L907" s="9">
        <v>29.306000000000001</v>
      </c>
      <c r="M907" s="9">
        <v>12.063700000000001</v>
      </c>
      <c r="N907" s="9">
        <v>4.9444999999999997</v>
      </c>
      <c r="O907" s="9">
        <v>0.37409999999999999</v>
      </c>
      <c r="P907" s="9">
        <v>1.2927</v>
      </c>
      <c r="Q907" s="9">
        <v>19.688099999999999</v>
      </c>
      <c r="R907" s="9"/>
      <c r="S907" s="11"/>
    </row>
    <row r="908" spans="1:19" ht="15.75">
      <c r="A908" s="13">
        <v>68788</v>
      </c>
      <c r="B908" s="8">
        <f>CHOOSE( CONTROL!$C$32, 31.1628, 31.1626) * CHOOSE(CONTROL!$C$15, $D$11, 100%, $F$11)</f>
        <v>31.162800000000001</v>
      </c>
      <c r="C908" s="8">
        <f>CHOOSE( CONTROL!$C$32, 31.1673, 31.1671) * CHOOSE(CONTROL!$C$15, $D$11, 100%, $F$11)</f>
        <v>31.167300000000001</v>
      </c>
      <c r="D908" s="8">
        <f>CHOOSE( CONTROL!$C$32, 31.1668, 31.1666) * CHOOSE( CONTROL!$C$15, $D$11, 100%, $F$11)</f>
        <v>31.166799999999999</v>
      </c>
      <c r="E908" s="12">
        <f>CHOOSE( CONTROL!$C$32, 31.1665, 31.1663) * CHOOSE( CONTROL!$C$15, $D$11, 100%, $F$11)</f>
        <v>31.166499999999999</v>
      </c>
      <c r="F908" s="4">
        <f>CHOOSE( CONTROL!$C$32, 31.8711, 31.8709) * CHOOSE(CONTROL!$C$15, $D$11, 100%, $F$11)</f>
        <v>31.871099999999998</v>
      </c>
      <c r="G908" s="8">
        <f>CHOOSE( CONTROL!$C$32, 30.8046, 30.8043) * CHOOSE( CONTROL!$C$15, $D$11, 100%, $F$11)</f>
        <v>30.804600000000001</v>
      </c>
      <c r="H908" s="4">
        <f>CHOOSE( CONTROL!$C$32, 31.7445, 31.7443) * CHOOSE(CONTROL!$C$15, $D$11, 100%, $F$11)</f>
        <v>31.744499999999999</v>
      </c>
      <c r="I908" s="8">
        <f>CHOOSE( CONTROL!$C$32, 30.3285, 30.3282) * CHOOSE(CONTROL!$C$15, $D$11, 100%, $F$11)</f>
        <v>30.328499999999998</v>
      </c>
      <c r="J908" s="4">
        <f>CHOOSE( CONTROL!$C$32, 30.234, 30.2338) * CHOOSE(CONTROL!$C$15, $D$11, 100%, $F$11)</f>
        <v>30.234000000000002</v>
      </c>
      <c r="K908" s="4"/>
      <c r="L908" s="9">
        <v>30.092199999999998</v>
      </c>
      <c r="M908" s="9">
        <v>11.6745</v>
      </c>
      <c r="N908" s="9">
        <v>4.7850000000000001</v>
      </c>
      <c r="O908" s="9">
        <v>0.36199999999999999</v>
      </c>
      <c r="P908" s="9">
        <v>1.2509999999999999</v>
      </c>
      <c r="Q908" s="9">
        <v>19.053000000000001</v>
      </c>
      <c r="R908" s="9"/>
      <c r="S908" s="11"/>
    </row>
    <row r="909" spans="1:19" ht="15.75">
      <c r="A909" s="13">
        <v>68819</v>
      </c>
      <c r="B909" s="8">
        <f>CHOOSE( CONTROL!$C$32, 31.9945, 31.994) * CHOOSE(CONTROL!$C$15, $D$11, 100%, $F$11)</f>
        <v>31.994499999999999</v>
      </c>
      <c r="C909" s="8">
        <f>CHOOSE( CONTROL!$C$32, 32.0024, 32.002) * CHOOSE(CONTROL!$C$15, $D$11, 100%, $F$11)</f>
        <v>32.002400000000002</v>
      </c>
      <c r="D909" s="8">
        <f>CHOOSE( CONTROL!$C$32, 31.9967, 31.9963) * CHOOSE( CONTROL!$C$15, $D$11, 100%, $F$11)</f>
        <v>31.996700000000001</v>
      </c>
      <c r="E909" s="12">
        <f>CHOOSE( CONTROL!$C$32, 31.9976, 31.9971) * CHOOSE( CONTROL!$C$15, $D$11, 100%, $F$11)</f>
        <v>31.997599999999998</v>
      </c>
      <c r="F909" s="4">
        <f>CHOOSE( CONTROL!$C$32, 32.7014, 32.7009) * CHOOSE(CONTROL!$C$15, $D$11, 100%, $F$11)</f>
        <v>32.7014</v>
      </c>
      <c r="G909" s="8">
        <f>CHOOSE( CONTROL!$C$32, 31.6255, 31.625) * CHOOSE( CONTROL!$C$15, $D$11, 100%, $F$11)</f>
        <v>31.625499999999999</v>
      </c>
      <c r="H909" s="4">
        <f>CHOOSE( CONTROL!$C$32, 32.5651, 32.5646) * CHOOSE(CONTROL!$C$15, $D$11, 100%, $F$11)</f>
        <v>32.565100000000001</v>
      </c>
      <c r="I909" s="8">
        <f>CHOOSE( CONTROL!$C$32, 31.1353, 31.1348) * CHOOSE(CONTROL!$C$15, $D$11, 100%, $F$11)</f>
        <v>31.135300000000001</v>
      </c>
      <c r="J909" s="4">
        <f>CHOOSE( CONTROL!$C$32, 31.0398, 31.0394) * CHOOSE(CONTROL!$C$15, $D$11, 100%, $F$11)</f>
        <v>31.0398</v>
      </c>
      <c r="K909" s="4"/>
      <c r="L909" s="9">
        <v>30.7165</v>
      </c>
      <c r="M909" s="9">
        <v>12.063700000000001</v>
      </c>
      <c r="N909" s="9">
        <v>4.9444999999999997</v>
      </c>
      <c r="O909" s="9">
        <v>0.37409999999999999</v>
      </c>
      <c r="P909" s="9">
        <v>1.2927</v>
      </c>
      <c r="Q909" s="9">
        <v>19.688099999999999</v>
      </c>
      <c r="R909" s="9"/>
      <c r="S909" s="11"/>
    </row>
    <row r="910" spans="1:19" ht="15.75">
      <c r="A910" s="13">
        <v>68849</v>
      </c>
      <c r="B910" s="8">
        <f>CHOOSE( CONTROL!$C$32, 31.4802, 31.4798) * CHOOSE(CONTROL!$C$15, $D$11, 100%, $F$11)</f>
        <v>31.4802</v>
      </c>
      <c r="C910" s="8">
        <f>CHOOSE( CONTROL!$C$32, 31.4882, 31.4878) * CHOOSE(CONTROL!$C$15, $D$11, 100%, $F$11)</f>
        <v>31.488199999999999</v>
      </c>
      <c r="D910" s="8">
        <f>CHOOSE( CONTROL!$C$32, 31.4829, 31.4825) * CHOOSE( CONTROL!$C$15, $D$11, 100%, $F$11)</f>
        <v>31.482900000000001</v>
      </c>
      <c r="E910" s="12">
        <f>CHOOSE( CONTROL!$C$32, 31.4836, 31.4832) * CHOOSE( CONTROL!$C$15, $D$11, 100%, $F$11)</f>
        <v>31.483599999999999</v>
      </c>
      <c r="F910" s="4">
        <f>CHOOSE( CONTROL!$C$32, 32.1872, 32.1867) * CHOOSE(CONTROL!$C$15, $D$11, 100%, $F$11)</f>
        <v>32.187199999999997</v>
      </c>
      <c r="G910" s="8">
        <f>CHOOSE( CONTROL!$C$32, 31.1176, 31.1172) * CHOOSE( CONTROL!$C$15, $D$11, 100%, $F$11)</f>
        <v>31.117599999999999</v>
      </c>
      <c r="H910" s="4">
        <f>CHOOSE( CONTROL!$C$32, 32.0569, 32.0564) * CHOOSE(CONTROL!$C$15, $D$11, 100%, $F$11)</f>
        <v>32.056899999999999</v>
      </c>
      <c r="I910" s="8">
        <f>CHOOSE( CONTROL!$C$32, 30.6374, 30.6369) * CHOOSE(CONTROL!$C$15, $D$11, 100%, $F$11)</f>
        <v>30.6374</v>
      </c>
      <c r="J910" s="4">
        <f>CHOOSE( CONTROL!$C$32, 30.5408, 30.5403) * CHOOSE(CONTROL!$C$15, $D$11, 100%, $F$11)</f>
        <v>30.540800000000001</v>
      </c>
      <c r="K910" s="4"/>
      <c r="L910" s="9">
        <v>29.7257</v>
      </c>
      <c r="M910" s="9">
        <v>11.6745</v>
      </c>
      <c r="N910" s="9">
        <v>4.7850000000000001</v>
      </c>
      <c r="O910" s="9">
        <v>0.36199999999999999</v>
      </c>
      <c r="P910" s="9">
        <v>1.2509999999999999</v>
      </c>
      <c r="Q910" s="9">
        <v>19.053000000000001</v>
      </c>
      <c r="R910" s="9"/>
      <c r="S910" s="11"/>
    </row>
    <row r="911" spans="1:19" ht="15.75">
      <c r="A911" s="13">
        <v>68880</v>
      </c>
      <c r="B911" s="8">
        <f>CHOOSE( CONTROL!$C$32, 32.8344, 32.8339) * CHOOSE(CONTROL!$C$15, $D$11, 100%, $F$11)</f>
        <v>32.834400000000002</v>
      </c>
      <c r="C911" s="8">
        <f>CHOOSE( CONTROL!$C$32, 32.8423, 32.8419) * CHOOSE(CONTROL!$C$15, $D$11, 100%, $F$11)</f>
        <v>32.842300000000002</v>
      </c>
      <c r="D911" s="8">
        <f>CHOOSE( CONTROL!$C$32, 32.8375, 32.837) * CHOOSE( CONTROL!$C$15, $D$11, 100%, $F$11)</f>
        <v>32.837499999999999</v>
      </c>
      <c r="E911" s="12">
        <f>CHOOSE( CONTROL!$C$32, 32.838, 32.8376) * CHOOSE( CONTROL!$C$15, $D$11, 100%, $F$11)</f>
        <v>32.838000000000001</v>
      </c>
      <c r="F911" s="4">
        <f>CHOOSE( CONTROL!$C$32, 33.5413, 33.5408) * CHOOSE(CONTROL!$C$15, $D$11, 100%, $F$11)</f>
        <v>33.5413</v>
      </c>
      <c r="G911" s="8">
        <f>CHOOSE( CONTROL!$C$32, 32.4562, 32.4558) * CHOOSE( CONTROL!$C$15, $D$11, 100%, $F$11)</f>
        <v>32.456200000000003</v>
      </c>
      <c r="H911" s="4">
        <f>CHOOSE( CONTROL!$C$32, 33.3951, 33.3947) * CHOOSE(CONTROL!$C$15, $D$11, 100%, $F$11)</f>
        <v>33.395099999999999</v>
      </c>
      <c r="I911" s="8">
        <f>CHOOSE( CONTROL!$C$32, 31.9538, 31.9533) * CHOOSE(CONTROL!$C$15, $D$11, 100%, $F$11)</f>
        <v>31.953800000000001</v>
      </c>
      <c r="J911" s="4">
        <f>CHOOSE( CONTROL!$C$32, 31.8549, 31.8545) * CHOOSE(CONTROL!$C$15, $D$11, 100%, $F$11)</f>
        <v>31.854900000000001</v>
      </c>
      <c r="K911" s="4"/>
      <c r="L911" s="9">
        <v>30.7165</v>
      </c>
      <c r="M911" s="9">
        <v>12.063700000000001</v>
      </c>
      <c r="N911" s="9">
        <v>4.9444999999999997</v>
      </c>
      <c r="O911" s="9">
        <v>0.37409999999999999</v>
      </c>
      <c r="P911" s="9">
        <v>1.2927</v>
      </c>
      <c r="Q911" s="9">
        <v>19.688099999999999</v>
      </c>
      <c r="R911" s="9"/>
      <c r="S911" s="11"/>
    </row>
    <row r="912" spans="1:19" ht="15.75">
      <c r="A912" s="13">
        <v>68911</v>
      </c>
      <c r="B912" s="8">
        <f>CHOOSE( CONTROL!$C$32, 30.3007, 30.3002) * CHOOSE(CONTROL!$C$15, $D$11, 100%, $F$11)</f>
        <v>30.300699999999999</v>
      </c>
      <c r="C912" s="8">
        <f>CHOOSE( CONTROL!$C$32, 30.3087, 30.3082) * CHOOSE(CONTROL!$C$15, $D$11, 100%, $F$11)</f>
        <v>30.308700000000002</v>
      </c>
      <c r="D912" s="8">
        <f>CHOOSE( CONTROL!$C$32, 30.3039, 30.3035) * CHOOSE( CONTROL!$C$15, $D$11, 100%, $F$11)</f>
        <v>30.303899999999999</v>
      </c>
      <c r="E912" s="12">
        <f>CHOOSE( CONTROL!$C$32, 30.3044, 30.304) * CHOOSE( CONTROL!$C$15, $D$11, 100%, $F$11)</f>
        <v>30.304400000000001</v>
      </c>
      <c r="F912" s="4">
        <f>CHOOSE( CONTROL!$C$32, 31.0076, 31.0072) * CHOOSE(CONTROL!$C$15, $D$11, 100%, $F$11)</f>
        <v>31.0076</v>
      </c>
      <c r="G912" s="8">
        <f>CHOOSE( CONTROL!$C$32, 29.9523, 29.9519) * CHOOSE( CONTROL!$C$15, $D$11, 100%, $F$11)</f>
        <v>29.952300000000001</v>
      </c>
      <c r="H912" s="4">
        <f>CHOOSE( CONTROL!$C$32, 30.8911, 30.8907) * CHOOSE(CONTROL!$C$15, $D$11, 100%, $F$11)</f>
        <v>30.891100000000002</v>
      </c>
      <c r="I912" s="8">
        <f>CHOOSE( CONTROL!$C$32, 29.4941, 29.4936) * CHOOSE(CONTROL!$C$15, $D$11, 100%, $F$11)</f>
        <v>29.4941</v>
      </c>
      <c r="J912" s="4">
        <f>CHOOSE( CONTROL!$C$32, 29.396, 29.3955) * CHOOSE(CONTROL!$C$15, $D$11, 100%, $F$11)</f>
        <v>29.396000000000001</v>
      </c>
      <c r="K912" s="4"/>
      <c r="L912" s="9">
        <v>30.7165</v>
      </c>
      <c r="M912" s="9">
        <v>12.063700000000001</v>
      </c>
      <c r="N912" s="9">
        <v>4.9444999999999997</v>
      </c>
      <c r="O912" s="9">
        <v>0.37409999999999999</v>
      </c>
      <c r="P912" s="9">
        <v>1.2927</v>
      </c>
      <c r="Q912" s="9">
        <v>19.688099999999999</v>
      </c>
      <c r="R912" s="9"/>
      <c r="S912" s="11"/>
    </row>
    <row r="913" spans="1:19" ht="15.75">
      <c r="A913" s="13">
        <v>68941</v>
      </c>
      <c r="B913" s="8">
        <f>CHOOSE( CONTROL!$C$32, 29.6662, 29.6658) * CHOOSE(CONTROL!$C$15, $D$11, 100%, $F$11)</f>
        <v>29.6662</v>
      </c>
      <c r="C913" s="8">
        <f>CHOOSE( CONTROL!$C$32, 29.6742, 29.6737) * CHOOSE(CONTROL!$C$15, $D$11, 100%, $F$11)</f>
        <v>29.674199999999999</v>
      </c>
      <c r="D913" s="8">
        <f>CHOOSE( CONTROL!$C$32, 29.6693, 29.6689) * CHOOSE( CONTROL!$C$15, $D$11, 100%, $F$11)</f>
        <v>29.6693</v>
      </c>
      <c r="E913" s="12">
        <f>CHOOSE( CONTROL!$C$32, 29.6699, 29.6694) * CHOOSE( CONTROL!$C$15, $D$11, 100%, $F$11)</f>
        <v>29.669899999999998</v>
      </c>
      <c r="F913" s="4">
        <f>CHOOSE( CONTROL!$C$32, 30.3732, 30.3727) * CHOOSE(CONTROL!$C$15, $D$11, 100%, $F$11)</f>
        <v>30.373200000000001</v>
      </c>
      <c r="G913" s="8">
        <f>CHOOSE( CONTROL!$C$32, 29.3252, 29.3247) * CHOOSE( CONTROL!$C$15, $D$11, 100%, $F$11)</f>
        <v>29.325199999999999</v>
      </c>
      <c r="H913" s="4">
        <f>CHOOSE( CONTROL!$C$32, 30.2641, 30.2637) * CHOOSE(CONTROL!$C$15, $D$11, 100%, $F$11)</f>
        <v>30.264099999999999</v>
      </c>
      <c r="I913" s="8">
        <f>CHOOSE( CONTROL!$C$32, 28.8775, 28.877) * CHOOSE(CONTROL!$C$15, $D$11, 100%, $F$11)</f>
        <v>28.877500000000001</v>
      </c>
      <c r="J913" s="4">
        <f>CHOOSE( CONTROL!$C$32, 28.7802, 28.7798) * CHOOSE(CONTROL!$C$15, $D$11, 100%, $F$11)</f>
        <v>28.780200000000001</v>
      </c>
      <c r="K913" s="4"/>
      <c r="L913" s="9">
        <v>29.7257</v>
      </c>
      <c r="M913" s="9">
        <v>11.6745</v>
      </c>
      <c r="N913" s="9">
        <v>4.7850000000000001</v>
      </c>
      <c r="O913" s="9">
        <v>0.36199999999999999</v>
      </c>
      <c r="P913" s="9">
        <v>1.2509999999999999</v>
      </c>
      <c r="Q913" s="9">
        <v>19.053000000000001</v>
      </c>
      <c r="R913" s="9"/>
      <c r="S913" s="11"/>
    </row>
    <row r="914" spans="1:19" ht="15.75">
      <c r="A914" s="13">
        <v>68972</v>
      </c>
      <c r="B914" s="8">
        <f>CHOOSE( CONTROL!$C$32, 30.9817, 30.9814) * CHOOSE(CONTROL!$C$15, $D$11, 100%, $F$11)</f>
        <v>30.9817</v>
      </c>
      <c r="C914" s="8">
        <f>CHOOSE( CONTROL!$C$32, 30.987, 30.9867) * CHOOSE(CONTROL!$C$15, $D$11, 100%, $F$11)</f>
        <v>30.986999999999998</v>
      </c>
      <c r="D914" s="8">
        <f>CHOOSE( CONTROL!$C$32, 30.9872, 30.9869) * CHOOSE( CONTROL!$C$15, $D$11, 100%, $F$11)</f>
        <v>30.987200000000001</v>
      </c>
      <c r="E914" s="12">
        <f>CHOOSE( CONTROL!$C$32, 30.9866, 30.9863) * CHOOSE( CONTROL!$C$15, $D$11, 100%, $F$11)</f>
        <v>30.986599999999999</v>
      </c>
      <c r="F914" s="4">
        <f>CHOOSE( CONTROL!$C$32, 31.6903, 31.6901) * CHOOSE(CONTROL!$C$15, $D$11, 100%, $F$11)</f>
        <v>31.690300000000001</v>
      </c>
      <c r="G914" s="8">
        <f>CHOOSE( CONTROL!$C$32, 30.6269, 30.6266) * CHOOSE( CONTROL!$C$15, $D$11, 100%, $F$11)</f>
        <v>30.626899999999999</v>
      </c>
      <c r="H914" s="4">
        <f>CHOOSE( CONTROL!$C$32, 31.5659, 31.5656) * CHOOSE(CONTROL!$C$15, $D$11, 100%, $F$11)</f>
        <v>31.565899999999999</v>
      </c>
      <c r="I914" s="8">
        <f>CHOOSE( CONTROL!$C$32, 30.1571, 30.1569) * CHOOSE(CONTROL!$C$15, $D$11, 100%, $F$11)</f>
        <v>30.1571</v>
      </c>
      <c r="J914" s="4">
        <f>CHOOSE( CONTROL!$C$32, 30.0586, 30.0583) * CHOOSE(CONTROL!$C$15, $D$11, 100%, $F$11)</f>
        <v>30.058599999999998</v>
      </c>
      <c r="K914" s="4"/>
      <c r="L914" s="9">
        <v>31.095300000000002</v>
      </c>
      <c r="M914" s="9">
        <v>12.063700000000001</v>
      </c>
      <c r="N914" s="9">
        <v>4.9444999999999997</v>
      </c>
      <c r="O914" s="9">
        <v>0.37409999999999999</v>
      </c>
      <c r="P914" s="9">
        <v>1.2927</v>
      </c>
      <c r="Q914" s="9">
        <v>19.688099999999999</v>
      </c>
      <c r="R914" s="9"/>
      <c r="S914" s="11"/>
    </row>
    <row r="915" spans="1:19" ht="15.75">
      <c r="A915" s="13">
        <v>69002</v>
      </c>
      <c r="B915" s="8">
        <f>CHOOSE( CONTROL!$C$32, 33.4128, 33.4126) * CHOOSE(CONTROL!$C$15, $D$11, 100%, $F$11)</f>
        <v>33.412799999999997</v>
      </c>
      <c r="C915" s="8">
        <f>CHOOSE( CONTROL!$C$32, 33.4179, 33.4177) * CHOOSE(CONTROL!$C$15, $D$11, 100%, $F$11)</f>
        <v>33.417900000000003</v>
      </c>
      <c r="D915" s="8">
        <f>CHOOSE( CONTROL!$C$32, 33.3858, 33.3855) * CHOOSE( CONTROL!$C$15, $D$11, 100%, $F$11)</f>
        <v>33.385800000000003</v>
      </c>
      <c r="E915" s="12">
        <f>CHOOSE( CONTROL!$C$32, 33.397, 33.3967) * CHOOSE( CONTROL!$C$15, $D$11, 100%, $F$11)</f>
        <v>33.396999999999998</v>
      </c>
      <c r="F915" s="4">
        <f>CHOOSE( CONTROL!$C$32, 34.0781, 34.0779) * CHOOSE(CONTROL!$C$15, $D$11, 100%, $F$11)</f>
        <v>34.078099999999999</v>
      </c>
      <c r="G915" s="8">
        <f>CHOOSE( CONTROL!$C$32, 33.0189, 33.0187) * CHOOSE( CONTROL!$C$15, $D$11, 100%, $F$11)</f>
        <v>33.018900000000002</v>
      </c>
      <c r="H915" s="4">
        <f>CHOOSE( CONTROL!$C$32, 33.9257, 33.9254) * CHOOSE(CONTROL!$C$15, $D$11, 100%, $F$11)</f>
        <v>33.925699999999999</v>
      </c>
      <c r="I915" s="8">
        <f>CHOOSE( CONTROL!$C$32, 32.569, 32.5687) * CHOOSE(CONTROL!$C$15, $D$11, 100%, $F$11)</f>
        <v>32.569000000000003</v>
      </c>
      <c r="J915" s="4">
        <f>CHOOSE( CONTROL!$C$32, 32.4184, 32.4182) * CHOOSE(CONTROL!$C$15, $D$11, 100%, $F$11)</f>
        <v>32.418399999999998</v>
      </c>
      <c r="K915" s="4"/>
      <c r="L915" s="9">
        <v>28.360600000000002</v>
      </c>
      <c r="M915" s="9">
        <v>11.6745</v>
      </c>
      <c r="N915" s="9">
        <v>4.7850000000000001</v>
      </c>
      <c r="O915" s="9">
        <v>0.36199999999999999</v>
      </c>
      <c r="P915" s="9">
        <v>1.2509999999999999</v>
      </c>
      <c r="Q915" s="9">
        <v>19.053000000000001</v>
      </c>
      <c r="R915" s="9"/>
      <c r="S915" s="11"/>
    </row>
    <row r="916" spans="1:19" ht="15.75">
      <c r="A916" s="13">
        <v>69033</v>
      </c>
      <c r="B916" s="8">
        <f>CHOOSE( CONTROL!$C$32, 33.3521, 33.3518) * CHOOSE(CONTROL!$C$15, $D$11, 100%, $F$11)</f>
        <v>33.3521</v>
      </c>
      <c r="C916" s="8">
        <f>CHOOSE( CONTROL!$C$32, 33.3572, 33.3569) * CHOOSE(CONTROL!$C$15, $D$11, 100%, $F$11)</f>
        <v>33.357199999999999</v>
      </c>
      <c r="D916" s="8">
        <f>CHOOSE( CONTROL!$C$32, 33.3269, 33.3266) * CHOOSE( CONTROL!$C$15, $D$11, 100%, $F$11)</f>
        <v>33.326900000000002</v>
      </c>
      <c r="E916" s="12">
        <f>CHOOSE( CONTROL!$C$32, 33.3374, 33.3371) * CHOOSE( CONTROL!$C$15, $D$11, 100%, $F$11)</f>
        <v>33.337400000000002</v>
      </c>
      <c r="F916" s="4">
        <f>CHOOSE( CONTROL!$C$32, 34.0174, 34.0171) * CHOOSE(CONTROL!$C$15, $D$11, 100%, $F$11)</f>
        <v>34.017400000000002</v>
      </c>
      <c r="G916" s="8">
        <f>CHOOSE( CONTROL!$C$32, 32.9602, 32.9599) * CHOOSE( CONTROL!$C$15, $D$11, 100%, $F$11)</f>
        <v>32.9602</v>
      </c>
      <c r="H916" s="4">
        <f>CHOOSE( CONTROL!$C$32, 33.8656, 33.8654) * CHOOSE(CONTROL!$C$15, $D$11, 100%, $F$11)</f>
        <v>33.865600000000001</v>
      </c>
      <c r="I916" s="8">
        <f>CHOOSE( CONTROL!$C$32, 32.5157, 32.5155) * CHOOSE(CONTROL!$C$15, $D$11, 100%, $F$11)</f>
        <v>32.515700000000002</v>
      </c>
      <c r="J916" s="4">
        <f>CHOOSE( CONTROL!$C$32, 32.3595, 32.3592) * CHOOSE(CONTROL!$C$15, $D$11, 100%, $F$11)</f>
        <v>32.359499999999997</v>
      </c>
      <c r="K916" s="4"/>
      <c r="L916" s="9">
        <v>29.306000000000001</v>
      </c>
      <c r="M916" s="9">
        <v>12.063700000000001</v>
      </c>
      <c r="N916" s="9">
        <v>4.9444999999999997</v>
      </c>
      <c r="O916" s="9">
        <v>0.37409999999999999</v>
      </c>
      <c r="P916" s="9">
        <v>1.2927</v>
      </c>
      <c r="Q916" s="9">
        <v>19.688099999999999</v>
      </c>
      <c r="R916" s="9"/>
      <c r="S916" s="11"/>
    </row>
    <row r="917" spans="1:19" ht="15.75">
      <c r="A917" s="13">
        <v>69064</v>
      </c>
      <c r="B917" s="8">
        <f>CHOOSE( CONTROL!$C$32, 34.3356, 34.3353) * CHOOSE(CONTROL!$C$15, $D$11, 100%, $F$11)</f>
        <v>34.335599999999999</v>
      </c>
      <c r="C917" s="8">
        <f>CHOOSE( CONTROL!$C$32, 34.3407, 34.3404) * CHOOSE(CONTROL!$C$15, $D$11, 100%, $F$11)</f>
        <v>34.340699999999998</v>
      </c>
      <c r="D917" s="8">
        <f>CHOOSE( CONTROL!$C$32, 34.3383, 34.338) * CHOOSE( CONTROL!$C$15, $D$11, 100%, $F$11)</f>
        <v>34.338299999999997</v>
      </c>
      <c r="E917" s="12">
        <f>CHOOSE( CONTROL!$C$32, 34.3386, 34.3383) * CHOOSE( CONTROL!$C$15, $D$11, 100%, $F$11)</f>
        <v>34.3386</v>
      </c>
      <c r="F917" s="4">
        <f>CHOOSE( CONTROL!$C$32, 35.0009, 35.0006) * CHOOSE(CONTROL!$C$15, $D$11, 100%, $F$11)</f>
        <v>35.000900000000001</v>
      </c>
      <c r="G917" s="8">
        <f>CHOOSE( CONTROL!$C$32, 33.9483, 33.9481) * CHOOSE( CONTROL!$C$15, $D$11, 100%, $F$11)</f>
        <v>33.948300000000003</v>
      </c>
      <c r="H917" s="4">
        <f>CHOOSE( CONTROL!$C$32, 34.8376, 34.8374) * CHOOSE(CONTROL!$C$15, $D$11, 100%, $F$11)</f>
        <v>34.837600000000002</v>
      </c>
      <c r="I917" s="8">
        <f>CHOOSE( CONTROL!$C$32, 33.4442, 33.444) * CHOOSE(CONTROL!$C$15, $D$11, 100%, $F$11)</f>
        <v>33.444200000000002</v>
      </c>
      <c r="J917" s="4">
        <f>CHOOSE( CONTROL!$C$32, 33.3139, 33.3137) * CHOOSE(CONTROL!$C$15, $D$11, 100%, $F$11)</f>
        <v>33.313899999999997</v>
      </c>
      <c r="K917" s="4"/>
      <c r="L917" s="9">
        <v>29.306000000000001</v>
      </c>
      <c r="M917" s="9">
        <v>12.063700000000001</v>
      </c>
      <c r="N917" s="9">
        <v>4.9444999999999997</v>
      </c>
      <c r="O917" s="9">
        <v>0.37409999999999999</v>
      </c>
      <c r="P917" s="9">
        <v>1.2927</v>
      </c>
      <c r="Q917" s="9">
        <v>19.688099999999999</v>
      </c>
      <c r="R917" s="9"/>
      <c r="S917" s="11"/>
    </row>
    <row r="918" spans="1:19" ht="15.75">
      <c r="A918" s="13">
        <v>69092</v>
      </c>
      <c r="B918" s="8">
        <f>CHOOSE( CONTROL!$C$32, 32.1165, 32.1162) * CHOOSE(CONTROL!$C$15, $D$11, 100%, $F$11)</f>
        <v>32.116500000000002</v>
      </c>
      <c r="C918" s="8">
        <f>CHOOSE( CONTROL!$C$32, 32.1215, 32.1213) * CHOOSE(CONTROL!$C$15, $D$11, 100%, $F$11)</f>
        <v>32.121499999999997</v>
      </c>
      <c r="D918" s="8">
        <f>CHOOSE( CONTROL!$C$32, 32.1015, 32.1012) * CHOOSE( CONTROL!$C$15, $D$11, 100%, $F$11)</f>
        <v>32.101500000000001</v>
      </c>
      <c r="E918" s="12">
        <f>CHOOSE( CONTROL!$C$32, 32.1083, 32.108) * CHOOSE( CONTROL!$C$15, $D$11, 100%, $F$11)</f>
        <v>32.1083</v>
      </c>
      <c r="F918" s="4">
        <f>CHOOSE( CONTROL!$C$32, 32.7817, 32.7815) * CHOOSE(CONTROL!$C$15, $D$11, 100%, $F$11)</f>
        <v>32.781700000000001</v>
      </c>
      <c r="G918" s="8">
        <f>CHOOSE( CONTROL!$C$32, 31.744, 31.7438) * CHOOSE( CONTROL!$C$15, $D$11, 100%, $F$11)</f>
        <v>31.744</v>
      </c>
      <c r="H918" s="4">
        <f>CHOOSE( CONTROL!$C$32, 32.6445, 32.6442) * CHOOSE(CONTROL!$C$15, $D$11, 100%, $F$11)</f>
        <v>32.644500000000001</v>
      </c>
      <c r="I918" s="8">
        <f>CHOOSE( CONTROL!$C$32, 31.2899, 31.2896) * CHOOSE(CONTROL!$C$15, $D$11, 100%, $F$11)</f>
        <v>31.289899999999999</v>
      </c>
      <c r="J918" s="4">
        <f>CHOOSE( CONTROL!$C$32, 31.1603, 31.16) * CHOOSE(CONTROL!$C$15, $D$11, 100%, $F$11)</f>
        <v>31.160299999999999</v>
      </c>
      <c r="K918" s="4"/>
      <c r="L918" s="9">
        <v>26.469899999999999</v>
      </c>
      <c r="M918" s="9">
        <v>10.8962</v>
      </c>
      <c r="N918" s="9">
        <v>4.4660000000000002</v>
      </c>
      <c r="O918" s="9">
        <v>0.33789999999999998</v>
      </c>
      <c r="P918" s="9">
        <v>1.1676</v>
      </c>
      <c r="Q918" s="9">
        <v>17.782800000000002</v>
      </c>
      <c r="R918" s="9"/>
      <c r="S918" s="11"/>
    </row>
    <row r="919" spans="1:19" ht="15.75">
      <c r="A919" s="13">
        <v>69123</v>
      </c>
      <c r="B919" s="8">
        <f>CHOOSE( CONTROL!$C$32, 31.433, 31.4327) * CHOOSE(CONTROL!$C$15, $D$11, 100%, $F$11)</f>
        <v>31.433</v>
      </c>
      <c r="C919" s="8">
        <f>CHOOSE( CONTROL!$C$32, 31.4381, 31.4378) * CHOOSE(CONTROL!$C$15, $D$11, 100%, $F$11)</f>
        <v>31.438099999999999</v>
      </c>
      <c r="D919" s="8">
        <f>CHOOSE( CONTROL!$C$32, 31.4081, 31.4078) * CHOOSE( CONTROL!$C$15, $D$11, 100%, $F$11)</f>
        <v>31.408100000000001</v>
      </c>
      <c r="E919" s="12">
        <f>CHOOSE( CONTROL!$C$32, 31.4185, 31.4182) * CHOOSE( CONTROL!$C$15, $D$11, 100%, $F$11)</f>
        <v>31.418500000000002</v>
      </c>
      <c r="F919" s="4">
        <f>CHOOSE( CONTROL!$C$32, 32.0983, 32.098) * CHOOSE(CONTROL!$C$15, $D$11, 100%, $F$11)</f>
        <v>32.098300000000002</v>
      </c>
      <c r="G919" s="8">
        <f>CHOOSE( CONTROL!$C$32, 31.0553, 31.0551) * CHOOSE( CONTROL!$C$15, $D$11, 100%, $F$11)</f>
        <v>31.055299999999999</v>
      </c>
      <c r="H919" s="4">
        <f>CHOOSE( CONTROL!$C$32, 31.969, 31.9687) * CHOOSE(CONTROL!$C$15, $D$11, 100%, $F$11)</f>
        <v>31.969000000000001</v>
      </c>
      <c r="I919" s="8">
        <f>CHOOSE( CONTROL!$C$32, 30.591, 30.5908) * CHOOSE(CONTROL!$C$15, $D$11, 100%, $F$11)</f>
        <v>30.591000000000001</v>
      </c>
      <c r="J919" s="4">
        <f>CHOOSE( CONTROL!$C$32, 30.497, 30.4967) * CHOOSE(CONTROL!$C$15, $D$11, 100%, $F$11)</f>
        <v>30.497</v>
      </c>
      <c r="K919" s="4"/>
      <c r="L919" s="9">
        <v>29.306000000000001</v>
      </c>
      <c r="M919" s="9">
        <v>12.063700000000001</v>
      </c>
      <c r="N919" s="9">
        <v>4.9444999999999997</v>
      </c>
      <c r="O919" s="9">
        <v>0.37409999999999999</v>
      </c>
      <c r="P919" s="9">
        <v>1.2927</v>
      </c>
      <c r="Q919" s="9">
        <v>19.688099999999999</v>
      </c>
      <c r="R919" s="9"/>
      <c r="S919" s="11"/>
    </row>
    <row r="920" spans="1:19" ht="15.75">
      <c r="A920" s="13">
        <v>69153</v>
      </c>
      <c r="B920" s="8">
        <f>CHOOSE( CONTROL!$C$32, 31.9113, 31.9111) * CHOOSE(CONTROL!$C$15, $D$11, 100%, $F$11)</f>
        <v>31.911300000000001</v>
      </c>
      <c r="C920" s="8">
        <f>CHOOSE( CONTROL!$C$32, 31.9159, 31.9156) * CHOOSE(CONTROL!$C$15, $D$11, 100%, $F$11)</f>
        <v>31.915900000000001</v>
      </c>
      <c r="D920" s="8">
        <f>CHOOSE( CONTROL!$C$32, 31.9154, 31.9151) * CHOOSE( CONTROL!$C$15, $D$11, 100%, $F$11)</f>
        <v>31.915400000000002</v>
      </c>
      <c r="E920" s="12">
        <f>CHOOSE( CONTROL!$C$32, 31.915, 31.9148) * CHOOSE( CONTROL!$C$15, $D$11, 100%, $F$11)</f>
        <v>31.914999999999999</v>
      </c>
      <c r="F920" s="4">
        <f>CHOOSE( CONTROL!$C$32, 32.6197, 32.6194) * CHOOSE(CONTROL!$C$15, $D$11, 100%, $F$11)</f>
        <v>32.619700000000002</v>
      </c>
      <c r="G920" s="8">
        <f>CHOOSE( CONTROL!$C$32, 31.5443, 31.5441) * CHOOSE( CONTROL!$C$15, $D$11, 100%, $F$11)</f>
        <v>31.5443</v>
      </c>
      <c r="H920" s="4">
        <f>CHOOSE( CONTROL!$C$32, 32.4843, 32.484) * CHOOSE(CONTROL!$C$15, $D$11, 100%, $F$11)</f>
        <v>32.484299999999998</v>
      </c>
      <c r="I920" s="8">
        <f>CHOOSE( CONTROL!$C$32, 31.0553, 31.055) * CHOOSE(CONTROL!$C$15, $D$11, 100%, $F$11)</f>
        <v>31.055299999999999</v>
      </c>
      <c r="J920" s="4">
        <f>CHOOSE( CONTROL!$C$32, 30.9605, 30.9602) * CHOOSE(CONTROL!$C$15, $D$11, 100%, $F$11)</f>
        <v>30.9605</v>
      </c>
      <c r="K920" s="4"/>
      <c r="L920" s="9">
        <v>30.092199999999998</v>
      </c>
      <c r="M920" s="9">
        <v>11.6745</v>
      </c>
      <c r="N920" s="9">
        <v>4.7850000000000001</v>
      </c>
      <c r="O920" s="9">
        <v>0.36199999999999999</v>
      </c>
      <c r="P920" s="9">
        <v>1.2509999999999999</v>
      </c>
      <c r="Q920" s="9">
        <v>19.053000000000001</v>
      </c>
      <c r="R920" s="9"/>
      <c r="S920" s="11"/>
    </row>
    <row r="921" spans="1:19" ht="15.75">
      <c r="A921" s="13">
        <v>69184</v>
      </c>
      <c r="B921" s="8">
        <f>CHOOSE( CONTROL!$C$32, 32.7629, 32.7625) * CHOOSE(CONTROL!$C$15, $D$11, 100%, $F$11)</f>
        <v>32.762900000000002</v>
      </c>
      <c r="C921" s="8">
        <f>CHOOSE( CONTROL!$C$32, 32.7709, 32.7704) * CHOOSE(CONTROL!$C$15, $D$11, 100%, $F$11)</f>
        <v>32.770899999999997</v>
      </c>
      <c r="D921" s="8">
        <f>CHOOSE( CONTROL!$C$32, 32.7652, 32.7647) * CHOOSE( CONTROL!$C$15, $D$11, 100%, $F$11)</f>
        <v>32.7652</v>
      </c>
      <c r="E921" s="12">
        <f>CHOOSE( CONTROL!$C$32, 32.766, 32.7656) * CHOOSE( CONTROL!$C$15, $D$11, 100%, $F$11)</f>
        <v>32.765999999999998</v>
      </c>
      <c r="F921" s="4">
        <f>CHOOSE( CONTROL!$C$32, 33.4699, 33.4694) * CHOOSE(CONTROL!$C$15, $D$11, 100%, $F$11)</f>
        <v>33.469900000000003</v>
      </c>
      <c r="G921" s="8">
        <f>CHOOSE( CONTROL!$C$32, 32.3849, 32.3845) * CHOOSE( CONTROL!$C$15, $D$11, 100%, $F$11)</f>
        <v>32.384900000000002</v>
      </c>
      <c r="H921" s="4">
        <f>CHOOSE( CONTROL!$C$32, 33.3246, 33.3241) * CHOOSE(CONTROL!$C$15, $D$11, 100%, $F$11)</f>
        <v>33.324599999999997</v>
      </c>
      <c r="I921" s="8">
        <f>CHOOSE( CONTROL!$C$32, 31.8814, 31.881) * CHOOSE(CONTROL!$C$15, $D$11, 100%, $F$11)</f>
        <v>31.881399999999999</v>
      </c>
      <c r="J921" s="4">
        <f>CHOOSE( CONTROL!$C$32, 31.7856, 31.7852) * CHOOSE(CONTROL!$C$15, $D$11, 100%, $F$11)</f>
        <v>31.785599999999999</v>
      </c>
      <c r="K921" s="4"/>
      <c r="L921" s="9">
        <v>30.7165</v>
      </c>
      <c r="M921" s="9">
        <v>12.063700000000001</v>
      </c>
      <c r="N921" s="9">
        <v>4.9444999999999997</v>
      </c>
      <c r="O921" s="9">
        <v>0.37409999999999999</v>
      </c>
      <c r="P921" s="9">
        <v>1.2927</v>
      </c>
      <c r="Q921" s="9">
        <v>19.688099999999999</v>
      </c>
      <c r="R921" s="9"/>
      <c r="S921" s="11"/>
    </row>
    <row r="922" spans="1:19" ht="15.75">
      <c r="A922" s="13">
        <v>69214</v>
      </c>
      <c r="B922" s="8">
        <f>CHOOSE( CONTROL!$C$32, 32.2364, 32.2359) * CHOOSE(CONTROL!$C$15, $D$11, 100%, $F$11)</f>
        <v>32.236400000000003</v>
      </c>
      <c r="C922" s="8">
        <f>CHOOSE( CONTROL!$C$32, 32.2443, 32.2439) * CHOOSE(CONTROL!$C$15, $D$11, 100%, $F$11)</f>
        <v>32.244300000000003</v>
      </c>
      <c r="D922" s="8">
        <f>CHOOSE( CONTROL!$C$32, 32.239, 32.2386) * CHOOSE( CONTROL!$C$15, $D$11, 100%, $F$11)</f>
        <v>32.238999999999997</v>
      </c>
      <c r="E922" s="12">
        <f>CHOOSE( CONTROL!$C$32, 32.2397, 32.2393) * CHOOSE( CONTROL!$C$15, $D$11, 100%, $F$11)</f>
        <v>32.239699999999999</v>
      </c>
      <c r="F922" s="4">
        <f>CHOOSE( CONTROL!$C$32, 32.9433, 32.9428) * CHOOSE(CONTROL!$C$15, $D$11, 100%, $F$11)</f>
        <v>32.943300000000001</v>
      </c>
      <c r="G922" s="8">
        <f>CHOOSE( CONTROL!$C$32, 31.8649, 31.8644) * CHOOSE( CONTROL!$C$15, $D$11, 100%, $F$11)</f>
        <v>31.864899999999999</v>
      </c>
      <c r="H922" s="4">
        <f>CHOOSE( CONTROL!$C$32, 32.8042, 32.8037) * CHOOSE(CONTROL!$C$15, $D$11, 100%, $F$11)</f>
        <v>32.804200000000002</v>
      </c>
      <c r="I922" s="8">
        <f>CHOOSE( CONTROL!$C$32, 31.3716, 31.3711) * CHOOSE(CONTROL!$C$15, $D$11, 100%, $F$11)</f>
        <v>31.371600000000001</v>
      </c>
      <c r="J922" s="4">
        <f>CHOOSE( CONTROL!$C$32, 31.2746, 31.2741) * CHOOSE(CONTROL!$C$15, $D$11, 100%, $F$11)</f>
        <v>31.2746</v>
      </c>
      <c r="K922" s="4"/>
      <c r="L922" s="9">
        <v>29.7257</v>
      </c>
      <c r="M922" s="9">
        <v>11.6745</v>
      </c>
      <c r="N922" s="9">
        <v>4.7850000000000001</v>
      </c>
      <c r="O922" s="9">
        <v>0.36199999999999999</v>
      </c>
      <c r="P922" s="9">
        <v>1.2509999999999999</v>
      </c>
      <c r="Q922" s="9">
        <v>19.053000000000001</v>
      </c>
      <c r="R922" s="9"/>
      <c r="S922" s="11"/>
    </row>
    <row r="923" spans="1:19" ht="15.75">
      <c r="A923" s="13">
        <v>69245</v>
      </c>
      <c r="B923" s="8">
        <f>CHOOSE( CONTROL!$C$32, 33.623, 33.6225) * CHOOSE(CONTROL!$C$15, $D$11, 100%, $F$11)</f>
        <v>33.622999999999998</v>
      </c>
      <c r="C923" s="8">
        <f>CHOOSE( CONTROL!$C$32, 33.631, 33.6305) * CHOOSE(CONTROL!$C$15, $D$11, 100%, $F$11)</f>
        <v>33.631</v>
      </c>
      <c r="D923" s="8">
        <f>CHOOSE( CONTROL!$C$32, 33.6261, 33.6257) * CHOOSE( CONTROL!$C$15, $D$11, 100%, $F$11)</f>
        <v>33.626100000000001</v>
      </c>
      <c r="E923" s="12">
        <f>CHOOSE( CONTROL!$C$32, 33.6267, 33.6262) * CHOOSE( CONTROL!$C$15, $D$11, 100%, $F$11)</f>
        <v>33.6267</v>
      </c>
      <c r="F923" s="4">
        <f>CHOOSE( CONTROL!$C$32, 34.3299, 34.3295) * CHOOSE(CONTROL!$C$15, $D$11, 100%, $F$11)</f>
        <v>34.329900000000002</v>
      </c>
      <c r="G923" s="8">
        <f>CHOOSE( CONTROL!$C$32, 33.2356, 33.2352) * CHOOSE( CONTROL!$C$15, $D$11, 100%, $F$11)</f>
        <v>33.235599999999998</v>
      </c>
      <c r="H923" s="4">
        <f>CHOOSE( CONTROL!$C$32, 34.1746, 34.1741) * CHOOSE(CONTROL!$C$15, $D$11, 100%, $F$11)</f>
        <v>34.174599999999998</v>
      </c>
      <c r="I923" s="8">
        <f>CHOOSE( CONTROL!$C$32, 32.7195, 32.7191) * CHOOSE(CONTROL!$C$15, $D$11, 100%, $F$11)</f>
        <v>32.719499999999996</v>
      </c>
      <c r="J923" s="4">
        <f>CHOOSE( CONTROL!$C$32, 32.6203, 32.6199) * CHOOSE(CONTROL!$C$15, $D$11, 100%, $F$11)</f>
        <v>32.6203</v>
      </c>
      <c r="K923" s="4"/>
      <c r="L923" s="9">
        <v>30.7165</v>
      </c>
      <c r="M923" s="9">
        <v>12.063700000000001</v>
      </c>
      <c r="N923" s="9">
        <v>4.9444999999999997</v>
      </c>
      <c r="O923" s="9">
        <v>0.37409999999999999</v>
      </c>
      <c r="P923" s="9">
        <v>1.2927</v>
      </c>
      <c r="Q923" s="9">
        <v>19.688099999999999</v>
      </c>
      <c r="R923" s="9"/>
      <c r="S923" s="11"/>
    </row>
    <row r="924" spans="1:19" ht="15.75">
      <c r="A924" s="13">
        <v>69276</v>
      </c>
      <c r="B924" s="8">
        <f>CHOOSE( CONTROL!$C$32, 31.0284, 31.028) * CHOOSE(CONTROL!$C$15, $D$11, 100%, $F$11)</f>
        <v>31.028400000000001</v>
      </c>
      <c r="C924" s="8">
        <f>CHOOSE( CONTROL!$C$32, 31.0364, 31.036) * CHOOSE(CONTROL!$C$15, $D$11, 100%, $F$11)</f>
        <v>31.0364</v>
      </c>
      <c r="D924" s="8">
        <f>CHOOSE( CONTROL!$C$32, 31.0317, 31.0313) * CHOOSE( CONTROL!$C$15, $D$11, 100%, $F$11)</f>
        <v>31.031700000000001</v>
      </c>
      <c r="E924" s="12">
        <f>CHOOSE( CONTROL!$C$32, 31.0322, 31.0318) * CHOOSE( CONTROL!$C$15, $D$11, 100%, $F$11)</f>
        <v>31.0322</v>
      </c>
      <c r="F924" s="4">
        <f>CHOOSE( CONTROL!$C$32, 31.7354, 31.7349) * CHOOSE(CONTROL!$C$15, $D$11, 100%, $F$11)</f>
        <v>31.735399999999998</v>
      </c>
      <c r="G924" s="8">
        <f>CHOOSE( CONTROL!$C$32, 30.6716, 30.6711) * CHOOSE( CONTROL!$C$15, $D$11, 100%, $F$11)</f>
        <v>30.671600000000002</v>
      </c>
      <c r="H924" s="4">
        <f>CHOOSE( CONTROL!$C$32, 31.6104, 31.6099) * CHOOSE(CONTROL!$C$15, $D$11, 100%, $F$11)</f>
        <v>31.610399999999998</v>
      </c>
      <c r="I924" s="8">
        <f>CHOOSE( CONTROL!$C$32, 30.2007, 30.2003) * CHOOSE(CONTROL!$C$15, $D$11, 100%, $F$11)</f>
        <v>30.200700000000001</v>
      </c>
      <c r="J924" s="4">
        <f>CHOOSE( CONTROL!$C$32, 30.1023, 30.1018) * CHOOSE(CONTROL!$C$15, $D$11, 100%, $F$11)</f>
        <v>30.1023</v>
      </c>
      <c r="K924" s="4"/>
      <c r="L924" s="9">
        <v>30.7165</v>
      </c>
      <c r="M924" s="9">
        <v>12.063700000000001</v>
      </c>
      <c r="N924" s="9">
        <v>4.9444999999999997</v>
      </c>
      <c r="O924" s="9">
        <v>0.37409999999999999</v>
      </c>
      <c r="P924" s="9">
        <v>1.2927</v>
      </c>
      <c r="Q924" s="9">
        <v>19.688099999999999</v>
      </c>
      <c r="R924" s="9"/>
      <c r="S924" s="11"/>
    </row>
    <row r="925" spans="1:19" ht="15.75">
      <c r="A925" s="13">
        <v>69306</v>
      </c>
      <c r="B925" s="8">
        <f>CHOOSE( CONTROL!$C$32, 30.3787, 30.3783) * CHOOSE(CONTROL!$C$15, $D$11, 100%, $F$11)</f>
        <v>30.378699999999998</v>
      </c>
      <c r="C925" s="8">
        <f>CHOOSE( CONTROL!$C$32, 30.3867, 30.3863) * CHOOSE(CONTROL!$C$15, $D$11, 100%, $F$11)</f>
        <v>30.386700000000001</v>
      </c>
      <c r="D925" s="8">
        <f>CHOOSE( CONTROL!$C$32, 30.3819, 30.3814) * CHOOSE( CONTROL!$C$15, $D$11, 100%, $F$11)</f>
        <v>30.381900000000002</v>
      </c>
      <c r="E925" s="12">
        <f>CHOOSE( CONTROL!$C$32, 30.3824, 30.382) * CHOOSE( CONTROL!$C$15, $D$11, 100%, $F$11)</f>
        <v>30.382400000000001</v>
      </c>
      <c r="F925" s="4">
        <f>CHOOSE( CONTROL!$C$32, 31.0857, 31.0852) * CHOOSE(CONTROL!$C$15, $D$11, 100%, $F$11)</f>
        <v>31.085699999999999</v>
      </c>
      <c r="G925" s="8">
        <f>CHOOSE( CONTROL!$C$32, 30.0293, 30.0289) * CHOOSE( CONTROL!$C$15, $D$11, 100%, $F$11)</f>
        <v>30.029299999999999</v>
      </c>
      <c r="H925" s="4">
        <f>CHOOSE( CONTROL!$C$32, 30.9683, 30.9678) * CHOOSE(CONTROL!$C$15, $D$11, 100%, $F$11)</f>
        <v>30.968299999999999</v>
      </c>
      <c r="I925" s="8">
        <f>CHOOSE( CONTROL!$C$32, 29.5693, 29.5689) * CHOOSE(CONTROL!$C$15, $D$11, 100%, $F$11)</f>
        <v>29.569299999999998</v>
      </c>
      <c r="J925" s="4">
        <f>CHOOSE( CONTROL!$C$32, 29.4717, 29.4713) * CHOOSE(CONTROL!$C$15, $D$11, 100%, $F$11)</f>
        <v>29.471699999999998</v>
      </c>
      <c r="K925" s="4"/>
      <c r="L925" s="9">
        <v>29.7257</v>
      </c>
      <c r="M925" s="9">
        <v>11.6745</v>
      </c>
      <c r="N925" s="9">
        <v>4.7850000000000001</v>
      </c>
      <c r="O925" s="9">
        <v>0.36199999999999999</v>
      </c>
      <c r="P925" s="9">
        <v>1.2509999999999999</v>
      </c>
      <c r="Q925" s="9">
        <v>19.053000000000001</v>
      </c>
      <c r="R925" s="9"/>
      <c r="S925" s="11"/>
    </row>
    <row r="926" spans="1:19" ht="15.75">
      <c r="A926" s="13">
        <v>69337</v>
      </c>
      <c r="B926" s="8">
        <f>CHOOSE( CONTROL!$C$32, 31.7258, 31.7256) * CHOOSE(CONTROL!$C$15, $D$11, 100%, $F$11)</f>
        <v>31.7258</v>
      </c>
      <c r="C926" s="8">
        <f>CHOOSE( CONTROL!$C$32, 31.7312, 31.7309) * CHOOSE(CONTROL!$C$15, $D$11, 100%, $F$11)</f>
        <v>31.731200000000001</v>
      </c>
      <c r="D926" s="8">
        <f>CHOOSE( CONTROL!$C$32, 31.7314, 31.7311) * CHOOSE( CONTROL!$C$15, $D$11, 100%, $F$11)</f>
        <v>31.731400000000001</v>
      </c>
      <c r="E926" s="12">
        <f>CHOOSE( CONTROL!$C$32, 31.7308, 31.7305) * CHOOSE( CONTROL!$C$15, $D$11, 100%, $F$11)</f>
        <v>31.730799999999999</v>
      </c>
      <c r="F926" s="4">
        <f>CHOOSE( CONTROL!$C$32, 32.4345, 32.4342) * CHOOSE(CONTROL!$C$15, $D$11, 100%, $F$11)</f>
        <v>32.4345</v>
      </c>
      <c r="G926" s="8">
        <f>CHOOSE( CONTROL!$C$32, 31.3623, 31.3621) * CHOOSE( CONTROL!$C$15, $D$11, 100%, $F$11)</f>
        <v>31.362300000000001</v>
      </c>
      <c r="H926" s="4">
        <f>CHOOSE( CONTROL!$C$32, 32.3013, 32.3011) * CHOOSE(CONTROL!$C$15, $D$11, 100%, $F$11)</f>
        <v>32.301299999999998</v>
      </c>
      <c r="I926" s="8">
        <f>CHOOSE( CONTROL!$C$32, 30.8797, 30.8795) * CHOOSE(CONTROL!$C$15, $D$11, 100%, $F$11)</f>
        <v>30.8797</v>
      </c>
      <c r="J926" s="4">
        <f>CHOOSE( CONTROL!$C$32, 30.7808, 30.7805) * CHOOSE(CONTROL!$C$15, $D$11, 100%, $F$11)</f>
        <v>30.780799999999999</v>
      </c>
      <c r="K926" s="4"/>
      <c r="L926" s="9">
        <v>31.095300000000002</v>
      </c>
      <c r="M926" s="9">
        <v>12.063700000000001</v>
      </c>
      <c r="N926" s="9">
        <v>4.9444999999999997</v>
      </c>
      <c r="O926" s="9">
        <v>0.37409999999999999</v>
      </c>
      <c r="P926" s="9">
        <v>1.2927</v>
      </c>
      <c r="Q926" s="9">
        <v>19.688099999999999</v>
      </c>
      <c r="R926" s="9"/>
      <c r="S926" s="11"/>
    </row>
    <row r="927" spans="1:19" ht="15.75">
      <c r="A927" s="13">
        <v>69367</v>
      </c>
      <c r="B927" s="8">
        <f>CHOOSE( CONTROL!$C$32, 34.2155, 34.2152) * CHOOSE(CONTROL!$C$15, $D$11, 100%, $F$11)</f>
        <v>34.215499999999999</v>
      </c>
      <c r="C927" s="8">
        <f>CHOOSE( CONTROL!$C$32, 34.2205, 34.2203) * CHOOSE(CONTROL!$C$15, $D$11, 100%, $F$11)</f>
        <v>34.220500000000001</v>
      </c>
      <c r="D927" s="8">
        <f>CHOOSE( CONTROL!$C$32, 34.1884, 34.1881) * CHOOSE( CONTROL!$C$15, $D$11, 100%, $F$11)</f>
        <v>34.188400000000001</v>
      </c>
      <c r="E927" s="12">
        <f>CHOOSE( CONTROL!$C$32, 34.1996, 34.1993) * CHOOSE( CONTROL!$C$15, $D$11, 100%, $F$11)</f>
        <v>34.199599999999997</v>
      </c>
      <c r="F927" s="4">
        <f>CHOOSE( CONTROL!$C$32, 34.8807, 34.8805) * CHOOSE(CONTROL!$C$15, $D$11, 100%, $F$11)</f>
        <v>34.880699999999997</v>
      </c>
      <c r="G927" s="8">
        <f>CHOOSE( CONTROL!$C$32, 33.8121, 33.8119) * CHOOSE( CONTROL!$C$15, $D$11, 100%, $F$11)</f>
        <v>33.812100000000001</v>
      </c>
      <c r="H927" s="4">
        <f>CHOOSE( CONTROL!$C$32, 34.7189, 34.7186) * CHOOSE(CONTROL!$C$15, $D$11, 100%, $F$11)</f>
        <v>34.718899999999998</v>
      </c>
      <c r="I927" s="8">
        <f>CHOOSE( CONTROL!$C$32, 33.3483, 33.3481) * CHOOSE(CONTROL!$C$15, $D$11, 100%, $F$11)</f>
        <v>33.348300000000002</v>
      </c>
      <c r="J927" s="4">
        <f>CHOOSE( CONTROL!$C$32, 33.1973, 33.1971) * CHOOSE(CONTROL!$C$15, $D$11, 100%, $F$11)</f>
        <v>33.197299999999998</v>
      </c>
      <c r="K927" s="4"/>
      <c r="L927" s="9">
        <v>28.360600000000002</v>
      </c>
      <c r="M927" s="9">
        <v>11.6745</v>
      </c>
      <c r="N927" s="9">
        <v>4.7850000000000001</v>
      </c>
      <c r="O927" s="9">
        <v>0.36199999999999999</v>
      </c>
      <c r="P927" s="9">
        <v>1.2509999999999999</v>
      </c>
      <c r="Q927" s="9">
        <v>19.053000000000001</v>
      </c>
      <c r="R927" s="9"/>
      <c r="S927" s="11"/>
    </row>
    <row r="928" spans="1:19" ht="15.75">
      <c r="A928" s="13">
        <v>69398</v>
      </c>
      <c r="B928" s="8">
        <f>CHOOSE( CONTROL!$C$32, 34.1532, 34.153) * CHOOSE(CONTROL!$C$15, $D$11, 100%, $F$11)</f>
        <v>34.153199999999998</v>
      </c>
      <c r="C928" s="8">
        <f>CHOOSE( CONTROL!$C$32, 34.1583, 34.158) * CHOOSE(CONTROL!$C$15, $D$11, 100%, $F$11)</f>
        <v>34.158299999999997</v>
      </c>
      <c r="D928" s="8">
        <f>CHOOSE( CONTROL!$C$32, 34.128, 34.1277) * CHOOSE( CONTROL!$C$15, $D$11, 100%, $F$11)</f>
        <v>34.128</v>
      </c>
      <c r="E928" s="12">
        <f>CHOOSE( CONTROL!$C$32, 34.1385, 34.1382) * CHOOSE( CONTROL!$C$15, $D$11, 100%, $F$11)</f>
        <v>34.138500000000001</v>
      </c>
      <c r="F928" s="4">
        <f>CHOOSE( CONTROL!$C$32, 34.8185, 34.8182) * CHOOSE(CONTROL!$C$15, $D$11, 100%, $F$11)</f>
        <v>34.8185</v>
      </c>
      <c r="G928" s="8">
        <f>CHOOSE( CONTROL!$C$32, 33.752, 33.7517) * CHOOSE( CONTROL!$C$15, $D$11, 100%, $F$11)</f>
        <v>33.752000000000002</v>
      </c>
      <c r="H928" s="4">
        <f>CHOOSE( CONTROL!$C$32, 34.6574, 34.6571) * CHOOSE(CONTROL!$C$15, $D$11, 100%, $F$11)</f>
        <v>34.657400000000003</v>
      </c>
      <c r="I928" s="8">
        <f>CHOOSE( CONTROL!$C$32, 33.2936, 33.2934) * CHOOSE(CONTROL!$C$15, $D$11, 100%, $F$11)</f>
        <v>33.293599999999998</v>
      </c>
      <c r="J928" s="4">
        <f>CHOOSE( CONTROL!$C$32, 33.137, 33.1367) * CHOOSE(CONTROL!$C$15, $D$11, 100%, $F$11)</f>
        <v>33.137</v>
      </c>
      <c r="K928" s="4"/>
      <c r="L928" s="9">
        <v>29.306000000000001</v>
      </c>
      <c r="M928" s="9">
        <v>12.063700000000001</v>
      </c>
      <c r="N928" s="9">
        <v>4.9444999999999997</v>
      </c>
      <c r="O928" s="9">
        <v>0.37409999999999999</v>
      </c>
      <c r="P928" s="9">
        <v>1.2927</v>
      </c>
      <c r="Q928" s="9">
        <v>19.688099999999999</v>
      </c>
      <c r="R928" s="9"/>
      <c r="S928" s="11"/>
    </row>
    <row r="929" spans="1:19" ht="15.75">
      <c r="A929" s="13">
        <v>69429</v>
      </c>
      <c r="B929" s="8">
        <f>CHOOSE( CONTROL!$C$32, 35.1604, 35.1601) * CHOOSE(CONTROL!$C$15, $D$11, 100%, $F$11)</f>
        <v>35.160400000000003</v>
      </c>
      <c r="C929" s="8">
        <f>CHOOSE( CONTROL!$C$32, 35.1655, 35.1652) * CHOOSE(CONTROL!$C$15, $D$11, 100%, $F$11)</f>
        <v>35.165500000000002</v>
      </c>
      <c r="D929" s="8">
        <f>CHOOSE( CONTROL!$C$32, 35.1631, 35.1628) * CHOOSE( CONTROL!$C$15, $D$11, 100%, $F$11)</f>
        <v>35.1631</v>
      </c>
      <c r="E929" s="12">
        <f>CHOOSE( CONTROL!$C$32, 35.1634, 35.1631) * CHOOSE( CONTROL!$C$15, $D$11, 100%, $F$11)</f>
        <v>35.163400000000003</v>
      </c>
      <c r="F929" s="4">
        <f>CHOOSE( CONTROL!$C$32, 35.8257, 35.8254) * CHOOSE(CONTROL!$C$15, $D$11, 100%, $F$11)</f>
        <v>35.825699999999998</v>
      </c>
      <c r="G929" s="8">
        <f>CHOOSE( CONTROL!$C$32, 34.7634, 34.7632) * CHOOSE( CONTROL!$C$15, $D$11, 100%, $F$11)</f>
        <v>34.763399999999997</v>
      </c>
      <c r="H929" s="4">
        <f>CHOOSE( CONTROL!$C$32, 35.6528, 35.6525) * CHOOSE(CONTROL!$C$15, $D$11, 100%, $F$11)</f>
        <v>35.652799999999999</v>
      </c>
      <c r="I929" s="8">
        <f>CHOOSE( CONTROL!$C$32, 34.2451, 34.2448) * CHOOSE(CONTROL!$C$15, $D$11, 100%, $F$11)</f>
        <v>34.245100000000001</v>
      </c>
      <c r="J929" s="4">
        <f>CHOOSE( CONTROL!$C$32, 34.1144, 34.1141) * CHOOSE(CONTROL!$C$15, $D$11, 100%, $F$11)</f>
        <v>34.114400000000003</v>
      </c>
      <c r="K929" s="4"/>
      <c r="L929" s="9">
        <v>29.306000000000001</v>
      </c>
      <c r="M929" s="9">
        <v>12.063700000000001</v>
      </c>
      <c r="N929" s="9">
        <v>4.9444999999999997</v>
      </c>
      <c r="O929" s="9">
        <v>0.37409999999999999</v>
      </c>
      <c r="P929" s="9">
        <v>1.2927</v>
      </c>
      <c r="Q929" s="9">
        <v>19.688099999999999</v>
      </c>
      <c r="R929" s="9"/>
      <c r="S929" s="11"/>
    </row>
    <row r="930" spans="1:19" ht="15.75">
      <c r="A930" s="13">
        <v>69457</v>
      </c>
      <c r="B930" s="8">
        <f>CHOOSE( CONTROL!$C$32, 32.8879, 32.8876) * CHOOSE(CONTROL!$C$15, $D$11, 100%, $F$11)</f>
        <v>32.887900000000002</v>
      </c>
      <c r="C930" s="8">
        <f>CHOOSE( CONTROL!$C$32, 32.893, 32.8927) * CHOOSE(CONTROL!$C$15, $D$11, 100%, $F$11)</f>
        <v>32.893000000000001</v>
      </c>
      <c r="D930" s="8">
        <f>CHOOSE( CONTROL!$C$32, 32.873, 32.8727) * CHOOSE( CONTROL!$C$15, $D$11, 100%, $F$11)</f>
        <v>32.872999999999998</v>
      </c>
      <c r="E930" s="12">
        <f>CHOOSE( CONTROL!$C$32, 32.8798, 32.8795) * CHOOSE( CONTROL!$C$15, $D$11, 100%, $F$11)</f>
        <v>32.879800000000003</v>
      </c>
      <c r="F930" s="4">
        <f>CHOOSE( CONTROL!$C$32, 33.5532, 33.5529) * CHOOSE(CONTROL!$C$15, $D$11, 100%, $F$11)</f>
        <v>33.553199999999997</v>
      </c>
      <c r="G930" s="8">
        <f>CHOOSE( CONTROL!$C$32, 32.5065, 32.5062) * CHOOSE( CONTROL!$C$15, $D$11, 100%, $F$11)</f>
        <v>32.506500000000003</v>
      </c>
      <c r="H930" s="4">
        <f>CHOOSE( CONTROL!$C$32, 33.4069, 33.4066) * CHOOSE(CONTROL!$C$15, $D$11, 100%, $F$11)</f>
        <v>33.4069</v>
      </c>
      <c r="I930" s="8">
        <f>CHOOSE( CONTROL!$C$32, 32.039, 32.0387) * CHOOSE(CONTROL!$C$15, $D$11, 100%, $F$11)</f>
        <v>32.039000000000001</v>
      </c>
      <c r="J930" s="4">
        <f>CHOOSE( CONTROL!$C$32, 31.909, 31.9087) * CHOOSE(CONTROL!$C$15, $D$11, 100%, $F$11)</f>
        <v>31.908999999999999</v>
      </c>
      <c r="K930" s="4"/>
      <c r="L930" s="9">
        <v>26.469899999999999</v>
      </c>
      <c r="M930" s="9">
        <v>10.8962</v>
      </c>
      <c r="N930" s="9">
        <v>4.4660000000000002</v>
      </c>
      <c r="O930" s="9">
        <v>0.33789999999999998</v>
      </c>
      <c r="P930" s="9">
        <v>1.1676</v>
      </c>
      <c r="Q930" s="9">
        <v>17.782800000000002</v>
      </c>
      <c r="R930" s="9"/>
      <c r="S930" s="11"/>
    </row>
    <row r="931" spans="1:19" ht="15.75">
      <c r="A931" s="13">
        <v>69488</v>
      </c>
      <c r="B931" s="8">
        <f>CHOOSE( CONTROL!$C$32, 32.188, 32.1877) * CHOOSE(CONTROL!$C$15, $D$11, 100%, $F$11)</f>
        <v>32.188000000000002</v>
      </c>
      <c r="C931" s="8">
        <f>CHOOSE( CONTROL!$C$32, 32.1931, 32.1928) * CHOOSE(CONTROL!$C$15, $D$11, 100%, $F$11)</f>
        <v>32.193100000000001</v>
      </c>
      <c r="D931" s="8">
        <f>CHOOSE( CONTROL!$C$32, 32.1631, 32.1628) * CHOOSE( CONTROL!$C$15, $D$11, 100%, $F$11)</f>
        <v>32.1631</v>
      </c>
      <c r="E931" s="12">
        <f>CHOOSE( CONTROL!$C$32, 32.1735, 32.1732) * CHOOSE( CONTROL!$C$15, $D$11, 100%, $F$11)</f>
        <v>32.173499999999997</v>
      </c>
      <c r="F931" s="4">
        <f>CHOOSE( CONTROL!$C$32, 32.8533, 32.853) * CHOOSE(CONTROL!$C$15, $D$11, 100%, $F$11)</f>
        <v>32.853299999999997</v>
      </c>
      <c r="G931" s="8">
        <f>CHOOSE( CONTROL!$C$32, 31.8015, 31.8012) * CHOOSE( CONTROL!$C$15, $D$11, 100%, $F$11)</f>
        <v>31.801500000000001</v>
      </c>
      <c r="H931" s="4">
        <f>CHOOSE( CONTROL!$C$32, 32.7152, 32.7149) * CHOOSE(CONTROL!$C$15, $D$11, 100%, $F$11)</f>
        <v>32.715200000000003</v>
      </c>
      <c r="I931" s="8">
        <f>CHOOSE( CONTROL!$C$32, 31.3242, 31.3239) * CHOOSE(CONTROL!$C$15, $D$11, 100%, $F$11)</f>
        <v>31.324200000000001</v>
      </c>
      <c r="J931" s="4">
        <f>CHOOSE( CONTROL!$C$32, 31.2297, 31.2294) * CHOOSE(CONTROL!$C$15, $D$11, 100%, $F$11)</f>
        <v>31.229700000000001</v>
      </c>
      <c r="K931" s="4"/>
      <c r="L931" s="9">
        <v>29.306000000000001</v>
      </c>
      <c r="M931" s="9">
        <v>12.063700000000001</v>
      </c>
      <c r="N931" s="9">
        <v>4.9444999999999997</v>
      </c>
      <c r="O931" s="9">
        <v>0.37409999999999999</v>
      </c>
      <c r="P931" s="9">
        <v>1.2927</v>
      </c>
      <c r="Q931" s="9">
        <v>19.688099999999999</v>
      </c>
      <c r="R931" s="9"/>
      <c r="S931" s="11"/>
    </row>
    <row r="932" spans="1:19" ht="15.75">
      <c r="A932" s="13">
        <v>69518</v>
      </c>
      <c r="B932" s="8">
        <f>CHOOSE( CONTROL!$C$32, 32.6779, 32.6776) * CHOOSE(CONTROL!$C$15, $D$11, 100%, $F$11)</f>
        <v>32.677900000000001</v>
      </c>
      <c r="C932" s="8">
        <f>CHOOSE( CONTROL!$C$32, 32.6824, 32.6821) * CHOOSE(CONTROL!$C$15, $D$11, 100%, $F$11)</f>
        <v>32.682400000000001</v>
      </c>
      <c r="D932" s="8">
        <f>CHOOSE( CONTROL!$C$32, 32.6819, 32.6816) * CHOOSE( CONTROL!$C$15, $D$11, 100%, $F$11)</f>
        <v>32.681899999999999</v>
      </c>
      <c r="E932" s="12">
        <f>CHOOSE( CONTROL!$C$32, 32.6816, 32.6813) * CHOOSE( CONTROL!$C$15, $D$11, 100%, $F$11)</f>
        <v>32.681600000000003</v>
      </c>
      <c r="F932" s="4">
        <f>CHOOSE( CONTROL!$C$32, 33.3862, 33.3859) * CHOOSE(CONTROL!$C$15, $D$11, 100%, $F$11)</f>
        <v>33.386200000000002</v>
      </c>
      <c r="G932" s="8">
        <f>CHOOSE( CONTROL!$C$32, 32.3019, 32.3016) * CHOOSE( CONTROL!$C$15, $D$11, 100%, $F$11)</f>
        <v>32.301900000000003</v>
      </c>
      <c r="H932" s="4">
        <f>CHOOSE( CONTROL!$C$32, 33.2418, 33.2416) * CHOOSE(CONTROL!$C$15, $D$11, 100%, $F$11)</f>
        <v>33.241799999999998</v>
      </c>
      <c r="I932" s="8">
        <f>CHOOSE( CONTROL!$C$32, 31.7996, 31.7993) * CHOOSE(CONTROL!$C$15, $D$11, 100%, $F$11)</f>
        <v>31.799600000000002</v>
      </c>
      <c r="J932" s="4">
        <f>CHOOSE( CONTROL!$C$32, 31.7044, 31.7041) * CHOOSE(CONTROL!$C$15, $D$11, 100%, $F$11)</f>
        <v>31.7044</v>
      </c>
      <c r="K932" s="4"/>
      <c r="L932" s="9">
        <v>30.092199999999998</v>
      </c>
      <c r="M932" s="9">
        <v>11.6745</v>
      </c>
      <c r="N932" s="9">
        <v>4.7850000000000001</v>
      </c>
      <c r="O932" s="9">
        <v>0.36199999999999999</v>
      </c>
      <c r="P932" s="9">
        <v>1.2509999999999999</v>
      </c>
      <c r="Q932" s="9">
        <v>19.053000000000001</v>
      </c>
      <c r="R932" s="9"/>
      <c r="S932" s="11"/>
    </row>
    <row r="933" spans="1:19" ht="15.75">
      <c r="A933" s="13">
        <v>69549</v>
      </c>
      <c r="B933" s="8">
        <f>CHOOSE( CONTROL!$C$32, 33.5499, 33.5494) * CHOOSE(CONTROL!$C$15, $D$11, 100%, $F$11)</f>
        <v>33.549900000000001</v>
      </c>
      <c r="C933" s="8">
        <f>CHOOSE( CONTROL!$C$32, 33.5578, 33.5574) * CHOOSE(CONTROL!$C$15, $D$11, 100%, $F$11)</f>
        <v>33.5578</v>
      </c>
      <c r="D933" s="8">
        <f>CHOOSE( CONTROL!$C$32, 33.5521, 33.5517) * CHOOSE( CONTROL!$C$15, $D$11, 100%, $F$11)</f>
        <v>33.552100000000003</v>
      </c>
      <c r="E933" s="12">
        <f>CHOOSE( CONTROL!$C$32, 33.553, 33.5525) * CHOOSE( CONTROL!$C$15, $D$11, 100%, $F$11)</f>
        <v>33.552999999999997</v>
      </c>
      <c r="F933" s="4">
        <f>CHOOSE( CONTROL!$C$32, 34.2568, 34.2563) * CHOOSE(CONTROL!$C$15, $D$11, 100%, $F$11)</f>
        <v>34.256799999999998</v>
      </c>
      <c r="G933" s="8">
        <f>CHOOSE( CONTROL!$C$32, 33.1627, 33.1622) * CHOOSE( CONTROL!$C$15, $D$11, 100%, $F$11)</f>
        <v>33.162700000000001</v>
      </c>
      <c r="H933" s="4">
        <f>CHOOSE( CONTROL!$C$32, 34.1023, 34.1018) * CHOOSE(CONTROL!$C$15, $D$11, 100%, $F$11)</f>
        <v>34.1023</v>
      </c>
      <c r="I933" s="8">
        <f>CHOOSE( CONTROL!$C$32, 32.6455, 32.6451) * CHOOSE(CONTROL!$C$15, $D$11, 100%, $F$11)</f>
        <v>32.645499999999998</v>
      </c>
      <c r="J933" s="4">
        <f>CHOOSE( CONTROL!$C$32, 32.5493, 32.5489) * CHOOSE(CONTROL!$C$15, $D$11, 100%, $F$11)</f>
        <v>32.549300000000002</v>
      </c>
      <c r="K933" s="4"/>
      <c r="L933" s="9">
        <v>30.7165</v>
      </c>
      <c r="M933" s="9">
        <v>12.063700000000001</v>
      </c>
      <c r="N933" s="9">
        <v>4.9444999999999997</v>
      </c>
      <c r="O933" s="9">
        <v>0.37409999999999999</v>
      </c>
      <c r="P933" s="9">
        <v>1.2927</v>
      </c>
      <c r="Q933" s="9">
        <v>19.688099999999999</v>
      </c>
      <c r="R933" s="9"/>
      <c r="S933" s="11"/>
    </row>
    <row r="934" spans="1:19" ht="15.75">
      <c r="A934" s="13">
        <v>69579</v>
      </c>
      <c r="B934" s="8">
        <f>CHOOSE( CONTROL!$C$32, 33.0106, 33.0102) * CHOOSE(CONTROL!$C$15, $D$11, 100%, $F$11)</f>
        <v>33.010599999999997</v>
      </c>
      <c r="C934" s="8">
        <f>CHOOSE( CONTROL!$C$32, 33.0186, 33.0182) * CHOOSE(CONTROL!$C$15, $D$11, 100%, $F$11)</f>
        <v>33.018599999999999</v>
      </c>
      <c r="D934" s="8">
        <f>CHOOSE( CONTROL!$C$32, 33.0133, 33.0129) * CHOOSE( CONTROL!$C$15, $D$11, 100%, $F$11)</f>
        <v>33.013300000000001</v>
      </c>
      <c r="E934" s="12">
        <f>CHOOSE( CONTROL!$C$32, 33.014, 33.0136) * CHOOSE( CONTROL!$C$15, $D$11, 100%, $F$11)</f>
        <v>33.014000000000003</v>
      </c>
      <c r="F934" s="4">
        <f>CHOOSE( CONTROL!$C$32, 33.7176, 33.7171) * CHOOSE(CONTROL!$C$15, $D$11, 100%, $F$11)</f>
        <v>33.717599999999997</v>
      </c>
      <c r="G934" s="8">
        <f>CHOOSE( CONTROL!$C$32, 32.6301, 32.6296) * CHOOSE( CONTROL!$C$15, $D$11, 100%, $F$11)</f>
        <v>32.630099999999999</v>
      </c>
      <c r="H934" s="4">
        <f>CHOOSE( CONTROL!$C$32, 33.5694, 33.5689) * CHOOSE(CONTROL!$C$15, $D$11, 100%, $F$11)</f>
        <v>33.569400000000002</v>
      </c>
      <c r="I934" s="8">
        <f>CHOOSE( CONTROL!$C$32, 32.1234, 32.1229) * CHOOSE(CONTROL!$C$15, $D$11, 100%, $F$11)</f>
        <v>32.123399999999997</v>
      </c>
      <c r="J934" s="4">
        <f>CHOOSE( CONTROL!$C$32, 32.026, 32.0256) * CHOOSE(CONTROL!$C$15, $D$11, 100%, $F$11)</f>
        <v>32.026000000000003</v>
      </c>
      <c r="K934" s="4"/>
      <c r="L934" s="9">
        <v>29.7257</v>
      </c>
      <c r="M934" s="9">
        <v>11.6745</v>
      </c>
      <c r="N934" s="9">
        <v>4.7850000000000001</v>
      </c>
      <c r="O934" s="9">
        <v>0.36199999999999999</v>
      </c>
      <c r="P934" s="9">
        <v>1.2509999999999999</v>
      </c>
      <c r="Q934" s="9">
        <v>19.053000000000001</v>
      </c>
      <c r="R934" s="9"/>
      <c r="S934" s="11"/>
    </row>
    <row r="935" spans="1:19" ht="15.75">
      <c r="A935" s="13">
        <v>69610</v>
      </c>
      <c r="B935" s="8">
        <f>CHOOSE( CONTROL!$C$32, 34.4306, 34.4301) * CHOOSE(CONTROL!$C$15, $D$11, 100%, $F$11)</f>
        <v>34.430599999999998</v>
      </c>
      <c r="C935" s="8">
        <f>CHOOSE( CONTROL!$C$32, 34.4386, 34.4381) * CHOOSE(CONTROL!$C$15, $D$11, 100%, $F$11)</f>
        <v>34.438600000000001</v>
      </c>
      <c r="D935" s="8">
        <f>CHOOSE( CONTROL!$C$32, 34.4337, 34.4333) * CHOOSE( CONTROL!$C$15, $D$11, 100%, $F$11)</f>
        <v>34.433700000000002</v>
      </c>
      <c r="E935" s="12">
        <f>CHOOSE( CONTROL!$C$32, 34.4343, 34.4338) * CHOOSE( CONTROL!$C$15, $D$11, 100%, $F$11)</f>
        <v>34.4343</v>
      </c>
      <c r="F935" s="4">
        <f>CHOOSE( CONTROL!$C$32, 35.1375, 35.1371) * CHOOSE(CONTROL!$C$15, $D$11, 100%, $F$11)</f>
        <v>35.137500000000003</v>
      </c>
      <c r="G935" s="8">
        <f>CHOOSE( CONTROL!$C$32, 34.0338, 34.0333) * CHOOSE( CONTROL!$C$15, $D$11, 100%, $F$11)</f>
        <v>34.033799999999999</v>
      </c>
      <c r="H935" s="4">
        <f>CHOOSE( CONTROL!$C$32, 34.9727, 34.9722) * CHOOSE(CONTROL!$C$15, $D$11, 100%, $F$11)</f>
        <v>34.972700000000003</v>
      </c>
      <c r="I935" s="8">
        <f>CHOOSE( CONTROL!$C$32, 33.5037, 33.5032) * CHOOSE(CONTROL!$C$15, $D$11, 100%, $F$11)</f>
        <v>33.503700000000002</v>
      </c>
      <c r="J935" s="4">
        <f>CHOOSE( CONTROL!$C$32, 33.4041, 33.4036) * CHOOSE(CONTROL!$C$15, $D$11, 100%, $F$11)</f>
        <v>33.4041</v>
      </c>
      <c r="K935" s="4"/>
      <c r="L935" s="9">
        <v>30.7165</v>
      </c>
      <c r="M935" s="9">
        <v>12.063700000000001</v>
      </c>
      <c r="N935" s="9">
        <v>4.9444999999999997</v>
      </c>
      <c r="O935" s="9">
        <v>0.37409999999999999</v>
      </c>
      <c r="P935" s="9">
        <v>1.2927</v>
      </c>
      <c r="Q935" s="9">
        <v>19.688099999999999</v>
      </c>
      <c r="R935" s="9"/>
      <c r="S935" s="11"/>
    </row>
    <row r="936" spans="1:19" ht="15.75">
      <c r="A936" s="13">
        <v>69641</v>
      </c>
      <c r="B936" s="8">
        <f>CHOOSE( CONTROL!$C$32, 31.7737, 31.7732) * CHOOSE(CONTROL!$C$15, $D$11, 100%, $F$11)</f>
        <v>31.773700000000002</v>
      </c>
      <c r="C936" s="8">
        <f>CHOOSE( CONTROL!$C$32, 31.7817, 31.7812) * CHOOSE(CONTROL!$C$15, $D$11, 100%, $F$11)</f>
        <v>31.781700000000001</v>
      </c>
      <c r="D936" s="8">
        <f>CHOOSE( CONTROL!$C$32, 31.777, 31.7765) * CHOOSE( CONTROL!$C$15, $D$11, 100%, $F$11)</f>
        <v>31.777000000000001</v>
      </c>
      <c r="E936" s="12">
        <f>CHOOSE( CONTROL!$C$32, 31.7775, 31.777) * CHOOSE( CONTROL!$C$15, $D$11, 100%, $F$11)</f>
        <v>31.7775</v>
      </c>
      <c r="F936" s="4">
        <f>CHOOSE( CONTROL!$C$32, 32.4806, 32.4802) * CHOOSE(CONTROL!$C$15, $D$11, 100%, $F$11)</f>
        <v>32.480600000000003</v>
      </c>
      <c r="G936" s="8">
        <f>CHOOSE( CONTROL!$C$32, 31.4081, 31.4076) * CHOOSE( CONTROL!$C$15, $D$11, 100%, $F$11)</f>
        <v>31.408100000000001</v>
      </c>
      <c r="H936" s="4">
        <f>CHOOSE( CONTROL!$C$32, 32.3469, 32.3465) * CHOOSE(CONTROL!$C$15, $D$11, 100%, $F$11)</f>
        <v>32.346899999999998</v>
      </c>
      <c r="I936" s="8">
        <f>CHOOSE( CONTROL!$C$32, 30.9243, 30.9239) * CHOOSE(CONTROL!$C$15, $D$11, 100%, $F$11)</f>
        <v>30.924299999999999</v>
      </c>
      <c r="J936" s="4">
        <f>CHOOSE( CONTROL!$C$32, 30.8256, 30.8251) * CHOOSE(CONTROL!$C$15, $D$11, 100%, $F$11)</f>
        <v>30.825600000000001</v>
      </c>
      <c r="K936" s="4"/>
      <c r="L936" s="9">
        <v>30.7165</v>
      </c>
      <c r="M936" s="9">
        <v>12.063700000000001</v>
      </c>
      <c r="N936" s="9">
        <v>4.9444999999999997</v>
      </c>
      <c r="O936" s="9">
        <v>0.37409999999999999</v>
      </c>
      <c r="P936" s="9">
        <v>1.2927</v>
      </c>
      <c r="Q936" s="9">
        <v>19.688099999999999</v>
      </c>
      <c r="R936" s="9"/>
      <c r="S936" s="11"/>
    </row>
    <row r="937" spans="1:19" ht="15.75">
      <c r="A937" s="13">
        <v>69671</v>
      </c>
      <c r="B937" s="8">
        <f>CHOOSE( CONTROL!$C$32, 31.1084, 31.1079) * CHOOSE(CONTROL!$C$15, $D$11, 100%, $F$11)</f>
        <v>31.1084</v>
      </c>
      <c r="C937" s="8">
        <f>CHOOSE( CONTROL!$C$32, 31.1164, 31.1159) * CHOOSE(CONTROL!$C$15, $D$11, 100%, $F$11)</f>
        <v>31.116399999999999</v>
      </c>
      <c r="D937" s="8">
        <f>CHOOSE( CONTROL!$C$32, 31.1115, 31.111) * CHOOSE( CONTROL!$C$15, $D$11, 100%, $F$11)</f>
        <v>31.111499999999999</v>
      </c>
      <c r="E937" s="12">
        <f>CHOOSE( CONTROL!$C$32, 31.1121, 31.1116) * CHOOSE( CONTROL!$C$15, $D$11, 100%, $F$11)</f>
        <v>31.112100000000002</v>
      </c>
      <c r="F937" s="4">
        <f>CHOOSE( CONTROL!$C$32, 31.8153, 31.8149) * CHOOSE(CONTROL!$C$15, $D$11, 100%, $F$11)</f>
        <v>31.815300000000001</v>
      </c>
      <c r="G937" s="8">
        <f>CHOOSE( CONTROL!$C$32, 30.7504, 30.75) * CHOOSE( CONTROL!$C$15, $D$11, 100%, $F$11)</f>
        <v>30.750399999999999</v>
      </c>
      <c r="H937" s="4">
        <f>CHOOSE( CONTROL!$C$32, 31.6894, 31.6889) * CHOOSE(CONTROL!$C$15, $D$11, 100%, $F$11)</f>
        <v>31.689399999999999</v>
      </c>
      <c r="I937" s="8">
        <f>CHOOSE( CONTROL!$C$32, 30.2778, 30.2774) * CHOOSE(CONTROL!$C$15, $D$11, 100%, $F$11)</f>
        <v>30.277799999999999</v>
      </c>
      <c r="J937" s="4">
        <f>CHOOSE( CONTROL!$C$32, 30.1799, 30.1794) * CHOOSE(CONTROL!$C$15, $D$11, 100%, $F$11)</f>
        <v>30.1799</v>
      </c>
      <c r="K937" s="4"/>
      <c r="L937" s="9">
        <v>29.7257</v>
      </c>
      <c r="M937" s="9">
        <v>11.6745</v>
      </c>
      <c r="N937" s="9">
        <v>4.7850000000000001</v>
      </c>
      <c r="O937" s="9">
        <v>0.36199999999999999</v>
      </c>
      <c r="P937" s="9">
        <v>1.2509999999999999</v>
      </c>
      <c r="Q937" s="9">
        <v>19.053000000000001</v>
      </c>
      <c r="R937" s="9"/>
      <c r="S937" s="11"/>
    </row>
    <row r="938" spans="1:19" ht="15.75">
      <c r="A938" s="13">
        <v>69702</v>
      </c>
      <c r="B938" s="8">
        <f>CHOOSE( CONTROL!$C$32, 32.4879, 32.4876) * CHOOSE(CONTROL!$C$15, $D$11, 100%, $F$11)</f>
        <v>32.487900000000003</v>
      </c>
      <c r="C938" s="8">
        <f>CHOOSE( CONTROL!$C$32, 32.4932, 32.493) * CHOOSE(CONTROL!$C$15, $D$11, 100%, $F$11)</f>
        <v>32.493200000000002</v>
      </c>
      <c r="D938" s="8">
        <f>CHOOSE( CONTROL!$C$32, 32.4934, 32.4932) * CHOOSE( CONTROL!$C$15, $D$11, 100%, $F$11)</f>
        <v>32.493400000000001</v>
      </c>
      <c r="E938" s="12">
        <f>CHOOSE( CONTROL!$C$32, 32.4928, 32.4926) * CHOOSE( CONTROL!$C$15, $D$11, 100%, $F$11)</f>
        <v>32.492800000000003</v>
      </c>
      <c r="F938" s="4">
        <f>CHOOSE( CONTROL!$C$32, 33.1966, 33.1963) * CHOOSE(CONTROL!$C$15, $D$11, 100%, $F$11)</f>
        <v>33.196599999999997</v>
      </c>
      <c r="G938" s="8">
        <f>CHOOSE( CONTROL!$C$32, 32.1155, 32.1152) * CHOOSE( CONTROL!$C$15, $D$11, 100%, $F$11)</f>
        <v>32.115499999999997</v>
      </c>
      <c r="H938" s="4">
        <f>CHOOSE( CONTROL!$C$32, 33.0545, 33.0542) * CHOOSE(CONTROL!$C$15, $D$11, 100%, $F$11)</f>
        <v>33.054499999999997</v>
      </c>
      <c r="I938" s="8">
        <f>CHOOSE( CONTROL!$C$32, 31.6197, 31.6194) * CHOOSE(CONTROL!$C$15, $D$11, 100%, $F$11)</f>
        <v>31.619700000000002</v>
      </c>
      <c r="J938" s="4">
        <f>CHOOSE( CONTROL!$C$32, 31.5204, 31.5201) * CHOOSE(CONTROL!$C$15, $D$11, 100%, $F$11)</f>
        <v>31.520399999999999</v>
      </c>
      <c r="K938" s="4"/>
      <c r="L938" s="9">
        <v>31.095300000000002</v>
      </c>
      <c r="M938" s="9">
        <v>12.063700000000001</v>
      </c>
      <c r="N938" s="9">
        <v>4.9444999999999997</v>
      </c>
      <c r="O938" s="9">
        <v>0.37409999999999999</v>
      </c>
      <c r="P938" s="9">
        <v>1.2927</v>
      </c>
      <c r="Q938" s="9">
        <v>19.688099999999999</v>
      </c>
      <c r="R938" s="9"/>
      <c r="S938" s="11"/>
    </row>
    <row r="939" spans="1:19" ht="15.75">
      <c r="A939" s="13">
        <v>69732</v>
      </c>
      <c r="B939" s="8">
        <f>CHOOSE( CONTROL!$C$32, 35.0373, 35.0371) * CHOOSE(CONTROL!$C$15, $D$11, 100%, $F$11)</f>
        <v>35.037300000000002</v>
      </c>
      <c r="C939" s="8">
        <f>CHOOSE( CONTROL!$C$32, 35.0424, 35.0421) * CHOOSE(CONTROL!$C$15, $D$11, 100%, $F$11)</f>
        <v>35.042400000000001</v>
      </c>
      <c r="D939" s="8">
        <f>CHOOSE( CONTROL!$C$32, 35.0103, 35.01) * CHOOSE( CONTROL!$C$15, $D$11, 100%, $F$11)</f>
        <v>35.010300000000001</v>
      </c>
      <c r="E939" s="12">
        <f>CHOOSE( CONTROL!$C$32, 35.0215, 35.0212) * CHOOSE( CONTROL!$C$15, $D$11, 100%, $F$11)</f>
        <v>35.021500000000003</v>
      </c>
      <c r="F939" s="4">
        <f>CHOOSE( CONTROL!$C$32, 35.7026, 35.7023) * CHOOSE(CONTROL!$C$15, $D$11, 100%, $F$11)</f>
        <v>35.702599999999997</v>
      </c>
      <c r="G939" s="8">
        <f>CHOOSE( CONTROL!$C$32, 34.6244, 34.6241) * CHOOSE( CONTROL!$C$15, $D$11, 100%, $F$11)</f>
        <v>34.624400000000001</v>
      </c>
      <c r="H939" s="4">
        <f>CHOOSE( CONTROL!$C$32, 35.5312, 35.5309) * CHOOSE(CONTROL!$C$15, $D$11, 100%, $F$11)</f>
        <v>35.531199999999998</v>
      </c>
      <c r="I939" s="8">
        <f>CHOOSE( CONTROL!$C$32, 34.1464, 34.1461) * CHOOSE(CONTROL!$C$15, $D$11, 100%, $F$11)</f>
        <v>34.1464</v>
      </c>
      <c r="J939" s="4">
        <f>CHOOSE( CONTROL!$C$32, 33.995, 33.9947) * CHOOSE(CONTROL!$C$15, $D$11, 100%, $F$11)</f>
        <v>33.994999999999997</v>
      </c>
      <c r="K939" s="4"/>
      <c r="L939" s="9">
        <v>28.360600000000002</v>
      </c>
      <c r="M939" s="9">
        <v>11.6745</v>
      </c>
      <c r="N939" s="9">
        <v>4.7850000000000001</v>
      </c>
      <c r="O939" s="9">
        <v>0.36199999999999999</v>
      </c>
      <c r="P939" s="9">
        <v>1.2509999999999999</v>
      </c>
      <c r="Q939" s="9">
        <v>19.053000000000001</v>
      </c>
      <c r="R939" s="9"/>
      <c r="S939" s="11"/>
    </row>
    <row r="940" spans="1:19" ht="15.75">
      <c r="A940" s="13">
        <v>69763</v>
      </c>
      <c r="B940" s="8">
        <f>CHOOSE( CONTROL!$C$32, 34.9736, 34.9734) * CHOOSE(CONTROL!$C$15, $D$11, 100%, $F$11)</f>
        <v>34.973599999999998</v>
      </c>
      <c r="C940" s="8">
        <f>CHOOSE( CONTROL!$C$32, 34.9787, 34.9784) * CHOOSE(CONTROL!$C$15, $D$11, 100%, $F$11)</f>
        <v>34.978700000000003</v>
      </c>
      <c r="D940" s="8">
        <f>CHOOSE( CONTROL!$C$32, 34.9484, 34.9481) * CHOOSE( CONTROL!$C$15, $D$11, 100%, $F$11)</f>
        <v>34.948399999999999</v>
      </c>
      <c r="E940" s="12">
        <f>CHOOSE( CONTROL!$C$32, 34.9589, 34.9586) * CHOOSE( CONTROL!$C$15, $D$11, 100%, $F$11)</f>
        <v>34.9589</v>
      </c>
      <c r="F940" s="4">
        <f>CHOOSE( CONTROL!$C$32, 35.6389, 35.6386) * CHOOSE(CONTROL!$C$15, $D$11, 100%, $F$11)</f>
        <v>35.6389</v>
      </c>
      <c r="G940" s="8">
        <f>CHOOSE( CONTROL!$C$32, 34.5627, 34.5625) * CHOOSE( CONTROL!$C$15, $D$11, 100%, $F$11)</f>
        <v>34.5627</v>
      </c>
      <c r="H940" s="4">
        <f>CHOOSE( CONTROL!$C$32, 35.4682, 35.4679) * CHOOSE(CONTROL!$C$15, $D$11, 100%, $F$11)</f>
        <v>35.468200000000003</v>
      </c>
      <c r="I940" s="8">
        <f>CHOOSE( CONTROL!$C$32, 34.0902, 34.0899) * CHOOSE(CONTROL!$C$15, $D$11, 100%, $F$11)</f>
        <v>34.090200000000003</v>
      </c>
      <c r="J940" s="4">
        <f>CHOOSE( CONTROL!$C$32, 33.9332, 33.9329) * CHOOSE(CONTROL!$C$15, $D$11, 100%, $F$11)</f>
        <v>33.933199999999999</v>
      </c>
      <c r="K940" s="4"/>
      <c r="L940" s="9">
        <v>29.306000000000001</v>
      </c>
      <c r="M940" s="9">
        <v>12.063700000000001</v>
      </c>
      <c r="N940" s="9">
        <v>4.9444999999999997</v>
      </c>
      <c r="O940" s="9">
        <v>0.37409999999999999</v>
      </c>
      <c r="P940" s="9">
        <v>1.2927</v>
      </c>
      <c r="Q940" s="9">
        <v>19.688099999999999</v>
      </c>
      <c r="R940" s="9"/>
      <c r="S940" s="11"/>
    </row>
    <row r="941" spans="1:19" ht="15.75">
      <c r="A941" s="13">
        <v>69794</v>
      </c>
      <c r="B941" s="8">
        <f>CHOOSE( CONTROL!$C$32, 36.005, 36.0047) * CHOOSE(CONTROL!$C$15, $D$11, 100%, $F$11)</f>
        <v>36.005000000000003</v>
      </c>
      <c r="C941" s="8">
        <f>CHOOSE( CONTROL!$C$32, 36.01, 36.0098) * CHOOSE(CONTROL!$C$15, $D$11, 100%, $F$11)</f>
        <v>36.01</v>
      </c>
      <c r="D941" s="8">
        <f>CHOOSE( CONTROL!$C$32, 36.0077, 36.0074) * CHOOSE( CONTROL!$C$15, $D$11, 100%, $F$11)</f>
        <v>36.0077</v>
      </c>
      <c r="E941" s="12">
        <f>CHOOSE( CONTROL!$C$32, 36.008, 36.0077) * CHOOSE( CONTROL!$C$15, $D$11, 100%, $F$11)</f>
        <v>36.008000000000003</v>
      </c>
      <c r="F941" s="4">
        <f>CHOOSE( CONTROL!$C$32, 36.6702, 36.67) * CHOOSE(CONTROL!$C$15, $D$11, 100%, $F$11)</f>
        <v>36.670200000000001</v>
      </c>
      <c r="G941" s="8">
        <f>CHOOSE( CONTROL!$C$32, 35.5981, 35.5979) * CHOOSE( CONTROL!$C$15, $D$11, 100%, $F$11)</f>
        <v>35.598100000000002</v>
      </c>
      <c r="H941" s="4">
        <f>CHOOSE( CONTROL!$C$32, 36.4875, 36.4872) * CHOOSE(CONTROL!$C$15, $D$11, 100%, $F$11)</f>
        <v>36.487499999999997</v>
      </c>
      <c r="I941" s="8">
        <f>CHOOSE( CONTROL!$C$32, 35.0651, 35.0649) * CHOOSE(CONTROL!$C$15, $D$11, 100%, $F$11)</f>
        <v>35.065100000000001</v>
      </c>
      <c r="J941" s="4">
        <f>CHOOSE( CONTROL!$C$32, 34.9341, 34.9338) * CHOOSE(CONTROL!$C$15, $D$11, 100%, $F$11)</f>
        <v>34.934100000000001</v>
      </c>
      <c r="K941" s="4"/>
      <c r="L941" s="9">
        <v>29.306000000000001</v>
      </c>
      <c r="M941" s="9">
        <v>12.063700000000001</v>
      </c>
      <c r="N941" s="9">
        <v>4.9444999999999997</v>
      </c>
      <c r="O941" s="9">
        <v>0.37409999999999999</v>
      </c>
      <c r="P941" s="9">
        <v>1.2927</v>
      </c>
      <c r="Q941" s="9">
        <v>19.688099999999999</v>
      </c>
      <c r="R941" s="9"/>
      <c r="S941" s="11"/>
    </row>
    <row r="942" spans="1:19" ht="15.75">
      <c r="A942" s="13">
        <v>69822</v>
      </c>
      <c r="B942" s="8">
        <f>CHOOSE( CONTROL!$C$32, 33.6779, 33.6776) * CHOOSE(CONTROL!$C$15, $D$11, 100%, $F$11)</f>
        <v>33.677900000000001</v>
      </c>
      <c r="C942" s="8">
        <f>CHOOSE( CONTROL!$C$32, 33.683, 33.6827) * CHOOSE(CONTROL!$C$15, $D$11, 100%, $F$11)</f>
        <v>33.683</v>
      </c>
      <c r="D942" s="8">
        <f>CHOOSE( CONTROL!$C$32, 33.6629, 33.6627) * CHOOSE( CONTROL!$C$15, $D$11, 100%, $F$11)</f>
        <v>33.6629</v>
      </c>
      <c r="E942" s="12">
        <f>CHOOSE( CONTROL!$C$32, 33.6697, 33.6695) * CHOOSE( CONTROL!$C$15, $D$11, 100%, $F$11)</f>
        <v>33.669699999999999</v>
      </c>
      <c r="F942" s="4">
        <f>CHOOSE( CONTROL!$C$32, 34.3432, 34.3429) * CHOOSE(CONTROL!$C$15, $D$11, 100%, $F$11)</f>
        <v>34.343200000000003</v>
      </c>
      <c r="G942" s="8">
        <f>CHOOSE( CONTROL!$C$32, 33.2872, 33.2869) * CHOOSE( CONTROL!$C$15, $D$11, 100%, $F$11)</f>
        <v>33.287199999999999</v>
      </c>
      <c r="H942" s="4">
        <f>CHOOSE( CONTROL!$C$32, 34.1876, 34.1874) * CHOOSE(CONTROL!$C$15, $D$11, 100%, $F$11)</f>
        <v>34.187600000000003</v>
      </c>
      <c r="I942" s="8">
        <f>CHOOSE( CONTROL!$C$32, 32.806, 32.8058) * CHOOSE(CONTROL!$C$15, $D$11, 100%, $F$11)</f>
        <v>32.805999999999997</v>
      </c>
      <c r="J942" s="4">
        <f>CHOOSE( CONTROL!$C$32, 32.6757, 32.6754) * CHOOSE(CONTROL!$C$15, $D$11, 100%, $F$11)</f>
        <v>32.675699999999999</v>
      </c>
      <c r="K942" s="4"/>
      <c r="L942" s="9">
        <v>26.469899999999999</v>
      </c>
      <c r="M942" s="9">
        <v>10.8962</v>
      </c>
      <c r="N942" s="9">
        <v>4.4660000000000002</v>
      </c>
      <c r="O942" s="9">
        <v>0.33789999999999998</v>
      </c>
      <c r="P942" s="9">
        <v>1.1676</v>
      </c>
      <c r="Q942" s="9">
        <v>17.782800000000002</v>
      </c>
      <c r="R942" s="9"/>
      <c r="S942" s="11"/>
    </row>
    <row r="943" spans="1:19" ht="15.75">
      <c r="A943" s="13">
        <v>69853</v>
      </c>
      <c r="B943" s="8">
        <f>CHOOSE( CONTROL!$C$32, 32.9612, 32.9609) * CHOOSE(CONTROL!$C$15, $D$11, 100%, $F$11)</f>
        <v>32.961199999999998</v>
      </c>
      <c r="C943" s="8">
        <f>CHOOSE( CONTROL!$C$32, 32.9663, 32.966) * CHOOSE(CONTROL!$C$15, $D$11, 100%, $F$11)</f>
        <v>32.966299999999997</v>
      </c>
      <c r="D943" s="8">
        <f>CHOOSE( CONTROL!$C$32, 32.9363, 32.936) * CHOOSE( CONTROL!$C$15, $D$11, 100%, $F$11)</f>
        <v>32.936300000000003</v>
      </c>
      <c r="E943" s="12">
        <f>CHOOSE( CONTROL!$C$32, 32.9467, 32.9464) * CHOOSE( CONTROL!$C$15, $D$11, 100%, $F$11)</f>
        <v>32.9467</v>
      </c>
      <c r="F943" s="4">
        <f>CHOOSE( CONTROL!$C$32, 33.6265, 33.6262) * CHOOSE(CONTROL!$C$15, $D$11, 100%, $F$11)</f>
        <v>33.6265</v>
      </c>
      <c r="G943" s="8">
        <f>CHOOSE( CONTROL!$C$32, 32.5656, 32.5654) * CHOOSE( CONTROL!$C$15, $D$11, 100%, $F$11)</f>
        <v>32.565600000000003</v>
      </c>
      <c r="H943" s="4">
        <f>CHOOSE( CONTROL!$C$32, 33.4793, 33.479) * CHOOSE(CONTROL!$C$15, $D$11, 100%, $F$11)</f>
        <v>33.479300000000002</v>
      </c>
      <c r="I943" s="8">
        <f>CHOOSE( CONTROL!$C$32, 32.0749, 32.0746) * CHOOSE(CONTROL!$C$15, $D$11, 100%, $F$11)</f>
        <v>32.0749</v>
      </c>
      <c r="J943" s="4">
        <f>CHOOSE( CONTROL!$C$32, 31.9801, 31.9798) * CHOOSE(CONTROL!$C$15, $D$11, 100%, $F$11)</f>
        <v>31.9801</v>
      </c>
      <c r="K943" s="4"/>
      <c r="L943" s="9">
        <v>29.306000000000001</v>
      </c>
      <c r="M943" s="9">
        <v>12.063700000000001</v>
      </c>
      <c r="N943" s="9">
        <v>4.9444999999999997</v>
      </c>
      <c r="O943" s="9">
        <v>0.37409999999999999</v>
      </c>
      <c r="P943" s="9">
        <v>1.2927</v>
      </c>
      <c r="Q943" s="9">
        <v>19.688099999999999</v>
      </c>
      <c r="R943" s="9"/>
      <c r="S943" s="11"/>
    </row>
    <row r="944" spans="1:19" ht="15.75">
      <c r="A944" s="13">
        <v>69883</v>
      </c>
      <c r="B944" s="8">
        <f>CHOOSE( CONTROL!$C$32, 33.4628, 33.4625) * CHOOSE(CONTROL!$C$15, $D$11, 100%, $F$11)</f>
        <v>33.462800000000001</v>
      </c>
      <c r="C944" s="8">
        <f>CHOOSE( CONTROL!$C$32, 33.4673, 33.467) * CHOOSE(CONTROL!$C$15, $D$11, 100%, $F$11)</f>
        <v>33.467300000000002</v>
      </c>
      <c r="D944" s="8">
        <f>CHOOSE( CONTROL!$C$32, 33.4668, 33.4665) * CHOOSE( CONTROL!$C$15, $D$11, 100%, $F$11)</f>
        <v>33.466799999999999</v>
      </c>
      <c r="E944" s="12">
        <f>CHOOSE( CONTROL!$C$32, 33.4665, 33.4662) * CHOOSE( CONTROL!$C$15, $D$11, 100%, $F$11)</f>
        <v>33.466500000000003</v>
      </c>
      <c r="F944" s="4">
        <f>CHOOSE( CONTROL!$C$32, 34.1711, 34.1708) * CHOOSE(CONTROL!$C$15, $D$11, 100%, $F$11)</f>
        <v>34.171100000000003</v>
      </c>
      <c r="G944" s="8">
        <f>CHOOSE( CONTROL!$C$32, 33.0776, 33.0773) * CHOOSE( CONTROL!$C$15, $D$11, 100%, $F$11)</f>
        <v>33.077599999999997</v>
      </c>
      <c r="H944" s="4">
        <f>CHOOSE( CONTROL!$C$32, 34.0176, 34.0173) * CHOOSE(CONTROL!$C$15, $D$11, 100%, $F$11)</f>
        <v>34.017600000000002</v>
      </c>
      <c r="I944" s="8">
        <f>CHOOSE( CONTROL!$C$32, 32.5617, 32.5615) * CHOOSE(CONTROL!$C$15, $D$11, 100%, $F$11)</f>
        <v>32.561700000000002</v>
      </c>
      <c r="J944" s="4">
        <f>CHOOSE( CONTROL!$C$32, 32.4661, 32.4659) * CHOOSE(CONTROL!$C$15, $D$11, 100%, $F$11)</f>
        <v>32.466099999999997</v>
      </c>
      <c r="K944" s="4"/>
      <c r="L944" s="9">
        <v>30.092199999999998</v>
      </c>
      <c r="M944" s="9">
        <v>11.6745</v>
      </c>
      <c r="N944" s="9">
        <v>4.7850000000000001</v>
      </c>
      <c r="O944" s="9">
        <v>0.36199999999999999</v>
      </c>
      <c r="P944" s="9">
        <v>1.2509999999999999</v>
      </c>
      <c r="Q944" s="9">
        <v>19.053000000000001</v>
      </c>
      <c r="R944" s="9"/>
      <c r="S944" s="11"/>
    </row>
    <row r="945" spans="1:19" ht="15.75">
      <c r="A945" s="13">
        <v>69914</v>
      </c>
      <c r="B945" s="8">
        <f>CHOOSE( CONTROL!$C$32, 34.3557, 34.3552) * CHOOSE(CONTROL!$C$15, $D$11, 100%, $F$11)</f>
        <v>34.355699999999999</v>
      </c>
      <c r="C945" s="8">
        <f>CHOOSE( CONTROL!$C$32, 34.3637, 34.3632) * CHOOSE(CONTROL!$C$15, $D$11, 100%, $F$11)</f>
        <v>34.363700000000001</v>
      </c>
      <c r="D945" s="8">
        <f>CHOOSE( CONTROL!$C$32, 34.358, 34.3575) * CHOOSE( CONTROL!$C$15, $D$11, 100%, $F$11)</f>
        <v>34.357999999999997</v>
      </c>
      <c r="E945" s="12">
        <f>CHOOSE( CONTROL!$C$32, 34.3588, 34.3583) * CHOOSE( CONTROL!$C$15, $D$11, 100%, $F$11)</f>
        <v>34.358800000000002</v>
      </c>
      <c r="F945" s="4">
        <f>CHOOSE( CONTROL!$C$32, 35.0626, 35.0622) * CHOOSE(CONTROL!$C$15, $D$11, 100%, $F$11)</f>
        <v>35.062600000000003</v>
      </c>
      <c r="G945" s="8">
        <f>CHOOSE( CONTROL!$C$32, 33.9591, 33.9586) * CHOOSE( CONTROL!$C$15, $D$11, 100%, $F$11)</f>
        <v>33.959099999999999</v>
      </c>
      <c r="H945" s="4">
        <f>CHOOSE( CONTROL!$C$32, 34.8987, 34.8982) * CHOOSE(CONTROL!$C$15, $D$11, 100%, $F$11)</f>
        <v>34.898699999999998</v>
      </c>
      <c r="I945" s="8">
        <f>CHOOSE( CONTROL!$C$32, 33.428, 33.4275) * CHOOSE(CONTROL!$C$15, $D$11, 100%, $F$11)</f>
        <v>33.427999999999997</v>
      </c>
      <c r="J945" s="4">
        <f>CHOOSE( CONTROL!$C$32, 33.3314, 33.3309) * CHOOSE(CONTROL!$C$15, $D$11, 100%, $F$11)</f>
        <v>33.331400000000002</v>
      </c>
      <c r="K945" s="4"/>
      <c r="L945" s="9">
        <v>30.7165</v>
      </c>
      <c r="M945" s="9">
        <v>12.063700000000001</v>
      </c>
      <c r="N945" s="9">
        <v>4.9444999999999997</v>
      </c>
      <c r="O945" s="9">
        <v>0.37409999999999999</v>
      </c>
      <c r="P945" s="9">
        <v>1.2927</v>
      </c>
      <c r="Q945" s="9">
        <v>19.688099999999999</v>
      </c>
      <c r="R945" s="9"/>
      <c r="S945" s="11"/>
    </row>
    <row r="946" spans="1:19" ht="15.75">
      <c r="A946" s="13">
        <v>69944</v>
      </c>
      <c r="B946" s="8">
        <f>CHOOSE( CONTROL!$C$32, 33.8035, 33.8031) * CHOOSE(CONTROL!$C$15, $D$11, 100%, $F$11)</f>
        <v>33.8035</v>
      </c>
      <c r="C946" s="8">
        <f>CHOOSE( CONTROL!$C$32, 33.8115, 33.811) * CHOOSE(CONTROL!$C$15, $D$11, 100%, $F$11)</f>
        <v>33.811500000000002</v>
      </c>
      <c r="D946" s="8">
        <f>CHOOSE( CONTROL!$C$32, 33.8062, 33.8057) * CHOOSE( CONTROL!$C$15, $D$11, 100%, $F$11)</f>
        <v>33.806199999999997</v>
      </c>
      <c r="E946" s="12">
        <f>CHOOSE( CONTROL!$C$32, 33.8069, 33.8064) * CHOOSE( CONTROL!$C$15, $D$11, 100%, $F$11)</f>
        <v>33.806899999999999</v>
      </c>
      <c r="F946" s="4">
        <f>CHOOSE( CONTROL!$C$32, 34.5105, 34.51) * CHOOSE(CONTROL!$C$15, $D$11, 100%, $F$11)</f>
        <v>34.5105</v>
      </c>
      <c r="G946" s="8">
        <f>CHOOSE( CONTROL!$C$32, 33.4137, 33.4132) * CHOOSE( CONTROL!$C$15, $D$11, 100%, $F$11)</f>
        <v>33.413699999999999</v>
      </c>
      <c r="H946" s="4">
        <f>CHOOSE( CONTROL!$C$32, 34.353, 34.3525) * CHOOSE(CONTROL!$C$15, $D$11, 100%, $F$11)</f>
        <v>34.353000000000002</v>
      </c>
      <c r="I946" s="8">
        <f>CHOOSE( CONTROL!$C$32, 32.8932, 32.8928) * CHOOSE(CONTROL!$C$15, $D$11, 100%, $F$11)</f>
        <v>32.8932</v>
      </c>
      <c r="J946" s="4">
        <f>CHOOSE( CONTROL!$C$32, 32.7955, 32.7951) * CHOOSE(CONTROL!$C$15, $D$11, 100%, $F$11)</f>
        <v>32.795499999999997</v>
      </c>
      <c r="K946" s="4"/>
      <c r="L946" s="9">
        <v>29.7257</v>
      </c>
      <c r="M946" s="9">
        <v>11.6745</v>
      </c>
      <c r="N946" s="9">
        <v>4.7850000000000001</v>
      </c>
      <c r="O946" s="9">
        <v>0.36199999999999999</v>
      </c>
      <c r="P946" s="9">
        <v>1.2509999999999999</v>
      </c>
      <c r="Q946" s="9">
        <v>19.053000000000001</v>
      </c>
      <c r="R946" s="9"/>
      <c r="S946" s="11"/>
    </row>
    <row r="947" spans="1:19" ht="15.75">
      <c r="A947" s="13">
        <v>69975</v>
      </c>
      <c r="B947" s="8">
        <f>CHOOSE( CONTROL!$C$32, 35.2576, 35.2571) * CHOOSE(CONTROL!$C$15, $D$11, 100%, $F$11)</f>
        <v>35.257599999999996</v>
      </c>
      <c r="C947" s="8">
        <f>CHOOSE( CONTROL!$C$32, 35.2656, 35.2651) * CHOOSE(CONTROL!$C$15, $D$11, 100%, $F$11)</f>
        <v>35.265599999999999</v>
      </c>
      <c r="D947" s="8">
        <f>CHOOSE( CONTROL!$C$32, 35.2607, 35.2603) * CHOOSE( CONTROL!$C$15, $D$11, 100%, $F$11)</f>
        <v>35.2607</v>
      </c>
      <c r="E947" s="12">
        <f>CHOOSE( CONTROL!$C$32, 35.2613, 35.2608) * CHOOSE( CONTROL!$C$15, $D$11, 100%, $F$11)</f>
        <v>35.261299999999999</v>
      </c>
      <c r="F947" s="4">
        <f>CHOOSE( CONTROL!$C$32, 35.9645, 35.9641) * CHOOSE(CONTROL!$C$15, $D$11, 100%, $F$11)</f>
        <v>35.964500000000001</v>
      </c>
      <c r="G947" s="8">
        <f>CHOOSE( CONTROL!$C$32, 34.8511, 34.8506) * CHOOSE( CONTROL!$C$15, $D$11, 100%, $F$11)</f>
        <v>34.851100000000002</v>
      </c>
      <c r="H947" s="4">
        <f>CHOOSE( CONTROL!$C$32, 35.79, 35.7896) * CHOOSE(CONTROL!$C$15, $D$11, 100%, $F$11)</f>
        <v>35.79</v>
      </c>
      <c r="I947" s="8">
        <f>CHOOSE( CONTROL!$C$32, 34.3067, 34.3063) * CHOOSE(CONTROL!$C$15, $D$11, 100%, $F$11)</f>
        <v>34.306699999999999</v>
      </c>
      <c r="J947" s="4">
        <f>CHOOSE( CONTROL!$C$32, 34.2067, 34.2062) * CHOOSE(CONTROL!$C$15, $D$11, 100%, $F$11)</f>
        <v>34.206699999999998</v>
      </c>
      <c r="K947" s="4"/>
      <c r="L947" s="9">
        <v>30.7165</v>
      </c>
      <c r="M947" s="9">
        <v>12.063700000000001</v>
      </c>
      <c r="N947" s="9">
        <v>4.9444999999999997</v>
      </c>
      <c r="O947" s="9">
        <v>0.37409999999999999</v>
      </c>
      <c r="P947" s="9">
        <v>1.2927</v>
      </c>
      <c r="Q947" s="9">
        <v>19.688099999999999</v>
      </c>
      <c r="R947" s="9"/>
      <c r="S947" s="11"/>
    </row>
    <row r="948" spans="1:19" ht="15.75">
      <c r="A948" s="13">
        <v>70006</v>
      </c>
      <c r="B948" s="8">
        <f>CHOOSE( CONTROL!$C$32, 32.5369, 32.5364) * CHOOSE(CONTROL!$C$15, $D$11, 100%, $F$11)</f>
        <v>32.536900000000003</v>
      </c>
      <c r="C948" s="8">
        <f>CHOOSE( CONTROL!$C$32, 32.5448, 32.5444) * CHOOSE(CONTROL!$C$15, $D$11, 100%, $F$11)</f>
        <v>32.544800000000002</v>
      </c>
      <c r="D948" s="8">
        <f>CHOOSE( CONTROL!$C$32, 32.5401, 32.5397) * CHOOSE( CONTROL!$C$15, $D$11, 100%, $F$11)</f>
        <v>32.540100000000002</v>
      </c>
      <c r="E948" s="12">
        <f>CHOOSE( CONTROL!$C$32, 32.5406, 32.5402) * CHOOSE( CONTROL!$C$15, $D$11, 100%, $F$11)</f>
        <v>32.540599999999998</v>
      </c>
      <c r="F948" s="4">
        <f>CHOOSE( CONTROL!$C$32, 33.2438, 33.2434) * CHOOSE(CONTROL!$C$15, $D$11, 100%, $F$11)</f>
        <v>33.2438</v>
      </c>
      <c r="G948" s="8">
        <f>CHOOSE( CONTROL!$C$32, 32.1623, 32.1619) * CHOOSE( CONTROL!$C$15, $D$11, 100%, $F$11)</f>
        <v>32.162300000000002</v>
      </c>
      <c r="H948" s="4">
        <f>CHOOSE( CONTROL!$C$32, 33.1011, 33.1007) * CHOOSE(CONTROL!$C$15, $D$11, 100%, $F$11)</f>
        <v>33.101100000000002</v>
      </c>
      <c r="I948" s="8">
        <f>CHOOSE( CONTROL!$C$32, 31.6654, 31.6649) * CHOOSE(CONTROL!$C$15, $D$11, 100%, $F$11)</f>
        <v>31.665400000000002</v>
      </c>
      <c r="J948" s="4">
        <f>CHOOSE( CONTROL!$C$32, 31.5662, 31.5658) * CHOOSE(CONTROL!$C$15, $D$11, 100%, $F$11)</f>
        <v>31.566199999999998</v>
      </c>
      <c r="K948" s="4"/>
      <c r="L948" s="9">
        <v>30.7165</v>
      </c>
      <c r="M948" s="9">
        <v>12.063700000000001</v>
      </c>
      <c r="N948" s="9">
        <v>4.9444999999999997</v>
      </c>
      <c r="O948" s="9">
        <v>0.37409999999999999</v>
      </c>
      <c r="P948" s="9">
        <v>1.2927</v>
      </c>
      <c r="Q948" s="9">
        <v>19.688099999999999</v>
      </c>
      <c r="R948" s="9"/>
      <c r="S948" s="11"/>
    </row>
    <row r="949" spans="1:19" ht="15.75">
      <c r="A949" s="13">
        <v>70036</v>
      </c>
      <c r="B949" s="8">
        <f>CHOOSE( CONTROL!$C$32, 31.8556, 31.8551) * CHOOSE(CONTROL!$C$15, $D$11, 100%, $F$11)</f>
        <v>31.855599999999999</v>
      </c>
      <c r="C949" s="8">
        <f>CHOOSE( CONTROL!$C$32, 31.8635, 31.8631) * CHOOSE(CONTROL!$C$15, $D$11, 100%, $F$11)</f>
        <v>31.863499999999998</v>
      </c>
      <c r="D949" s="8">
        <f>CHOOSE( CONTROL!$C$32, 31.8587, 31.8582) * CHOOSE( CONTROL!$C$15, $D$11, 100%, $F$11)</f>
        <v>31.858699999999999</v>
      </c>
      <c r="E949" s="12">
        <f>CHOOSE( CONTROL!$C$32, 31.8592, 31.8588) * CHOOSE( CONTROL!$C$15, $D$11, 100%, $F$11)</f>
        <v>31.859200000000001</v>
      </c>
      <c r="F949" s="4">
        <f>CHOOSE( CONTROL!$C$32, 32.5625, 32.562) * CHOOSE(CONTROL!$C$15, $D$11, 100%, $F$11)</f>
        <v>32.5625</v>
      </c>
      <c r="G949" s="8">
        <f>CHOOSE( CONTROL!$C$32, 31.4889, 31.4884) * CHOOSE( CONTROL!$C$15, $D$11, 100%, $F$11)</f>
        <v>31.488900000000001</v>
      </c>
      <c r="H949" s="4">
        <f>CHOOSE( CONTROL!$C$32, 32.4278, 32.4274) * CHOOSE(CONTROL!$C$15, $D$11, 100%, $F$11)</f>
        <v>32.427799999999998</v>
      </c>
      <c r="I949" s="8">
        <f>CHOOSE( CONTROL!$C$32, 31.0033, 31.0029) * CHOOSE(CONTROL!$C$15, $D$11, 100%, $F$11)</f>
        <v>31.003299999999999</v>
      </c>
      <c r="J949" s="4">
        <f>CHOOSE( CONTROL!$C$32, 30.905, 30.9046) * CHOOSE(CONTROL!$C$15, $D$11, 100%, $F$11)</f>
        <v>30.905000000000001</v>
      </c>
      <c r="K949" s="4"/>
      <c r="L949" s="9">
        <v>29.7257</v>
      </c>
      <c r="M949" s="9">
        <v>11.6745</v>
      </c>
      <c r="N949" s="9">
        <v>4.7850000000000001</v>
      </c>
      <c r="O949" s="9">
        <v>0.36199999999999999</v>
      </c>
      <c r="P949" s="9">
        <v>1.2509999999999999</v>
      </c>
      <c r="Q949" s="9">
        <v>19.053000000000001</v>
      </c>
      <c r="R949" s="9"/>
      <c r="S949" s="11"/>
    </row>
    <row r="950" spans="1:19" ht="15.75">
      <c r="A950" s="13">
        <v>70067</v>
      </c>
      <c r="B950" s="8">
        <f>CHOOSE( CONTROL!$C$32, 33.2683, 33.268) * CHOOSE(CONTROL!$C$15, $D$11, 100%, $F$11)</f>
        <v>33.268300000000004</v>
      </c>
      <c r="C950" s="8">
        <f>CHOOSE( CONTROL!$C$32, 33.2736, 33.2733) * CHOOSE(CONTROL!$C$15, $D$11, 100%, $F$11)</f>
        <v>33.273600000000002</v>
      </c>
      <c r="D950" s="8">
        <f>CHOOSE( CONTROL!$C$32, 33.2738, 33.2735) * CHOOSE( CONTROL!$C$15, $D$11, 100%, $F$11)</f>
        <v>33.273800000000001</v>
      </c>
      <c r="E950" s="12">
        <f>CHOOSE( CONTROL!$C$32, 33.2732, 33.2729) * CHOOSE( CONTROL!$C$15, $D$11, 100%, $F$11)</f>
        <v>33.273200000000003</v>
      </c>
      <c r="F950" s="4">
        <f>CHOOSE( CONTROL!$C$32, 33.9769, 33.9767) * CHOOSE(CONTROL!$C$15, $D$11, 100%, $F$11)</f>
        <v>33.976900000000001</v>
      </c>
      <c r="G950" s="8">
        <f>CHOOSE( CONTROL!$C$32, 32.8867, 32.8864) * CHOOSE( CONTROL!$C$15, $D$11, 100%, $F$11)</f>
        <v>32.886699999999998</v>
      </c>
      <c r="H950" s="4">
        <f>CHOOSE( CONTROL!$C$32, 33.8257, 33.8254) * CHOOSE(CONTROL!$C$15, $D$11, 100%, $F$11)</f>
        <v>33.825699999999998</v>
      </c>
      <c r="I950" s="8">
        <f>CHOOSE( CONTROL!$C$32, 32.3774, 32.3771) * CHOOSE(CONTROL!$C$15, $D$11, 100%, $F$11)</f>
        <v>32.377400000000002</v>
      </c>
      <c r="J950" s="4">
        <f>CHOOSE( CONTROL!$C$32, 32.2777, 32.2774) * CHOOSE(CONTROL!$C$15, $D$11, 100%, $F$11)</f>
        <v>32.277700000000003</v>
      </c>
      <c r="K950" s="4"/>
      <c r="L950" s="9">
        <v>31.095300000000002</v>
      </c>
      <c r="M950" s="9">
        <v>12.063700000000001</v>
      </c>
      <c r="N950" s="9">
        <v>4.9444999999999997</v>
      </c>
      <c r="O950" s="9">
        <v>0.37409999999999999</v>
      </c>
      <c r="P950" s="9">
        <v>1.2927</v>
      </c>
      <c r="Q950" s="9">
        <v>19.688099999999999</v>
      </c>
      <c r="R950" s="9"/>
      <c r="S950" s="11"/>
    </row>
    <row r="951" spans="1:19" ht="15.75">
      <c r="A951" s="13">
        <v>70097</v>
      </c>
      <c r="B951" s="8">
        <f>CHOOSE( CONTROL!$C$32, 35.879, 35.8787) * CHOOSE(CONTROL!$C$15, $D$11, 100%, $F$11)</f>
        <v>35.878999999999998</v>
      </c>
      <c r="C951" s="8">
        <f>CHOOSE( CONTROL!$C$32, 35.884, 35.8838) * CHOOSE(CONTROL!$C$15, $D$11, 100%, $F$11)</f>
        <v>35.884</v>
      </c>
      <c r="D951" s="8">
        <f>CHOOSE( CONTROL!$C$32, 35.8519, 35.8516) * CHOOSE( CONTROL!$C$15, $D$11, 100%, $F$11)</f>
        <v>35.851900000000001</v>
      </c>
      <c r="E951" s="12">
        <f>CHOOSE( CONTROL!$C$32, 35.8631, 35.8628) * CHOOSE( CONTROL!$C$15, $D$11, 100%, $F$11)</f>
        <v>35.863100000000003</v>
      </c>
      <c r="F951" s="4">
        <f>CHOOSE( CONTROL!$C$32, 36.5443, 36.544) * CHOOSE(CONTROL!$C$15, $D$11, 100%, $F$11)</f>
        <v>36.5443</v>
      </c>
      <c r="G951" s="8">
        <f>CHOOSE( CONTROL!$C$32, 35.4562, 35.4559) * CHOOSE( CONTROL!$C$15, $D$11, 100%, $F$11)</f>
        <v>35.456200000000003</v>
      </c>
      <c r="H951" s="4">
        <f>CHOOSE( CONTROL!$C$32, 36.3629, 36.3627) * CHOOSE(CONTROL!$C$15, $D$11, 100%, $F$11)</f>
        <v>36.362900000000003</v>
      </c>
      <c r="I951" s="8">
        <f>CHOOSE( CONTROL!$C$32, 34.9636, 34.9633) * CHOOSE(CONTROL!$C$15, $D$11, 100%, $F$11)</f>
        <v>34.9636</v>
      </c>
      <c r="J951" s="4">
        <f>CHOOSE( CONTROL!$C$32, 34.8118, 34.8115) * CHOOSE(CONTROL!$C$15, $D$11, 100%, $F$11)</f>
        <v>34.811799999999998</v>
      </c>
      <c r="K951" s="4"/>
      <c r="L951" s="9">
        <v>28.360600000000002</v>
      </c>
      <c r="M951" s="9">
        <v>11.6745</v>
      </c>
      <c r="N951" s="9">
        <v>4.7850000000000001</v>
      </c>
      <c r="O951" s="9">
        <v>0.36199999999999999</v>
      </c>
      <c r="P951" s="9">
        <v>1.2509999999999999</v>
      </c>
      <c r="Q951" s="9">
        <v>19.053000000000001</v>
      </c>
      <c r="R951" s="9"/>
      <c r="S951" s="11"/>
    </row>
    <row r="952" spans="1:19" ht="15.75">
      <c r="A952" s="13">
        <v>70128</v>
      </c>
      <c r="B952" s="8">
        <f>CHOOSE( CONTROL!$C$32, 35.8137, 35.8135) * CHOOSE(CONTROL!$C$15, $D$11, 100%, $F$11)</f>
        <v>35.813699999999997</v>
      </c>
      <c r="C952" s="8">
        <f>CHOOSE( CONTROL!$C$32, 35.8188, 35.8185) * CHOOSE(CONTROL!$C$15, $D$11, 100%, $F$11)</f>
        <v>35.818800000000003</v>
      </c>
      <c r="D952" s="8">
        <f>CHOOSE( CONTROL!$C$32, 35.7885, 35.7882) * CHOOSE( CONTROL!$C$15, $D$11, 100%, $F$11)</f>
        <v>35.788499999999999</v>
      </c>
      <c r="E952" s="12">
        <f>CHOOSE( CONTROL!$C$32, 35.799, 35.7987) * CHOOSE( CONTROL!$C$15, $D$11, 100%, $F$11)</f>
        <v>35.798999999999999</v>
      </c>
      <c r="F952" s="4">
        <f>CHOOSE( CONTROL!$C$32, 36.479, 36.4787) * CHOOSE(CONTROL!$C$15, $D$11, 100%, $F$11)</f>
        <v>36.478999999999999</v>
      </c>
      <c r="G952" s="8">
        <f>CHOOSE( CONTROL!$C$32, 35.393, 35.3927) * CHOOSE( CONTROL!$C$15, $D$11, 100%, $F$11)</f>
        <v>35.393000000000001</v>
      </c>
      <c r="H952" s="4">
        <f>CHOOSE( CONTROL!$C$32, 36.2985, 36.2982) * CHOOSE(CONTROL!$C$15, $D$11, 100%, $F$11)</f>
        <v>36.298499999999997</v>
      </c>
      <c r="I952" s="8">
        <f>CHOOSE( CONTROL!$C$32, 34.9059, 34.9057) * CHOOSE(CONTROL!$C$15, $D$11, 100%, $F$11)</f>
        <v>34.905900000000003</v>
      </c>
      <c r="J952" s="4">
        <f>CHOOSE( CONTROL!$C$32, 34.7485, 34.7482) * CHOOSE(CONTROL!$C$15, $D$11, 100%, $F$11)</f>
        <v>34.7485</v>
      </c>
      <c r="K952" s="4"/>
      <c r="L952" s="9">
        <v>29.306000000000001</v>
      </c>
      <c r="M952" s="9">
        <v>12.063700000000001</v>
      </c>
      <c r="N952" s="9">
        <v>4.9444999999999997</v>
      </c>
      <c r="O952" s="9">
        <v>0.37409999999999999</v>
      </c>
      <c r="P952" s="9">
        <v>1.2927</v>
      </c>
      <c r="Q952" s="9">
        <v>19.688099999999999</v>
      </c>
      <c r="R952" s="9"/>
      <c r="S952" s="11"/>
    </row>
    <row r="953" spans="1:19" ht="15.75">
      <c r="A953" s="13">
        <v>70159</v>
      </c>
      <c r="B953" s="8">
        <f>CHOOSE( CONTROL!$C$32, 36.8699, 36.8696) * CHOOSE(CONTROL!$C$15, $D$11, 100%, $F$11)</f>
        <v>36.869900000000001</v>
      </c>
      <c r="C953" s="8">
        <f>CHOOSE( CONTROL!$C$32, 36.8749, 36.8747) * CHOOSE(CONTROL!$C$15, $D$11, 100%, $F$11)</f>
        <v>36.874899999999997</v>
      </c>
      <c r="D953" s="8">
        <f>CHOOSE( CONTROL!$C$32, 36.8726, 36.8723) * CHOOSE( CONTROL!$C$15, $D$11, 100%, $F$11)</f>
        <v>36.872599999999998</v>
      </c>
      <c r="E953" s="12">
        <f>CHOOSE( CONTROL!$C$32, 36.8729, 36.8726) * CHOOSE( CONTROL!$C$15, $D$11, 100%, $F$11)</f>
        <v>36.872900000000001</v>
      </c>
      <c r="F953" s="4">
        <f>CHOOSE( CONTROL!$C$32, 37.5351, 37.5349) * CHOOSE(CONTROL!$C$15, $D$11, 100%, $F$11)</f>
        <v>37.5351</v>
      </c>
      <c r="G953" s="8">
        <f>CHOOSE( CONTROL!$C$32, 36.4529, 36.4526) * CHOOSE( CONTROL!$C$15, $D$11, 100%, $F$11)</f>
        <v>36.4529</v>
      </c>
      <c r="H953" s="4">
        <f>CHOOSE( CONTROL!$C$32, 37.3422, 37.3419) * CHOOSE(CONTROL!$C$15, $D$11, 100%, $F$11)</f>
        <v>37.342199999999998</v>
      </c>
      <c r="I953" s="8">
        <f>CHOOSE( CONTROL!$C$32, 35.9049, 35.9047) * CHOOSE(CONTROL!$C$15, $D$11, 100%, $F$11)</f>
        <v>35.904899999999998</v>
      </c>
      <c r="J953" s="4">
        <f>CHOOSE( CONTROL!$C$32, 35.7734, 35.7732) * CHOOSE(CONTROL!$C$15, $D$11, 100%, $F$11)</f>
        <v>35.773400000000002</v>
      </c>
      <c r="K953" s="4"/>
      <c r="L953" s="9">
        <v>29.306000000000001</v>
      </c>
      <c r="M953" s="9">
        <v>12.063700000000001</v>
      </c>
      <c r="N953" s="9">
        <v>4.9444999999999997</v>
      </c>
      <c r="O953" s="9">
        <v>0.37409999999999999</v>
      </c>
      <c r="P953" s="9">
        <v>1.2927</v>
      </c>
      <c r="Q953" s="9">
        <v>19.688099999999999</v>
      </c>
      <c r="R953" s="9"/>
      <c r="S953" s="11"/>
    </row>
    <row r="954" spans="1:19" ht="15.75">
      <c r="A954" s="13">
        <v>70188</v>
      </c>
      <c r="B954" s="8">
        <f>CHOOSE( CONTROL!$C$32, 34.4869, 34.4866) * CHOOSE(CONTROL!$C$15, $D$11, 100%, $F$11)</f>
        <v>34.486899999999999</v>
      </c>
      <c r="C954" s="8">
        <f>CHOOSE( CONTROL!$C$32, 34.492, 34.4917) * CHOOSE(CONTROL!$C$15, $D$11, 100%, $F$11)</f>
        <v>34.491999999999997</v>
      </c>
      <c r="D954" s="8">
        <f>CHOOSE( CONTROL!$C$32, 34.4719, 34.4716) * CHOOSE( CONTROL!$C$15, $D$11, 100%, $F$11)</f>
        <v>34.471899999999998</v>
      </c>
      <c r="E954" s="12">
        <f>CHOOSE( CONTROL!$C$32, 34.4787, 34.4784) * CHOOSE( CONTROL!$C$15, $D$11, 100%, $F$11)</f>
        <v>34.478700000000003</v>
      </c>
      <c r="F954" s="4">
        <f>CHOOSE( CONTROL!$C$32, 35.1522, 35.1519) * CHOOSE(CONTROL!$C$15, $D$11, 100%, $F$11)</f>
        <v>35.152200000000001</v>
      </c>
      <c r="G954" s="8">
        <f>CHOOSE( CONTROL!$C$32, 34.0867, 34.0864) * CHOOSE( CONTROL!$C$15, $D$11, 100%, $F$11)</f>
        <v>34.0867</v>
      </c>
      <c r="H954" s="4">
        <f>CHOOSE( CONTROL!$C$32, 34.9871, 34.9869) * CHOOSE(CONTROL!$C$15, $D$11, 100%, $F$11)</f>
        <v>34.987099999999998</v>
      </c>
      <c r="I954" s="8">
        <f>CHOOSE( CONTROL!$C$32, 33.5915, 33.5913) * CHOOSE(CONTROL!$C$15, $D$11, 100%, $F$11)</f>
        <v>33.591500000000003</v>
      </c>
      <c r="J954" s="4">
        <f>CHOOSE( CONTROL!$C$32, 33.4608, 33.4605) * CHOOSE(CONTROL!$C$15, $D$11, 100%, $F$11)</f>
        <v>33.460799999999999</v>
      </c>
      <c r="K954" s="4"/>
      <c r="L954" s="9">
        <v>27.415299999999998</v>
      </c>
      <c r="M954" s="9">
        <v>11.285299999999999</v>
      </c>
      <c r="N954" s="9">
        <v>4.6254999999999997</v>
      </c>
      <c r="O954" s="9">
        <v>0.34989999999999999</v>
      </c>
      <c r="P954" s="9">
        <v>1.2093</v>
      </c>
      <c r="Q954" s="9">
        <v>18.417899999999999</v>
      </c>
      <c r="R954" s="9"/>
      <c r="S954" s="11"/>
    </row>
    <row r="955" spans="1:19" ht="15.75">
      <c r="A955" s="13">
        <v>70219</v>
      </c>
      <c r="B955" s="8">
        <f>CHOOSE( CONTROL!$C$32, 33.7529, 33.7527) * CHOOSE(CONTROL!$C$15, $D$11, 100%, $F$11)</f>
        <v>33.752899999999997</v>
      </c>
      <c r="C955" s="8">
        <f>CHOOSE( CONTROL!$C$32, 33.758, 33.7577) * CHOOSE(CONTROL!$C$15, $D$11, 100%, $F$11)</f>
        <v>33.758000000000003</v>
      </c>
      <c r="D955" s="8">
        <f>CHOOSE( CONTROL!$C$32, 33.728, 33.7277) * CHOOSE( CONTROL!$C$15, $D$11, 100%, $F$11)</f>
        <v>33.728000000000002</v>
      </c>
      <c r="E955" s="12">
        <f>CHOOSE( CONTROL!$C$32, 33.7384, 33.7381) * CHOOSE( CONTROL!$C$15, $D$11, 100%, $F$11)</f>
        <v>33.738399999999999</v>
      </c>
      <c r="F955" s="4">
        <f>CHOOSE( CONTROL!$C$32, 34.4182, 34.4179) * CHOOSE(CONTROL!$C$15, $D$11, 100%, $F$11)</f>
        <v>34.418199999999999</v>
      </c>
      <c r="G955" s="8">
        <f>CHOOSE( CONTROL!$C$32, 33.3481, 33.3478) * CHOOSE( CONTROL!$C$15, $D$11, 100%, $F$11)</f>
        <v>33.348100000000002</v>
      </c>
      <c r="H955" s="4">
        <f>CHOOSE( CONTROL!$C$32, 34.2618, 34.2615) * CHOOSE(CONTROL!$C$15, $D$11, 100%, $F$11)</f>
        <v>34.261800000000001</v>
      </c>
      <c r="I955" s="8">
        <f>CHOOSE( CONTROL!$C$32, 32.8437, 32.8434) * CHOOSE(CONTROL!$C$15, $D$11, 100%, $F$11)</f>
        <v>32.843699999999998</v>
      </c>
      <c r="J955" s="4">
        <f>CHOOSE( CONTROL!$C$32, 32.7485, 32.7482) * CHOOSE(CONTROL!$C$15, $D$11, 100%, $F$11)</f>
        <v>32.7485</v>
      </c>
      <c r="K955" s="4"/>
      <c r="L955" s="9">
        <v>29.306000000000001</v>
      </c>
      <c r="M955" s="9">
        <v>12.063700000000001</v>
      </c>
      <c r="N955" s="9">
        <v>4.9444999999999997</v>
      </c>
      <c r="O955" s="9">
        <v>0.37409999999999999</v>
      </c>
      <c r="P955" s="9">
        <v>1.2927</v>
      </c>
      <c r="Q955" s="9">
        <v>19.688099999999999</v>
      </c>
      <c r="R955" s="9"/>
      <c r="S955" s="11"/>
    </row>
    <row r="956" spans="1:19" ht="15.75">
      <c r="A956" s="13">
        <v>70249</v>
      </c>
      <c r="B956" s="8">
        <f>CHOOSE( CONTROL!$C$32, 34.2666, 34.2663) * CHOOSE(CONTROL!$C$15, $D$11, 100%, $F$11)</f>
        <v>34.266599999999997</v>
      </c>
      <c r="C956" s="8">
        <f>CHOOSE( CONTROL!$C$32, 34.2711, 34.2708) * CHOOSE(CONTROL!$C$15, $D$11, 100%, $F$11)</f>
        <v>34.271099999999997</v>
      </c>
      <c r="D956" s="8">
        <f>CHOOSE( CONTROL!$C$32, 34.2706, 34.2703) * CHOOSE( CONTROL!$C$15, $D$11, 100%, $F$11)</f>
        <v>34.270600000000002</v>
      </c>
      <c r="E956" s="12">
        <f>CHOOSE( CONTROL!$C$32, 34.2703, 34.27) * CHOOSE( CONTROL!$C$15, $D$11, 100%, $F$11)</f>
        <v>34.270299999999999</v>
      </c>
      <c r="F956" s="4">
        <f>CHOOSE( CONTROL!$C$32, 34.9749, 34.9746) * CHOOSE(CONTROL!$C$15, $D$11, 100%, $F$11)</f>
        <v>34.974899999999998</v>
      </c>
      <c r="G956" s="8">
        <f>CHOOSE( CONTROL!$C$32, 33.872, 33.8717) * CHOOSE( CONTROL!$C$15, $D$11, 100%, $F$11)</f>
        <v>33.872</v>
      </c>
      <c r="H956" s="4">
        <f>CHOOSE( CONTROL!$C$32, 34.8119, 34.8117) * CHOOSE(CONTROL!$C$15, $D$11, 100%, $F$11)</f>
        <v>34.811900000000001</v>
      </c>
      <c r="I956" s="8">
        <f>CHOOSE( CONTROL!$C$32, 33.3422, 33.3419) * CHOOSE(CONTROL!$C$15, $D$11, 100%, $F$11)</f>
        <v>33.342199999999998</v>
      </c>
      <c r="J956" s="4">
        <f>CHOOSE( CONTROL!$C$32, 33.2462, 33.2459) * CHOOSE(CONTROL!$C$15, $D$11, 100%, $F$11)</f>
        <v>33.246200000000002</v>
      </c>
      <c r="K956" s="4"/>
      <c r="L956" s="9">
        <v>30.092199999999998</v>
      </c>
      <c r="M956" s="9">
        <v>11.6745</v>
      </c>
      <c r="N956" s="9">
        <v>4.7850000000000001</v>
      </c>
      <c r="O956" s="9">
        <v>0.36199999999999999</v>
      </c>
      <c r="P956" s="9">
        <v>1.2509999999999999</v>
      </c>
      <c r="Q956" s="9">
        <v>19.053000000000001</v>
      </c>
      <c r="R956" s="9"/>
      <c r="S956" s="11"/>
    </row>
    <row r="957" spans="1:19" ht="15.75">
      <c r="A957" s="13">
        <v>70280</v>
      </c>
      <c r="B957" s="8">
        <f>CHOOSE( CONTROL!$C$32, 35.1809, 35.1804) * CHOOSE(CONTROL!$C$15, $D$11, 100%, $F$11)</f>
        <v>35.180900000000001</v>
      </c>
      <c r="C957" s="8">
        <f>CHOOSE( CONTROL!$C$32, 35.1889, 35.1884) * CHOOSE(CONTROL!$C$15, $D$11, 100%, $F$11)</f>
        <v>35.188899999999997</v>
      </c>
      <c r="D957" s="8">
        <f>CHOOSE( CONTROL!$C$32, 35.1832, 35.1827) * CHOOSE( CONTROL!$C$15, $D$11, 100%, $F$11)</f>
        <v>35.183199999999999</v>
      </c>
      <c r="E957" s="12">
        <f>CHOOSE( CONTROL!$C$32, 35.184, 35.1835) * CHOOSE( CONTROL!$C$15, $D$11, 100%, $F$11)</f>
        <v>35.183999999999997</v>
      </c>
      <c r="F957" s="4">
        <f>CHOOSE( CONTROL!$C$32, 35.8878, 35.8874) * CHOOSE(CONTROL!$C$15, $D$11, 100%, $F$11)</f>
        <v>35.887799999999999</v>
      </c>
      <c r="G957" s="8">
        <f>CHOOSE( CONTROL!$C$32, 34.7746, 34.7741) * CHOOSE( CONTROL!$C$15, $D$11, 100%, $F$11)</f>
        <v>34.7746</v>
      </c>
      <c r="H957" s="4">
        <f>CHOOSE( CONTROL!$C$32, 35.7142, 35.7138) * CHOOSE(CONTROL!$C$15, $D$11, 100%, $F$11)</f>
        <v>35.714199999999998</v>
      </c>
      <c r="I957" s="8">
        <f>CHOOSE( CONTROL!$C$32, 34.2292, 34.2288) * CHOOSE(CONTROL!$C$15, $D$11, 100%, $F$11)</f>
        <v>34.229199999999999</v>
      </c>
      <c r="J957" s="4">
        <f>CHOOSE( CONTROL!$C$32, 34.1322, 34.1318) * CHOOSE(CONTROL!$C$15, $D$11, 100%, $F$11)</f>
        <v>34.132199999999997</v>
      </c>
      <c r="K957" s="4"/>
      <c r="L957" s="9">
        <v>30.7165</v>
      </c>
      <c r="M957" s="9">
        <v>12.063700000000001</v>
      </c>
      <c r="N957" s="9">
        <v>4.9444999999999997</v>
      </c>
      <c r="O957" s="9">
        <v>0.37409999999999999</v>
      </c>
      <c r="P957" s="9">
        <v>1.2927</v>
      </c>
      <c r="Q957" s="9">
        <v>19.688099999999999</v>
      </c>
      <c r="R957" s="9"/>
      <c r="S957" s="11"/>
    </row>
    <row r="958" spans="1:19" ht="15.75">
      <c r="A958" s="13">
        <v>70310</v>
      </c>
      <c r="B958" s="8">
        <f>CHOOSE( CONTROL!$C$32, 34.6155, 34.615) * CHOOSE(CONTROL!$C$15, $D$11, 100%, $F$11)</f>
        <v>34.615499999999997</v>
      </c>
      <c r="C958" s="8">
        <f>CHOOSE( CONTROL!$C$32, 34.6234, 34.623) * CHOOSE(CONTROL!$C$15, $D$11, 100%, $F$11)</f>
        <v>34.623399999999997</v>
      </c>
      <c r="D958" s="8">
        <f>CHOOSE( CONTROL!$C$32, 34.6181, 34.6177) * CHOOSE( CONTROL!$C$15, $D$11, 100%, $F$11)</f>
        <v>34.618099999999998</v>
      </c>
      <c r="E958" s="12">
        <f>CHOOSE( CONTROL!$C$32, 34.6188, 34.6184) * CHOOSE( CONTROL!$C$15, $D$11, 100%, $F$11)</f>
        <v>34.6188</v>
      </c>
      <c r="F958" s="4">
        <f>CHOOSE( CONTROL!$C$32, 35.3224, 35.3219) * CHOOSE(CONTROL!$C$15, $D$11, 100%, $F$11)</f>
        <v>35.322400000000002</v>
      </c>
      <c r="G958" s="8">
        <f>CHOOSE( CONTROL!$C$32, 34.2161, 34.2156) * CHOOSE( CONTROL!$C$15, $D$11, 100%, $F$11)</f>
        <v>34.216099999999997</v>
      </c>
      <c r="H958" s="4">
        <f>CHOOSE( CONTROL!$C$32, 35.1554, 35.1549) * CHOOSE(CONTROL!$C$15, $D$11, 100%, $F$11)</f>
        <v>35.1554</v>
      </c>
      <c r="I958" s="8">
        <f>CHOOSE( CONTROL!$C$32, 33.6816, 33.6812) * CHOOSE(CONTROL!$C$15, $D$11, 100%, $F$11)</f>
        <v>33.681600000000003</v>
      </c>
      <c r="J958" s="4">
        <f>CHOOSE( CONTROL!$C$32, 33.5835, 33.583) * CHOOSE(CONTROL!$C$15, $D$11, 100%, $F$11)</f>
        <v>33.583500000000001</v>
      </c>
      <c r="K958" s="4"/>
      <c r="L958" s="9">
        <v>29.7257</v>
      </c>
      <c r="M958" s="9">
        <v>11.6745</v>
      </c>
      <c r="N958" s="9">
        <v>4.7850000000000001</v>
      </c>
      <c r="O958" s="9">
        <v>0.36199999999999999</v>
      </c>
      <c r="P958" s="9">
        <v>1.2509999999999999</v>
      </c>
      <c r="Q958" s="9">
        <v>19.053000000000001</v>
      </c>
      <c r="R958" s="9"/>
      <c r="S958" s="11"/>
    </row>
    <row r="959" spans="1:19" ht="15.75">
      <c r="A959" s="13">
        <v>70341</v>
      </c>
      <c r="B959" s="8">
        <f>CHOOSE( CONTROL!$C$32, 36.1045, 36.104) * CHOOSE(CONTROL!$C$15, $D$11, 100%, $F$11)</f>
        <v>36.104500000000002</v>
      </c>
      <c r="C959" s="8">
        <f>CHOOSE( CONTROL!$C$32, 36.1124, 36.112) * CHOOSE(CONTROL!$C$15, $D$11, 100%, $F$11)</f>
        <v>36.112400000000001</v>
      </c>
      <c r="D959" s="8">
        <f>CHOOSE( CONTROL!$C$32, 36.1076, 36.1071) * CHOOSE( CONTROL!$C$15, $D$11, 100%, $F$11)</f>
        <v>36.107599999999998</v>
      </c>
      <c r="E959" s="12">
        <f>CHOOSE( CONTROL!$C$32, 36.1081, 36.1077) * CHOOSE( CONTROL!$C$15, $D$11, 100%, $F$11)</f>
        <v>36.1081</v>
      </c>
      <c r="F959" s="4">
        <f>CHOOSE( CONTROL!$C$32, 36.8114, 36.811) * CHOOSE(CONTROL!$C$15, $D$11, 100%, $F$11)</f>
        <v>36.811399999999999</v>
      </c>
      <c r="G959" s="8">
        <f>CHOOSE( CONTROL!$C$32, 35.688, 35.6876) * CHOOSE( CONTROL!$C$15, $D$11, 100%, $F$11)</f>
        <v>35.688000000000002</v>
      </c>
      <c r="H959" s="4">
        <f>CHOOSE( CONTROL!$C$32, 36.627, 36.6265) * CHOOSE(CONTROL!$C$15, $D$11, 100%, $F$11)</f>
        <v>36.627000000000002</v>
      </c>
      <c r="I959" s="8">
        <f>CHOOSE( CONTROL!$C$32, 35.129, 35.1286) * CHOOSE(CONTROL!$C$15, $D$11, 100%, $F$11)</f>
        <v>35.128999999999998</v>
      </c>
      <c r="J959" s="4">
        <f>CHOOSE( CONTROL!$C$32, 35.0286, 35.0281) * CHOOSE(CONTROL!$C$15, $D$11, 100%, $F$11)</f>
        <v>35.028599999999997</v>
      </c>
      <c r="K959" s="4"/>
      <c r="L959" s="9">
        <v>30.7165</v>
      </c>
      <c r="M959" s="9">
        <v>12.063700000000001</v>
      </c>
      <c r="N959" s="9">
        <v>4.9444999999999997</v>
      </c>
      <c r="O959" s="9">
        <v>0.37409999999999999</v>
      </c>
      <c r="P959" s="9">
        <v>1.2927</v>
      </c>
      <c r="Q959" s="9">
        <v>19.688099999999999</v>
      </c>
      <c r="R959" s="9"/>
      <c r="S959" s="11"/>
    </row>
    <row r="960" spans="1:19" ht="15.75">
      <c r="A960" s="13">
        <v>70372</v>
      </c>
      <c r="B960" s="8">
        <f>CHOOSE( CONTROL!$C$32, 33.3184, 33.3179) * CHOOSE(CONTROL!$C$15, $D$11, 100%, $F$11)</f>
        <v>33.318399999999997</v>
      </c>
      <c r="C960" s="8">
        <f>CHOOSE( CONTROL!$C$32, 33.3263, 33.3259) * CHOOSE(CONTROL!$C$15, $D$11, 100%, $F$11)</f>
        <v>33.326300000000003</v>
      </c>
      <c r="D960" s="8">
        <f>CHOOSE( CONTROL!$C$32, 33.3216, 33.3212) * CHOOSE( CONTROL!$C$15, $D$11, 100%, $F$11)</f>
        <v>33.321599999999997</v>
      </c>
      <c r="E960" s="12">
        <f>CHOOSE( CONTROL!$C$32, 33.3221, 33.3217) * CHOOSE( CONTROL!$C$15, $D$11, 100%, $F$11)</f>
        <v>33.322099999999999</v>
      </c>
      <c r="F960" s="4">
        <f>CHOOSE( CONTROL!$C$32, 34.0253, 34.0249) * CHOOSE(CONTROL!$C$15, $D$11, 100%, $F$11)</f>
        <v>34.025300000000001</v>
      </c>
      <c r="G960" s="8">
        <f>CHOOSE( CONTROL!$C$32, 32.9347, 32.9342) * CHOOSE( CONTROL!$C$15, $D$11, 100%, $F$11)</f>
        <v>32.934699999999999</v>
      </c>
      <c r="H960" s="4">
        <f>CHOOSE( CONTROL!$C$32, 33.8735, 33.873) * CHOOSE(CONTROL!$C$15, $D$11, 100%, $F$11)</f>
        <v>33.8735</v>
      </c>
      <c r="I960" s="8">
        <f>CHOOSE( CONTROL!$C$32, 32.4242, 32.4237) * CHOOSE(CONTROL!$C$15, $D$11, 100%, $F$11)</f>
        <v>32.424199999999999</v>
      </c>
      <c r="J960" s="4">
        <f>CHOOSE( CONTROL!$C$32, 32.3247, 32.3242) * CHOOSE(CONTROL!$C$15, $D$11, 100%, $F$11)</f>
        <v>32.3247</v>
      </c>
      <c r="K960" s="4"/>
      <c r="L960" s="9">
        <v>30.7165</v>
      </c>
      <c r="M960" s="9">
        <v>12.063700000000001</v>
      </c>
      <c r="N960" s="9">
        <v>4.9444999999999997</v>
      </c>
      <c r="O960" s="9">
        <v>0.37409999999999999</v>
      </c>
      <c r="P960" s="9">
        <v>1.2927</v>
      </c>
      <c r="Q960" s="9">
        <v>19.688099999999999</v>
      </c>
      <c r="R960" s="9"/>
      <c r="S960" s="11"/>
    </row>
    <row r="961" spans="1:19" ht="15.75">
      <c r="A961" s="13">
        <v>70402</v>
      </c>
      <c r="B961" s="8">
        <f>CHOOSE( CONTROL!$C$32, 32.6207, 32.6202) * CHOOSE(CONTROL!$C$15, $D$11, 100%, $F$11)</f>
        <v>32.620699999999999</v>
      </c>
      <c r="C961" s="8">
        <f>CHOOSE( CONTROL!$C$32, 32.6287, 32.6282) * CHOOSE(CONTROL!$C$15, $D$11, 100%, $F$11)</f>
        <v>32.628700000000002</v>
      </c>
      <c r="D961" s="8">
        <f>CHOOSE( CONTROL!$C$32, 32.6238, 32.6233) * CHOOSE( CONTROL!$C$15, $D$11, 100%, $F$11)</f>
        <v>32.623800000000003</v>
      </c>
      <c r="E961" s="12">
        <f>CHOOSE( CONTROL!$C$32, 32.6244, 32.6239) * CHOOSE( CONTROL!$C$15, $D$11, 100%, $F$11)</f>
        <v>32.624400000000001</v>
      </c>
      <c r="F961" s="4">
        <f>CHOOSE( CONTROL!$C$32, 33.3276, 33.3272) * CHOOSE(CONTROL!$C$15, $D$11, 100%, $F$11)</f>
        <v>33.327599999999997</v>
      </c>
      <c r="G961" s="8">
        <f>CHOOSE( CONTROL!$C$32, 32.245, 32.2446) * CHOOSE( CONTROL!$C$15, $D$11, 100%, $F$11)</f>
        <v>32.244999999999997</v>
      </c>
      <c r="H961" s="4">
        <f>CHOOSE( CONTROL!$C$32, 33.184, 33.1835) * CHOOSE(CONTROL!$C$15, $D$11, 100%, $F$11)</f>
        <v>33.183999999999997</v>
      </c>
      <c r="I961" s="8">
        <f>CHOOSE( CONTROL!$C$32, 31.7462, 31.7458) * CHOOSE(CONTROL!$C$15, $D$11, 100%, $F$11)</f>
        <v>31.746200000000002</v>
      </c>
      <c r="J961" s="4">
        <f>CHOOSE( CONTROL!$C$32, 31.6476, 31.6471) * CHOOSE(CONTROL!$C$15, $D$11, 100%, $F$11)</f>
        <v>31.647600000000001</v>
      </c>
      <c r="K961" s="4"/>
      <c r="L961" s="9">
        <v>29.7257</v>
      </c>
      <c r="M961" s="9">
        <v>11.6745</v>
      </c>
      <c r="N961" s="9">
        <v>4.7850000000000001</v>
      </c>
      <c r="O961" s="9">
        <v>0.36199999999999999</v>
      </c>
      <c r="P961" s="9">
        <v>1.2509999999999999</v>
      </c>
      <c r="Q961" s="9">
        <v>19.053000000000001</v>
      </c>
      <c r="R961" s="9"/>
      <c r="S961" s="11"/>
    </row>
    <row r="962" spans="1:19" ht="15.75">
      <c r="A962" s="13">
        <v>70433</v>
      </c>
      <c r="B962" s="8">
        <f>CHOOSE( CONTROL!$C$32, 34.0674, 34.0671) * CHOOSE(CONTROL!$C$15, $D$11, 100%, $F$11)</f>
        <v>34.067399999999999</v>
      </c>
      <c r="C962" s="8">
        <f>CHOOSE( CONTROL!$C$32, 34.0727, 34.0725) * CHOOSE(CONTROL!$C$15, $D$11, 100%, $F$11)</f>
        <v>34.072699999999998</v>
      </c>
      <c r="D962" s="8">
        <f>CHOOSE( CONTROL!$C$32, 34.0729, 34.0727) * CHOOSE( CONTROL!$C$15, $D$11, 100%, $F$11)</f>
        <v>34.072899999999997</v>
      </c>
      <c r="E962" s="12">
        <f>CHOOSE( CONTROL!$C$32, 34.0723, 34.0721) * CHOOSE( CONTROL!$C$15, $D$11, 100%, $F$11)</f>
        <v>34.072299999999998</v>
      </c>
      <c r="F962" s="4">
        <f>CHOOSE( CONTROL!$C$32, 34.7761, 34.7758) * CHOOSE(CONTROL!$C$15, $D$11, 100%, $F$11)</f>
        <v>34.7761</v>
      </c>
      <c r="G962" s="8">
        <f>CHOOSE( CONTROL!$C$32, 33.6765, 33.6762) * CHOOSE( CONTROL!$C$15, $D$11, 100%, $F$11)</f>
        <v>33.676499999999997</v>
      </c>
      <c r="H962" s="4">
        <f>CHOOSE( CONTROL!$C$32, 34.6154, 34.6152) * CHOOSE(CONTROL!$C$15, $D$11, 100%, $F$11)</f>
        <v>34.615400000000001</v>
      </c>
      <c r="I962" s="8">
        <f>CHOOSE( CONTROL!$C$32, 33.1533, 33.1531) * CHOOSE(CONTROL!$C$15, $D$11, 100%, $F$11)</f>
        <v>33.153300000000002</v>
      </c>
      <c r="J962" s="4">
        <f>CHOOSE( CONTROL!$C$32, 33.0533, 33.053) * CHOOSE(CONTROL!$C$15, $D$11, 100%, $F$11)</f>
        <v>33.0533</v>
      </c>
      <c r="K962" s="4"/>
      <c r="L962" s="9">
        <v>31.095300000000002</v>
      </c>
      <c r="M962" s="9">
        <v>12.063700000000001</v>
      </c>
      <c r="N962" s="9">
        <v>4.9444999999999997</v>
      </c>
      <c r="O962" s="9">
        <v>0.37409999999999999</v>
      </c>
      <c r="P962" s="9">
        <v>1.2927</v>
      </c>
      <c r="Q962" s="9">
        <v>19.688099999999999</v>
      </c>
      <c r="R962" s="9"/>
      <c r="S962" s="11"/>
    </row>
    <row r="963" spans="1:19" ht="15.75">
      <c r="A963" s="13">
        <v>70463</v>
      </c>
      <c r="B963" s="8">
        <f>CHOOSE( CONTROL!$C$32, 36.7408, 36.7406) * CHOOSE(CONTROL!$C$15, $D$11, 100%, $F$11)</f>
        <v>36.7408</v>
      </c>
      <c r="C963" s="8">
        <f>CHOOSE( CONTROL!$C$32, 36.7459, 36.7456) * CHOOSE(CONTROL!$C$15, $D$11, 100%, $F$11)</f>
        <v>36.745899999999999</v>
      </c>
      <c r="D963" s="8">
        <f>CHOOSE( CONTROL!$C$32, 36.7138, 36.7135) * CHOOSE( CONTROL!$C$15, $D$11, 100%, $F$11)</f>
        <v>36.713799999999999</v>
      </c>
      <c r="E963" s="12">
        <f>CHOOSE( CONTROL!$C$32, 36.725, 36.7247) * CHOOSE( CONTROL!$C$15, $D$11, 100%, $F$11)</f>
        <v>36.725000000000001</v>
      </c>
      <c r="F963" s="4">
        <f>CHOOSE( CONTROL!$C$32, 37.4061, 37.4058) * CHOOSE(CONTROL!$C$15, $D$11, 100%, $F$11)</f>
        <v>37.406100000000002</v>
      </c>
      <c r="G963" s="8">
        <f>CHOOSE( CONTROL!$C$32, 36.3079, 36.3077) * CHOOSE( CONTROL!$C$15, $D$11, 100%, $F$11)</f>
        <v>36.307899999999997</v>
      </c>
      <c r="H963" s="4">
        <f>CHOOSE( CONTROL!$C$32, 37.2147, 37.2144) * CHOOSE(CONTROL!$C$15, $D$11, 100%, $F$11)</f>
        <v>37.214700000000001</v>
      </c>
      <c r="I963" s="8">
        <f>CHOOSE( CONTROL!$C$32, 35.8004, 35.8002) * CHOOSE(CONTROL!$C$15, $D$11, 100%, $F$11)</f>
        <v>35.800400000000003</v>
      </c>
      <c r="J963" s="4">
        <f>CHOOSE( CONTROL!$C$32, 35.6482, 35.648) * CHOOSE(CONTROL!$C$15, $D$11, 100%, $F$11)</f>
        <v>35.648200000000003</v>
      </c>
      <c r="K963" s="4"/>
      <c r="L963" s="9">
        <v>28.360600000000002</v>
      </c>
      <c r="M963" s="9">
        <v>11.6745</v>
      </c>
      <c r="N963" s="9">
        <v>4.7850000000000001</v>
      </c>
      <c r="O963" s="9">
        <v>0.36199999999999999</v>
      </c>
      <c r="P963" s="9">
        <v>1.2509999999999999</v>
      </c>
      <c r="Q963" s="9">
        <v>19.053000000000001</v>
      </c>
      <c r="R963" s="9"/>
      <c r="S963" s="11"/>
    </row>
    <row r="964" spans="1:19" ht="15.75">
      <c r="A964" s="13">
        <v>70494</v>
      </c>
      <c r="B964" s="8">
        <f>CHOOSE( CONTROL!$C$32, 36.674, 36.6738) * CHOOSE(CONTROL!$C$15, $D$11, 100%, $F$11)</f>
        <v>36.673999999999999</v>
      </c>
      <c r="C964" s="8">
        <f>CHOOSE( CONTROL!$C$32, 36.6791, 36.6788) * CHOOSE(CONTROL!$C$15, $D$11, 100%, $F$11)</f>
        <v>36.679099999999998</v>
      </c>
      <c r="D964" s="8">
        <f>CHOOSE( CONTROL!$C$32, 36.6488, 36.6485) * CHOOSE( CONTROL!$C$15, $D$11, 100%, $F$11)</f>
        <v>36.648800000000001</v>
      </c>
      <c r="E964" s="12">
        <f>CHOOSE( CONTROL!$C$32, 36.6593, 36.659) * CHOOSE( CONTROL!$C$15, $D$11, 100%, $F$11)</f>
        <v>36.659300000000002</v>
      </c>
      <c r="F964" s="4">
        <f>CHOOSE( CONTROL!$C$32, 37.3393, 37.339) * CHOOSE(CONTROL!$C$15, $D$11, 100%, $F$11)</f>
        <v>37.339300000000001</v>
      </c>
      <c r="G964" s="8">
        <f>CHOOSE( CONTROL!$C$32, 36.2432, 36.243) * CHOOSE( CONTROL!$C$15, $D$11, 100%, $F$11)</f>
        <v>36.243200000000002</v>
      </c>
      <c r="H964" s="4">
        <f>CHOOSE( CONTROL!$C$32, 37.1487, 37.1484) * CHOOSE(CONTROL!$C$15, $D$11, 100%, $F$11)</f>
        <v>37.148699999999998</v>
      </c>
      <c r="I964" s="8">
        <f>CHOOSE( CONTROL!$C$32, 35.7413, 35.741) * CHOOSE(CONTROL!$C$15, $D$11, 100%, $F$11)</f>
        <v>35.741300000000003</v>
      </c>
      <c r="J964" s="4">
        <f>CHOOSE( CONTROL!$C$32, 35.5834, 35.5831) * CHOOSE(CONTROL!$C$15, $D$11, 100%, $F$11)</f>
        <v>35.583399999999997</v>
      </c>
      <c r="K964" s="4"/>
      <c r="L964" s="9">
        <v>29.306000000000001</v>
      </c>
      <c r="M964" s="9">
        <v>12.063700000000001</v>
      </c>
      <c r="N964" s="9">
        <v>4.9444999999999997</v>
      </c>
      <c r="O964" s="9">
        <v>0.37409999999999999</v>
      </c>
      <c r="P964" s="9">
        <v>1.2927</v>
      </c>
      <c r="Q964" s="9">
        <v>19.688099999999999</v>
      </c>
      <c r="R964" s="9"/>
      <c r="S964" s="11"/>
    </row>
    <row r="965" spans="1:19" ht="15.75">
      <c r="A965" s="13">
        <v>70525</v>
      </c>
      <c r="B965" s="8">
        <f>CHOOSE( CONTROL!$C$32, 37.7555, 37.7552) * CHOOSE(CONTROL!$C$15, $D$11, 100%, $F$11)</f>
        <v>37.755499999999998</v>
      </c>
      <c r="C965" s="8">
        <f>CHOOSE( CONTROL!$C$32, 37.7606, 37.7603) * CHOOSE(CONTROL!$C$15, $D$11, 100%, $F$11)</f>
        <v>37.760599999999997</v>
      </c>
      <c r="D965" s="8">
        <f>CHOOSE( CONTROL!$C$32, 37.7582, 37.758) * CHOOSE( CONTROL!$C$15, $D$11, 100%, $F$11)</f>
        <v>37.758200000000002</v>
      </c>
      <c r="E965" s="12">
        <f>CHOOSE( CONTROL!$C$32, 37.7585, 37.7583) * CHOOSE( CONTROL!$C$15, $D$11, 100%, $F$11)</f>
        <v>37.758499999999998</v>
      </c>
      <c r="F965" s="4">
        <f>CHOOSE( CONTROL!$C$32, 38.4208, 38.4205) * CHOOSE(CONTROL!$C$15, $D$11, 100%, $F$11)</f>
        <v>38.4208</v>
      </c>
      <c r="G965" s="8">
        <f>CHOOSE( CONTROL!$C$32, 37.3282, 37.3279) * CHOOSE( CONTROL!$C$15, $D$11, 100%, $F$11)</f>
        <v>37.328200000000002</v>
      </c>
      <c r="H965" s="4">
        <f>CHOOSE( CONTROL!$C$32, 38.2175, 38.2172) * CHOOSE(CONTROL!$C$15, $D$11, 100%, $F$11)</f>
        <v>38.217500000000001</v>
      </c>
      <c r="I965" s="8">
        <f>CHOOSE( CONTROL!$C$32, 36.7649, 36.7646) * CHOOSE(CONTROL!$C$15, $D$11, 100%, $F$11)</f>
        <v>36.764899999999997</v>
      </c>
      <c r="J965" s="4">
        <f>CHOOSE( CONTROL!$C$32, 36.633, 36.6327) * CHOOSE(CONTROL!$C$15, $D$11, 100%, $F$11)</f>
        <v>36.633000000000003</v>
      </c>
      <c r="K965" s="4"/>
      <c r="L965" s="9">
        <v>29.306000000000001</v>
      </c>
      <c r="M965" s="9">
        <v>12.063700000000001</v>
      </c>
      <c r="N965" s="9">
        <v>4.9444999999999997</v>
      </c>
      <c r="O965" s="9">
        <v>0.37409999999999999</v>
      </c>
      <c r="P965" s="9">
        <v>1.2927</v>
      </c>
      <c r="Q965" s="9">
        <v>19.688099999999999</v>
      </c>
      <c r="R965" s="9"/>
      <c r="S965" s="11"/>
    </row>
    <row r="966" spans="1:19" ht="15.75">
      <c r="A966" s="13">
        <v>70553</v>
      </c>
      <c r="B966" s="8">
        <f>CHOOSE( CONTROL!$C$32, 35.3153, 35.315) * CHOOSE(CONTROL!$C$15, $D$11, 100%, $F$11)</f>
        <v>35.315300000000001</v>
      </c>
      <c r="C966" s="8">
        <f>CHOOSE( CONTROL!$C$32, 35.3204, 35.3201) * CHOOSE(CONTROL!$C$15, $D$11, 100%, $F$11)</f>
        <v>35.320399999999999</v>
      </c>
      <c r="D966" s="8">
        <f>CHOOSE( CONTROL!$C$32, 35.3003, 35.3001) * CHOOSE( CONTROL!$C$15, $D$11, 100%, $F$11)</f>
        <v>35.3003</v>
      </c>
      <c r="E966" s="12">
        <f>CHOOSE( CONTROL!$C$32, 35.3071, 35.3069) * CHOOSE( CONTROL!$C$15, $D$11, 100%, $F$11)</f>
        <v>35.307099999999998</v>
      </c>
      <c r="F966" s="4">
        <f>CHOOSE( CONTROL!$C$32, 35.9806, 35.9803) * CHOOSE(CONTROL!$C$15, $D$11, 100%, $F$11)</f>
        <v>35.980600000000003</v>
      </c>
      <c r="G966" s="8">
        <f>CHOOSE( CONTROL!$C$32, 34.9054, 34.9051) * CHOOSE( CONTROL!$C$15, $D$11, 100%, $F$11)</f>
        <v>34.9054</v>
      </c>
      <c r="H966" s="4">
        <f>CHOOSE( CONTROL!$C$32, 35.8058, 35.8056) * CHOOSE(CONTROL!$C$15, $D$11, 100%, $F$11)</f>
        <v>35.805799999999998</v>
      </c>
      <c r="I966" s="8">
        <f>CHOOSE( CONTROL!$C$32, 34.3959, 34.3956) * CHOOSE(CONTROL!$C$15, $D$11, 100%, $F$11)</f>
        <v>34.395899999999997</v>
      </c>
      <c r="J966" s="4">
        <f>CHOOSE( CONTROL!$C$32, 34.2647, 34.2645) * CHOOSE(CONTROL!$C$15, $D$11, 100%, $F$11)</f>
        <v>34.264699999999998</v>
      </c>
      <c r="K966" s="4"/>
      <c r="L966" s="9">
        <v>26.469899999999999</v>
      </c>
      <c r="M966" s="9">
        <v>10.8962</v>
      </c>
      <c r="N966" s="9">
        <v>4.4660000000000002</v>
      </c>
      <c r="O966" s="9">
        <v>0.33789999999999998</v>
      </c>
      <c r="P966" s="9">
        <v>1.1676</v>
      </c>
      <c r="Q966" s="9">
        <v>17.782800000000002</v>
      </c>
      <c r="R966" s="9"/>
      <c r="S966" s="11"/>
    </row>
    <row r="967" spans="1:19" ht="15.75">
      <c r="A967" s="13">
        <v>70584</v>
      </c>
      <c r="B967" s="8">
        <f>CHOOSE( CONTROL!$C$32, 34.5637, 34.5634) * CHOOSE(CONTROL!$C$15, $D$11, 100%, $F$11)</f>
        <v>34.563699999999997</v>
      </c>
      <c r="C967" s="8">
        <f>CHOOSE( CONTROL!$C$32, 34.5688, 34.5685) * CHOOSE(CONTROL!$C$15, $D$11, 100%, $F$11)</f>
        <v>34.568800000000003</v>
      </c>
      <c r="D967" s="8">
        <f>CHOOSE( CONTROL!$C$32, 34.5388, 34.5385) * CHOOSE( CONTROL!$C$15, $D$11, 100%, $F$11)</f>
        <v>34.538800000000002</v>
      </c>
      <c r="E967" s="12">
        <f>CHOOSE( CONTROL!$C$32, 34.5492, 34.5489) * CHOOSE( CONTROL!$C$15, $D$11, 100%, $F$11)</f>
        <v>34.549199999999999</v>
      </c>
      <c r="F967" s="4">
        <f>CHOOSE( CONTROL!$C$32, 35.229, 35.2287) * CHOOSE(CONTROL!$C$15, $D$11, 100%, $F$11)</f>
        <v>35.228999999999999</v>
      </c>
      <c r="G967" s="8">
        <f>CHOOSE( CONTROL!$C$32, 34.1494, 34.1491) * CHOOSE( CONTROL!$C$15, $D$11, 100%, $F$11)</f>
        <v>34.1494</v>
      </c>
      <c r="H967" s="4">
        <f>CHOOSE( CONTROL!$C$32, 35.0631, 35.0628) * CHOOSE(CONTROL!$C$15, $D$11, 100%, $F$11)</f>
        <v>35.063099999999999</v>
      </c>
      <c r="I967" s="8">
        <f>CHOOSE( CONTROL!$C$32, 33.6309, 33.6307) * CHOOSE(CONTROL!$C$15, $D$11, 100%, $F$11)</f>
        <v>33.630899999999997</v>
      </c>
      <c r="J967" s="4">
        <f>CHOOSE( CONTROL!$C$32, 33.5353, 33.5351) * CHOOSE(CONTROL!$C$15, $D$11, 100%, $F$11)</f>
        <v>33.535299999999999</v>
      </c>
      <c r="K967" s="4"/>
      <c r="L967" s="9">
        <v>29.306000000000001</v>
      </c>
      <c r="M967" s="9">
        <v>12.063700000000001</v>
      </c>
      <c r="N967" s="9">
        <v>4.9444999999999997</v>
      </c>
      <c r="O967" s="9">
        <v>0.37409999999999999</v>
      </c>
      <c r="P967" s="9">
        <v>1.2927</v>
      </c>
      <c r="Q967" s="9">
        <v>19.688099999999999</v>
      </c>
      <c r="R967" s="9"/>
      <c r="S967" s="11"/>
    </row>
    <row r="968" spans="1:19" ht="15.75">
      <c r="A968" s="13">
        <v>70614</v>
      </c>
      <c r="B968" s="8">
        <f>CHOOSE( CONTROL!$C$32, 35.0897, 35.0894) * CHOOSE(CONTROL!$C$15, $D$11, 100%, $F$11)</f>
        <v>35.089700000000001</v>
      </c>
      <c r="C968" s="8">
        <f>CHOOSE( CONTROL!$C$32, 35.0942, 35.0939) * CHOOSE(CONTROL!$C$15, $D$11, 100%, $F$11)</f>
        <v>35.094200000000001</v>
      </c>
      <c r="D968" s="8">
        <f>CHOOSE( CONTROL!$C$32, 35.0937, 35.0934) * CHOOSE( CONTROL!$C$15, $D$11, 100%, $F$11)</f>
        <v>35.093699999999998</v>
      </c>
      <c r="E968" s="12">
        <f>CHOOSE( CONTROL!$C$32, 35.0934, 35.0931) * CHOOSE( CONTROL!$C$15, $D$11, 100%, $F$11)</f>
        <v>35.093400000000003</v>
      </c>
      <c r="F968" s="4">
        <f>CHOOSE( CONTROL!$C$32, 35.798, 35.7977) * CHOOSE(CONTROL!$C$15, $D$11, 100%, $F$11)</f>
        <v>35.798000000000002</v>
      </c>
      <c r="G968" s="8">
        <f>CHOOSE( CONTROL!$C$32, 34.6854, 34.6852) * CHOOSE( CONTROL!$C$15, $D$11, 100%, $F$11)</f>
        <v>34.685400000000001</v>
      </c>
      <c r="H968" s="4">
        <f>CHOOSE( CONTROL!$C$32, 35.6254, 35.6251) * CHOOSE(CONTROL!$C$15, $D$11, 100%, $F$11)</f>
        <v>35.625399999999999</v>
      </c>
      <c r="I968" s="8">
        <f>CHOOSE( CONTROL!$C$32, 34.1414, 34.1411) * CHOOSE(CONTROL!$C$15, $D$11, 100%, $F$11)</f>
        <v>34.141399999999997</v>
      </c>
      <c r="J968" s="4">
        <f>CHOOSE( CONTROL!$C$32, 34.045, 34.0448) * CHOOSE(CONTROL!$C$15, $D$11, 100%, $F$11)</f>
        <v>34.045000000000002</v>
      </c>
      <c r="K968" s="4"/>
      <c r="L968" s="9">
        <v>30.092199999999998</v>
      </c>
      <c r="M968" s="9">
        <v>11.6745</v>
      </c>
      <c r="N968" s="9">
        <v>4.7850000000000001</v>
      </c>
      <c r="O968" s="9">
        <v>0.36199999999999999</v>
      </c>
      <c r="P968" s="9">
        <v>1.2509999999999999</v>
      </c>
      <c r="Q968" s="9">
        <v>19.053000000000001</v>
      </c>
      <c r="R968" s="9"/>
      <c r="S968" s="11"/>
    </row>
    <row r="969" spans="1:19" ht="15.75">
      <c r="A969" s="13">
        <v>70645</v>
      </c>
      <c r="B969" s="8">
        <f>CHOOSE( CONTROL!$C$32, 36.0259, 36.0255) * CHOOSE(CONTROL!$C$15, $D$11, 100%, $F$11)</f>
        <v>36.0259</v>
      </c>
      <c r="C969" s="8">
        <f>CHOOSE( CONTROL!$C$32, 36.0339, 36.0334) * CHOOSE(CONTROL!$C$15, $D$11, 100%, $F$11)</f>
        <v>36.033900000000003</v>
      </c>
      <c r="D969" s="8">
        <f>CHOOSE( CONTROL!$C$32, 36.0282, 36.0277) * CHOOSE( CONTROL!$C$15, $D$11, 100%, $F$11)</f>
        <v>36.028199999999998</v>
      </c>
      <c r="E969" s="12">
        <f>CHOOSE( CONTROL!$C$32, 36.029, 36.0286) * CHOOSE( CONTROL!$C$15, $D$11, 100%, $F$11)</f>
        <v>36.029000000000003</v>
      </c>
      <c r="F969" s="4">
        <f>CHOOSE( CONTROL!$C$32, 36.7329, 36.7324) * CHOOSE(CONTROL!$C$15, $D$11, 100%, $F$11)</f>
        <v>36.732900000000001</v>
      </c>
      <c r="G969" s="8">
        <f>CHOOSE( CONTROL!$C$32, 35.6097, 35.6093) * CHOOSE( CONTROL!$C$15, $D$11, 100%, $F$11)</f>
        <v>35.609699999999997</v>
      </c>
      <c r="H969" s="4">
        <f>CHOOSE( CONTROL!$C$32, 36.5493, 36.5489) * CHOOSE(CONTROL!$C$15, $D$11, 100%, $F$11)</f>
        <v>36.549300000000002</v>
      </c>
      <c r="I969" s="8">
        <f>CHOOSE( CONTROL!$C$32, 35.0498, 35.0493) * CHOOSE(CONTROL!$C$15, $D$11, 100%, $F$11)</f>
        <v>35.049799999999998</v>
      </c>
      <c r="J969" s="4">
        <f>CHOOSE( CONTROL!$C$32, 34.9523, 34.9519) * CHOOSE(CONTROL!$C$15, $D$11, 100%, $F$11)</f>
        <v>34.952300000000001</v>
      </c>
      <c r="K969" s="4"/>
      <c r="L969" s="9">
        <v>30.7165</v>
      </c>
      <c r="M969" s="9">
        <v>12.063700000000001</v>
      </c>
      <c r="N969" s="9">
        <v>4.9444999999999997</v>
      </c>
      <c r="O969" s="9">
        <v>0.37409999999999999</v>
      </c>
      <c r="P969" s="9">
        <v>1.2927</v>
      </c>
      <c r="Q969" s="9">
        <v>19.688099999999999</v>
      </c>
      <c r="R969" s="9"/>
      <c r="S969" s="11"/>
    </row>
    <row r="970" spans="1:19" ht="15.75">
      <c r="A970" s="13">
        <v>70675</v>
      </c>
      <c r="B970" s="8">
        <f>CHOOSE( CONTROL!$C$32, 35.4469, 35.4464) * CHOOSE(CONTROL!$C$15, $D$11, 100%, $F$11)</f>
        <v>35.446899999999999</v>
      </c>
      <c r="C970" s="8">
        <f>CHOOSE( CONTROL!$C$32, 35.4549, 35.4544) * CHOOSE(CONTROL!$C$15, $D$11, 100%, $F$11)</f>
        <v>35.454900000000002</v>
      </c>
      <c r="D970" s="8">
        <f>CHOOSE( CONTROL!$C$32, 35.4496, 35.4491) * CHOOSE( CONTROL!$C$15, $D$11, 100%, $F$11)</f>
        <v>35.449599999999997</v>
      </c>
      <c r="E970" s="12">
        <f>CHOOSE( CONTROL!$C$32, 35.4503, 35.4498) * CHOOSE( CONTROL!$C$15, $D$11, 100%, $F$11)</f>
        <v>35.450299999999999</v>
      </c>
      <c r="F970" s="4">
        <f>CHOOSE( CONTROL!$C$32, 36.1538, 36.1534) * CHOOSE(CONTROL!$C$15, $D$11, 100%, $F$11)</f>
        <v>36.153799999999997</v>
      </c>
      <c r="G970" s="8">
        <f>CHOOSE( CONTROL!$C$32, 35.0378, 35.0374) * CHOOSE( CONTROL!$C$15, $D$11, 100%, $F$11)</f>
        <v>35.037799999999997</v>
      </c>
      <c r="H970" s="4">
        <f>CHOOSE( CONTROL!$C$32, 35.9771, 35.9766) * CHOOSE(CONTROL!$C$15, $D$11, 100%, $F$11)</f>
        <v>35.9771</v>
      </c>
      <c r="I970" s="8">
        <f>CHOOSE( CONTROL!$C$32, 34.4889, 34.4885) * CHOOSE(CONTROL!$C$15, $D$11, 100%, $F$11)</f>
        <v>34.488900000000001</v>
      </c>
      <c r="J970" s="4">
        <f>CHOOSE( CONTROL!$C$32, 34.3904, 34.39) * CHOOSE(CONTROL!$C$15, $D$11, 100%, $F$11)</f>
        <v>34.3904</v>
      </c>
      <c r="K970" s="4"/>
      <c r="L970" s="9">
        <v>29.7257</v>
      </c>
      <c r="M970" s="9">
        <v>11.6745</v>
      </c>
      <c r="N970" s="9">
        <v>4.7850000000000001</v>
      </c>
      <c r="O970" s="9">
        <v>0.36199999999999999</v>
      </c>
      <c r="P970" s="9">
        <v>1.2509999999999999</v>
      </c>
      <c r="Q970" s="9">
        <v>19.053000000000001</v>
      </c>
      <c r="R970" s="9"/>
      <c r="S970" s="11"/>
    </row>
    <row r="971" spans="1:19" ht="15.75">
      <c r="A971" s="13">
        <v>70706</v>
      </c>
      <c r="B971" s="8">
        <f>CHOOSE( CONTROL!$C$32, 36.9717, 36.9712) * CHOOSE(CONTROL!$C$15, $D$11, 100%, $F$11)</f>
        <v>36.971699999999998</v>
      </c>
      <c r="C971" s="8">
        <f>CHOOSE( CONTROL!$C$32, 36.9797, 36.9792) * CHOOSE(CONTROL!$C$15, $D$11, 100%, $F$11)</f>
        <v>36.979700000000001</v>
      </c>
      <c r="D971" s="8">
        <f>CHOOSE( CONTROL!$C$32, 36.9748, 36.9744) * CHOOSE( CONTROL!$C$15, $D$11, 100%, $F$11)</f>
        <v>36.974800000000002</v>
      </c>
      <c r="E971" s="12">
        <f>CHOOSE( CONTROL!$C$32, 36.9754, 36.9749) * CHOOSE( CONTROL!$C$15, $D$11, 100%, $F$11)</f>
        <v>36.9754</v>
      </c>
      <c r="F971" s="4">
        <f>CHOOSE( CONTROL!$C$32, 37.6786, 37.6782) * CHOOSE(CONTROL!$C$15, $D$11, 100%, $F$11)</f>
        <v>37.678600000000003</v>
      </c>
      <c r="G971" s="8">
        <f>CHOOSE( CONTROL!$C$32, 36.5451, 36.5446) * CHOOSE( CONTROL!$C$15, $D$11, 100%, $F$11)</f>
        <v>36.545099999999998</v>
      </c>
      <c r="H971" s="4">
        <f>CHOOSE( CONTROL!$C$32, 37.484, 37.4836) * CHOOSE(CONTROL!$C$15, $D$11, 100%, $F$11)</f>
        <v>37.484000000000002</v>
      </c>
      <c r="I971" s="8">
        <f>CHOOSE( CONTROL!$C$32, 35.9711, 35.9706) * CHOOSE(CONTROL!$C$15, $D$11, 100%, $F$11)</f>
        <v>35.9711</v>
      </c>
      <c r="J971" s="4">
        <f>CHOOSE( CONTROL!$C$32, 35.8702, 35.8698) * CHOOSE(CONTROL!$C$15, $D$11, 100%, $F$11)</f>
        <v>35.870199999999997</v>
      </c>
      <c r="K971" s="4"/>
      <c r="L971" s="9">
        <v>30.7165</v>
      </c>
      <c r="M971" s="9">
        <v>12.063700000000001</v>
      </c>
      <c r="N971" s="9">
        <v>4.9444999999999997</v>
      </c>
      <c r="O971" s="9">
        <v>0.37409999999999999</v>
      </c>
      <c r="P971" s="9">
        <v>1.2927</v>
      </c>
      <c r="Q971" s="9">
        <v>19.688099999999999</v>
      </c>
      <c r="R971" s="9"/>
      <c r="S971" s="11"/>
    </row>
    <row r="972" spans="1:19" ht="15.75">
      <c r="A972" s="13">
        <v>70737</v>
      </c>
      <c r="B972" s="8">
        <f>CHOOSE( CONTROL!$C$32, 34.1186, 34.1182) * CHOOSE(CONTROL!$C$15, $D$11, 100%, $F$11)</f>
        <v>34.118600000000001</v>
      </c>
      <c r="C972" s="8">
        <f>CHOOSE( CONTROL!$C$32, 34.1266, 34.1262) * CHOOSE(CONTROL!$C$15, $D$11, 100%, $F$11)</f>
        <v>34.126600000000003</v>
      </c>
      <c r="D972" s="8">
        <f>CHOOSE( CONTROL!$C$32, 34.1219, 34.1214) * CHOOSE( CONTROL!$C$15, $D$11, 100%, $F$11)</f>
        <v>34.121899999999997</v>
      </c>
      <c r="E972" s="12">
        <f>CHOOSE( CONTROL!$C$32, 34.1224, 34.1219) * CHOOSE( CONTROL!$C$15, $D$11, 100%, $F$11)</f>
        <v>34.122399999999999</v>
      </c>
      <c r="F972" s="4">
        <f>CHOOSE( CONTROL!$C$32, 34.8256, 34.8251) * CHOOSE(CONTROL!$C$15, $D$11, 100%, $F$11)</f>
        <v>34.825600000000001</v>
      </c>
      <c r="G972" s="8">
        <f>CHOOSE( CONTROL!$C$32, 33.7256, 33.7251) * CHOOSE( CONTROL!$C$15, $D$11, 100%, $F$11)</f>
        <v>33.7256</v>
      </c>
      <c r="H972" s="4">
        <f>CHOOSE( CONTROL!$C$32, 34.6644, 34.6639) * CHOOSE(CONTROL!$C$15, $D$11, 100%, $F$11)</f>
        <v>34.664400000000001</v>
      </c>
      <c r="I972" s="8">
        <f>CHOOSE( CONTROL!$C$32, 33.2012, 33.2008) * CHOOSE(CONTROL!$C$15, $D$11, 100%, $F$11)</f>
        <v>33.2012</v>
      </c>
      <c r="J972" s="4">
        <f>CHOOSE( CONTROL!$C$32, 33.1013, 33.1009) * CHOOSE(CONTROL!$C$15, $D$11, 100%, $F$11)</f>
        <v>33.101300000000002</v>
      </c>
      <c r="K972" s="4"/>
      <c r="L972" s="9">
        <v>30.7165</v>
      </c>
      <c r="M972" s="9">
        <v>12.063700000000001</v>
      </c>
      <c r="N972" s="9">
        <v>4.9444999999999997</v>
      </c>
      <c r="O972" s="9">
        <v>0.37409999999999999</v>
      </c>
      <c r="P972" s="9">
        <v>1.2927</v>
      </c>
      <c r="Q972" s="9">
        <v>19.688099999999999</v>
      </c>
      <c r="R972" s="9"/>
      <c r="S972" s="11"/>
    </row>
    <row r="973" spans="1:19" ht="15.75">
      <c r="A973" s="13">
        <v>70767</v>
      </c>
      <c r="B973" s="8">
        <f>CHOOSE( CONTROL!$C$32, 33.4042, 33.4037) * CHOOSE(CONTROL!$C$15, $D$11, 100%, $F$11)</f>
        <v>33.404200000000003</v>
      </c>
      <c r="C973" s="8">
        <f>CHOOSE( CONTROL!$C$32, 33.4122, 33.4117) * CHOOSE(CONTROL!$C$15, $D$11, 100%, $F$11)</f>
        <v>33.412199999999999</v>
      </c>
      <c r="D973" s="8">
        <f>CHOOSE( CONTROL!$C$32, 33.4073, 33.4069) * CHOOSE( CONTROL!$C$15, $D$11, 100%, $F$11)</f>
        <v>33.407299999999999</v>
      </c>
      <c r="E973" s="12">
        <f>CHOOSE( CONTROL!$C$32, 33.4079, 33.4074) * CHOOSE( CONTROL!$C$15, $D$11, 100%, $F$11)</f>
        <v>33.407899999999998</v>
      </c>
      <c r="F973" s="4">
        <f>CHOOSE( CONTROL!$C$32, 34.1111, 34.1107) * CHOOSE(CONTROL!$C$15, $D$11, 100%, $F$11)</f>
        <v>34.1111</v>
      </c>
      <c r="G973" s="8">
        <f>CHOOSE( CONTROL!$C$32, 33.0194, 33.0189) * CHOOSE( CONTROL!$C$15, $D$11, 100%, $F$11)</f>
        <v>33.019399999999997</v>
      </c>
      <c r="H973" s="4">
        <f>CHOOSE( CONTROL!$C$32, 33.9583, 33.9579) * CHOOSE(CONTROL!$C$15, $D$11, 100%, $F$11)</f>
        <v>33.958300000000001</v>
      </c>
      <c r="I973" s="8">
        <f>CHOOSE( CONTROL!$C$32, 32.507, 32.5066) * CHOOSE(CONTROL!$C$15, $D$11, 100%, $F$11)</f>
        <v>32.506999999999998</v>
      </c>
      <c r="J973" s="4">
        <f>CHOOSE( CONTROL!$C$32, 32.408, 32.4075) * CHOOSE(CONTROL!$C$15, $D$11, 100%, $F$11)</f>
        <v>32.408000000000001</v>
      </c>
      <c r="K973" s="4"/>
      <c r="L973" s="9">
        <v>29.7257</v>
      </c>
      <c r="M973" s="9">
        <v>11.6745</v>
      </c>
      <c r="N973" s="9">
        <v>4.7850000000000001</v>
      </c>
      <c r="O973" s="9">
        <v>0.36199999999999999</v>
      </c>
      <c r="P973" s="9">
        <v>1.2509999999999999</v>
      </c>
      <c r="Q973" s="9">
        <v>19.053000000000001</v>
      </c>
      <c r="R973" s="9"/>
      <c r="S973" s="11"/>
    </row>
    <row r="974" spans="1:19" ht="15.75">
      <c r="A974" s="13">
        <v>70798</v>
      </c>
      <c r="B974" s="8">
        <f>CHOOSE( CONTROL!$C$32, 34.8857, 34.8854) * CHOOSE(CONTROL!$C$15, $D$11, 100%, $F$11)</f>
        <v>34.8857</v>
      </c>
      <c r="C974" s="8">
        <f>CHOOSE( CONTROL!$C$32, 34.891, 34.8908) * CHOOSE(CONTROL!$C$15, $D$11, 100%, $F$11)</f>
        <v>34.890999999999998</v>
      </c>
      <c r="D974" s="8">
        <f>CHOOSE( CONTROL!$C$32, 34.8912, 34.891) * CHOOSE( CONTROL!$C$15, $D$11, 100%, $F$11)</f>
        <v>34.891199999999998</v>
      </c>
      <c r="E974" s="12">
        <f>CHOOSE( CONTROL!$C$32, 34.8906, 34.8904) * CHOOSE( CONTROL!$C$15, $D$11, 100%, $F$11)</f>
        <v>34.890599999999999</v>
      </c>
      <c r="F974" s="4">
        <f>CHOOSE( CONTROL!$C$32, 35.5944, 35.5941) * CHOOSE(CONTROL!$C$15, $D$11, 100%, $F$11)</f>
        <v>35.5944</v>
      </c>
      <c r="G974" s="8">
        <f>CHOOSE( CONTROL!$C$32, 34.4852, 34.4849) * CHOOSE( CONTROL!$C$15, $D$11, 100%, $F$11)</f>
        <v>34.485199999999999</v>
      </c>
      <c r="H974" s="4">
        <f>CHOOSE( CONTROL!$C$32, 35.4242, 35.4239) * CHOOSE(CONTROL!$C$15, $D$11, 100%, $F$11)</f>
        <v>35.424199999999999</v>
      </c>
      <c r="I974" s="8">
        <f>CHOOSE( CONTROL!$C$32, 33.9479, 33.9476) * CHOOSE(CONTROL!$C$15, $D$11, 100%, $F$11)</f>
        <v>33.947899999999997</v>
      </c>
      <c r="J974" s="4">
        <f>CHOOSE( CONTROL!$C$32, 33.8474, 33.8472) * CHOOSE(CONTROL!$C$15, $D$11, 100%, $F$11)</f>
        <v>33.8474</v>
      </c>
      <c r="K974" s="4"/>
      <c r="L974" s="9">
        <v>31.095300000000002</v>
      </c>
      <c r="M974" s="9">
        <v>12.063700000000001</v>
      </c>
      <c r="N974" s="9">
        <v>4.9444999999999997</v>
      </c>
      <c r="O974" s="9">
        <v>0.37409999999999999</v>
      </c>
      <c r="P974" s="9">
        <v>1.2927</v>
      </c>
      <c r="Q974" s="9">
        <v>19.688099999999999</v>
      </c>
      <c r="R974" s="9"/>
      <c r="S974" s="11"/>
    </row>
    <row r="975" spans="1:19" ht="15.75">
      <c r="A975" s="13">
        <v>70828</v>
      </c>
      <c r="B975" s="8">
        <f>CHOOSE( CONTROL!$C$32, 37.6234, 37.6231) * CHOOSE(CONTROL!$C$15, $D$11, 100%, $F$11)</f>
        <v>37.623399999999997</v>
      </c>
      <c r="C975" s="8">
        <f>CHOOSE( CONTROL!$C$32, 37.6285, 37.6282) * CHOOSE(CONTROL!$C$15, $D$11, 100%, $F$11)</f>
        <v>37.628500000000003</v>
      </c>
      <c r="D975" s="8">
        <f>CHOOSE( CONTROL!$C$32, 37.5963, 37.5961) * CHOOSE( CONTROL!$C$15, $D$11, 100%, $F$11)</f>
        <v>37.596299999999999</v>
      </c>
      <c r="E975" s="12">
        <f>CHOOSE( CONTROL!$C$32, 37.6075, 37.6073) * CHOOSE( CONTROL!$C$15, $D$11, 100%, $F$11)</f>
        <v>37.607500000000002</v>
      </c>
      <c r="F975" s="4">
        <f>CHOOSE( CONTROL!$C$32, 38.2887, 38.2884) * CHOOSE(CONTROL!$C$15, $D$11, 100%, $F$11)</f>
        <v>38.288699999999999</v>
      </c>
      <c r="G975" s="8">
        <f>CHOOSE( CONTROL!$C$32, 37.1802, 37.1799) * CHOOSE( CONTROL!$C$15, $D$11, 100%, $F$11)</f>
        <v>37.180199999999999</v>
      </c>
      <c r="H975" s="4">
        <f>CHOOSE( CONTROL!$C$32, 38.0869, 38.0867) * CHOOSE(CONTROL!$C$15, $D$11, 100%, $F$11)</f>
        <v>38.0869</v>
      </c>
      <c r="I975" s="8">
        <f>CHOOSE( CONTROL!$C$32, 36.6574, 36.6571) * CHOOSE(CONTROL!$C$15, $D$11, 100%, $F$11)</f>
        <v>36.657400000000003</v>
      </c>
      <c r="J975" s="4">
        <f>CHOOSE( CONTROL!$C$32, 36.5048, 36.5045) * CHOOSE(CONTROL!$C$15, $D$11, 100%, $F$11)</f>
        <v>36.504800000000003</v>
      </c>
      <c r="K975" s="4"/>
      <c r="L975" s="9">
        <v>28.360600000000002</v>
      </c>
      <c r="M975" s="9">
        <v>11.6745</v>
      </c>
      <c r="N975" s="9">
        <v>4.7850000000000001</v>
      </c>
      <c r="O975" s="9">
        <v>0.36199999999999999</v>
      </c>
      <c r="P975" s="9">
        <v>1.2509999999999999</v>
      </c>
      <c r="Q975" s="9">
        <v>19.053000000000001</v>
      </c>
      <c r="R975" s="9"/>
      <c r="S975" s="11"/>
    </row>
    <row r="976" spans="1:19" ht="15.75">
      <c r="A976" s="13">
        <v>70859</v>
      </c>
      <c r="B976" s="8">
        <f>CHOOSE( CONTROL!$C$32, 37.555, 37.5547) * CHOOSE(CONTROL!$C$15, $D$11, 100%, $F$11)</f>
        <v>37.555</v>
      </c>
      <c r="C976" s="8">
        <f>CHOOSE( CONTROL!$C$32, 37.5601, 37.5598) * CHOOSE(CONTROL!$C$15, $D$11, 100%, $F$11)</f>
        <v>37.560099999999998</v>
      </c>
      <c r="D976" s="8">
        <f>CHOOSE( CONTROL!$C$32, 37.5298, 37.5295) * CHOOSE( CONTROL!$C$15, $D$11, 100%, $F$11)</f>
        <v>37.529800000000002</v>
      </c>
      <c r="E976" s="12">
        <f>CHOOSE( CONTROL!$C$32, 37.5403, 37.54) * CHOOSE( CONTROL!$C$15, $D$11, 100%, $F$11)</f>
        <v>37.540300000000002</v>
      </c>
      <c r="F976" s="4">
        <f>CHOOSE( CONTROL!$C$32, 38.2203, 38.22) * CHOOSE(CONTROL!$C$15, $D$11, 100%, $F$11)</f>
        <v>38.220300000000002</v>
      </c>
      <c r="G976" s="8">
        <f>CHOOSE( CONTROL!$C$32, 37.1139, 37.1136) * CHOOSE( CONTROL!$C$15, $D$11, 100%, $F$11)</f>
        <v>37.113900000000001</v>
      </c>
      <c r="H976" s="4">
        <f>CHOOSE( CONTROL!$C$32, 38.0193, 38.019) * CHOOSE(CONTROL!$C$15, $D$11, 100%, $F$11)</f>
        <v>38.019300000000001</v>
      </c>
      <c r="I976" s="8">
        <f>CHOOSE( CONTROL!$C$32, 36.5967, 36.5964) * CHOOSE(CONTROL!$C$15, $D$11, 100%, $F$11)</f>
        <v>36.596699999999998</v>
      </c>
      <c r="J976" s="4">
        <f>CHOOSE( CONTROL!$C$32, 36.4384, 36.4381) * CHOOSE(CONTROL!$C$15, $D$11, 100%, $F$11)</f>
        <v>36.438400000000001</v>
      </c>
      <c r="K976" s="4"/>
      <c r="L976" s="9">
        <v>29.306000000000001</v>
      </c>
      <c r="M976" s="9">
        <v>12.063700000000001</v>
      </c>
      <c r="N976" s="9">
        <v>4.9444999999999997</v>
      </c>
      <c r="O976" s="9">
        <v>0.37409999999999999</v>
      </c>
      <c r="P976" s="9">
        <v>1.2927</v>
      </c>
      <c r="Q976" s="9">
        <v>19.688099999999999</v>
      </c>
      <c r="R976" s="9"/>
      <c r="S976" s="11"/>
    </row>
    <row r="977" spans="1:19" ht="15.75">
      <c r="A977" s="13">
        <v>70890</v>
      </c>
      <c r="B977" s="8">
        <f>CHOOSE( CONTROL!$C$32, 38.6625, 38.6622) * CHOOSE(CONTROL!$C$15, $D$11, 100%, $F$11)</f>
        <v>38.662500000000001</v>
      </c>
      <c r="C977" s="8">
        <f>CHOOSE( CONTROL!$C$32, 38.6675, 38.6673) * CHOOSE(CONTROL!$C$15, $D$11, 100%, $F$11)</f>
        <v>38.667499999999997</v>
      </c>
      <c r="D977" s="8">
        <f>CHOOSE( CONTROL!$C$32, 38.6652, 38.6649) * CHOOSE( CONTROL!$C$15, $D$11, 100%, $F$11)</f>
        <v>38.665199999999999</v>
      </c>
      <c r="E977" s="12">
        <f>CHOOSE( CONTROL!$C$32, 38.6655, 38.6652) * CHOOSE( CONTROL!$C$15, $D$11, 100%, $F$11)</f>
        <v>38.665500000000002</v>
      </c>
      <c r="F977" s="4">
        <f>CHOOSE( CONTROL!$C$32, 39.3277, 39.3275) * CHOOSE(CONTROL!$C$15, $D$11, 100%, $F$11)</f>
        <v>39.3277</v>
      </c>
      <c r="G977" s="8">
        <f>CHOOSE( CONTROL!$C$32, 38.2245, 38.2242) * CHOOSE( CONTROL!$C$15, $D$11, 100%, $F$11)</f>
        <v>38.224499999999999</v>
      </c>
      <c r="H977" s="4">
        <f>CHOOSE( CONTROL!$C$32, 39.1138, 39.1136) * CHOOSE(CONTROL!$C$15, $D$11, 100%, $F$11)</f>
        <v>39.113799999999998</v>
      </c>
      <c r="I977" s="8">
        <f>CHOOSE( CONTROL!$C$32, 37.6455, 37.6453) * CHOOSE(CONTROL!$C$15, $D$11, 100%, $F$11)</f>
        <v>37.645499999999998</v>
      </c>
      <c r="J977" s="4">
        <f>CHOOSE( CONTROL!$C$32, 37.5132, 37.5129) * CHOOSE(CONTROL!$C$15, $D$11, 100%, $F$11)</f>
        <v>37.513199999999998</v>
      </c>
      <c r="K977" s="4"/>
      <c r="L977" s="9">
        <v>29.306000000000001</v>
      </c>
      <c r="M977" s="9">
        <v>12.063700000000001</v>
      </c>
      <c r="N977" s="9">
        <v>4.9444999999999997</v>
      </c>
      <c r="O977" s="9">
        <v>0.37409999999999999</v>
      </c>
      <c r="P977" s="9">
        <v>1.2927</v>
      </c>
      <c r="Q977" s="9">
        <v>19.688099999999999</v>
      </c>
      <c r="R977" s="9"/>
      <c r="S977" s="11"/>
    </row>
    <row r="978" spans="1:19" ht="15.75">
      <c r="A978" s="13">
        <v>70918</v>
      </c>
      <c r="B978" s="8">
        <f>CHOOSE( CONTROL!$C$32, 36.1636, 36.1633) * CHOOSE(CONTROL!$C$15, $D$11, 100%, $F$11)</f>
        <v>36.163600000000002</v>
      </c>
      <c r="C978" s="8">
        <f>CHOOSE( CONTROL!$C$32, 36.1687, 36.1684) * CHOOSE(CONTROL!$C$15, $D$11, 100%, $F$11)</f>
        <v>36.168700000000001</v>
      </c>
      <c r="D978" s="8">
        <f>CHOOSE( CONTROL!$C$32, 36.1486, 36.1484) * CHOOSE( CONTROL!$C$15, $D$11, 100%, $F$11)</f>
        <v>36.148600000000002</v>
      </c>
      <c r="E978" s="12">
        <f>CHOOSE( CONTROL!$C$32, 36.1554, 36.1552) * CHOOSE( CONTROL!$C$15, $D$11, 100%, $F$11)</f>
        <v>36.1554</v>
      </c>
      <c r="F978" s="4">
        <f>CHOOSE( CONTROL!$C$32, 36.8289, 36.8286) * CHOOSE(CONTROL!$C$15, $D$11, 100%, $F$11)</f>
        <v>36.828899999999997</v>
      </c>
      <c r="G978" s="8">
        <f>CHOOSE( CONTROL!$C$32, 35.7438, 35.7435) * CHOOSE( CONTROL!$C$15, $D$11, 100%, $F$11)</f>
        <v>35.7438</v>
      </c>
      <c r="H978" s="4">
        <f>CHOOSE( CONTROL!$C$32, 36.6442, 36.644) * CHOOSE(CONTROL!$C$15, $D$11, 100%, $F$11)</f>
        <v>36.644199999999998</v>
      </c>
      <c r="I978" s="8">
        <f>CHOOSE( CONTROL!$C$32, 35.2196, 35.2193) * CHOOSE(CONTROL!$C$15, $D$11, 100%, $F$11)</f>
        <v>35.2196</v>
      </c>
      <c r="J978" s="4">
        <f>CHOOSE( CONTROL!$C$32, 35.088, 35.0878) * CHOOSE(CONTROL!$C$15, $D$11, 100%, $F$11)</f>
        <v>35.088000000000001</v>
      </c>
      <c r="K978" s="4"/>
      <c r="L978" s="9">
        <v>26.469899999999999</v>
      </c>
      <c r="M978" s="9">
        <v>10.8962</v>
      </c>
      <c r="N978" s="9">
        <v>4.4660000000000002</v>
      </c>
      <c r="O978" s="9">
        <v>0.33789999999999998</v>
      </c>
      <c r="P978" s="9">
        <v>1.1676</v>
      </c>
      <c r="Q978" s="9">
        <v>17.782800000000002</v>
      </c>
      <c r="R978" s="9"/>
      <c r="S978" s="11"/>
    </row>
    <row r="979" spans="1:19" ht="15.75">
      <c r="A979" s="13">
        <v>70949</v>
      </c>
      <c r="B979" s="8">
        <f>CHOOSE( CONTROL!$C$32, 35.394, 35.3937) * CHOOSE(CONTROL!$C$15, $D$11, 100%, $F$11)</f>
        <v>35.393999999999998</v>
      </c>
      <c r="C979" s="8">
        <f>CHOOSE( CONTROL!$C$32, 35.399, 35.3988) * CHOOSE(CONTROL!$C$15, $D$11, 100%, $F$11)</f>
        <v>35.399000000000001</v>
      </c>
      <c r="D979" s="8">
        <f>CHOOSE( CONTROL!$C$32, 35.3691, 35.3688) * CHOOSE( CONTROL!$C$15, $D$11, 100%, $F$11)</f>
        <v>35.369100000000003</v>
      </c>
      <c r="E979" s="12">
        <f>CHOOSE( CONTROL!$C$32, 35.3795, 35.3792) * CHOOSE( CONTROL!$C$15, $D$11, 100%, $F$11)</f>
        <v>35.3795</v>
      </c>
      <c r="F979" s="4">
        <f>CHOOSE( CONTROL!$C$32, 36.0592, 36.059) * CHOOSE(CONTROL!$C$15, $D$11, 100%, $F$11)</f>
        <v>36.059199999999997</v>
      </c>
      <c r="G979" s="8">
        <f>CHOOSE( CONTROL!$C$32, 34.9699, 34.9696) * CHOOSE( CONTROL!$C$15, $D$11, 100%, $F$11)</f>
        <v>34.969900000000003</v>
      </c>
      <c r="H979" s="4">
        <f>CHOOSE( CONTROL!$C$32, 35.8836, 35.8833) * CHOOSE(CONTROL!$C$15, $D$11, 100%, $F$11)</f>
        <v>35.883600000000001</v>
      </c>
      <c r="I979" s="8">
        <f>CHOOSE( CONTROL!$C$32, 34.4371, 34.4368) * CHOOSE(CONTROL!$C$15, $D$11, 100%, $F$11)</f>
        <v>34.437100000000001</v>
      </c>
      <c r="J979" s="4">
        <f>CHOOSE( CONTROL!$C$32, 34.3411, 34.3408) * CHOOSE(CONTROL!$C$15, $D$11, 100%, $F$11)</f>
        <v>34.341099999999997</v>
      </c>
      <c r="K979" s="4"/>
      <c r="L979" s="9">
        <v>29.306000000000001</v>
      </c>
      <c r="M979" s="9">
        <v>12.063700000000001</v>
      </c>
      <c r="N979" s="9">
        <v>4.9444999999999997</v>
      </c>
      <c r="O979" s="9">
        <v>0.37409999999999999</v>
      </c>
      <c r="P979" s="9">
        <v>1.2927</v>
      </c>
      <c r="Q979" s="9">
        <v>19.688099999999999</v>
      </c>
      <c r="R979" s="9"/>
      <c r="S979" s="11"/>
    </row>
    <row r="980" spans="1:19" ht="15.75">
      <c r="A980" s="13">
        <v>70979</v>
      </c>
      <c r="B980" s="8">
        <f>CHOOSE( CONTROL!$C$32, 35.9325, 35.9323) * CHOOSE(CONTROL!$C$15, $D$11, 100%, $F$11)</f>
        <v>35.932499999999997</v>
      </c>
      <c r="C980" s="8">
        <f>CHOOSE( CONTROL!$C$32, 35.937, 35.9368) * CHOOSE(CONTROL!$C$15, $D$11, 100%, $F$11)</f>
        <v>35.936999999999998</v>
      </c>
      <c r="D980" s="8">
        <f>CHOOSE( CONTROL!$C$32, 35.9365, 35.9363) * CHOOSE( CONTROL!$C$15, $D$11, 100%, $F$11)</f>
        <v>35.936500000000002</v>
      </c>
      <c r="E980" s="12">
        <f>CHOOSE( CONTROL!$C$32, 35.9362, 35.936) * CHOOSE( CONTROL!$C$15, $D$11, 100%, $F$11)</f>
        <v>35.936199999999999</v>
      </c>
      <c r="F980" s="4">
        <f>CHOOSE( CONTROL!$C$32, 36.6408, 36.6406) * CHOOSE(CONTROL!$C$15, $D$11, 100%, $F$11)</f>
        <v>36.640799999999999</v>
      </c>
      <c r="G980" s="8">
        <f>CHOOSE( CONTROL!$C$32, 35.5184, 35.5182) * CHOOSE( CONTROL!$C$15, $D$11, 100%, $F$11)</f>
        <v>35.5184</v>
      </c>
      <c r="H980" s="4">
        <f>CHOOSE( CONTROL!$C$32, 36.4584, 36.4581) * CHOOSE(CONTROL!$C$15, $D$11, 100%, $F$11)</f>
        <v>36.458399999999997</v>
      </c>
      <c r="I980" s="8">
        <f>CHOOSE( CONTROL!$C$32, 34.9598, 34.9596) * CHOOSE(CONTROL!$C$15, $D$11, 100%, $F$11)</f>
        <v>34.959800000000001</v>
      </c>
      <c r="J980" s="4">
        <f>CHOOSE( CONTROL!$C$32, 34.863, 34.8628) * CHOOSE(CONTROL!$C$15, $D$11, 100%, $F$11)</f>
        <v>34.863</v>
      </c>
      <c r="K980" s="4"/>
      <c r="L980" s="9">
        <v>30.092199999999998</v>
      </c>
      <c r="M980" s="9">
        <v>11.6745</v>
      </c>
      <c r="N980" s="9">
        <v>4.7850000000000001</v>
      </c>
      <c r="O980" s="9">
        <v>0.36199999999999999</v>
      </c>
      <c r="P980" s="9">
        <v>1.2509999999999999</v>
      </c>
      <c r="Q980" s="9">
        <v>19.053000000000001</v>
      </c>
      <c r="R980" s="9"/>
      <c r="S980" s="11"/>
    </row>
    <row r="981" spans="1:19" ht="15.75">
      <c r="A981" s="13">
        <v>71010</v>
      </c>
      <c r="B981" s="8">
        <f>CHOOSE( CONTROL!$C$32, 36.8913, 36.8908) * CHOOSE(CONTROL!$C$15, $D$11, 100%, $F$11)</f>
        <v>36.891300000000001</v>
      </c>
      <c r="C981" s="8">
        <f>CHOOSE( CONTROL!$C$32, 36.8992, 36.8988) * CHOOSE(CONTROL!$C$15, $D$11, 100%, $F$11)</f>
        <v>36.8992</v>
      </c>
      <c r="D981" s="8">
        <f>CHOOSE( CONTROL!$C$32, 36.8935, 36.8931) * CHOOSE( CONTROL!$C$15, $D$11, 100%, $F$11)</f>
        <v>36.893500000000003</v>
      </c>
      <c r="E981" s="12">
        <f>CHOOSE( CONTROL!$C$32, 36.8944, 36.8939) * CHOOSE( CONTROL!$C$15, $D$11, 100%, $F$11)</f>
        <v>36.894399999999997</v>
      </c>
      <c r="F981" s="4">
        <f>CHOOSE( CONTROL!$C$32, 37.5982, 37.5977) * CHOOSE(CONTROL!$C$15, $D$11, 100%, $F$11)</f>
        <v>37.598199999999999</v>
      </c>
      <c r="G981" s="8">
        <f>CHOOSE( CONTROL!$C$32, 36.4649, 36.4645) * CHOOSE( CONTROL!$C$15, $D$11, 100%, $F$11)</f>
        <v>36.4649</v>
      </c>
      <c r="H981" s="4">
        <f>CHOOSE( CONTROL!$C$32, 37.4045, 37.4041) * CHOOSE(CONTROL!$C$15, $D$11, 100%, $F$11)</f>
        <v>37.404499999999999</v>
      </c>
      <c r="I981" s="8">
        <f>CHOOSE( CONTROL!$C$32, 35.89, 35.8895) * CHOOSE(CONTROL!$C$15, $D$11, 100%, $F$11)</f>
        <v>35.89</v>
      </c>
      <c r="J981" s="4">
        <f>CHOOSE( CONTROL!$C$32, 35.7921, 35.7917) * CHOOSE(CONTROL!$C$15, $D$11, 100%, $F$11)</f>
        <v>35.792099999999998</v>
      </c>
      <c r="K981" s="4"/>
      <c r="L981" s="9">
        <v>30.7165</v>
      </c>
      <c r="M981" s="9">
        <v>12.063700000000001</v>
      </c>
      <c r="N981" s="9">
        <v>4.9444999999999997</v>
      </c>
      <c r="O981" s="9">
        <v>0.37409999999999999</v>
      </c>
      <c r="P981" s="9">
        <v>1.2927</v>
      </c>
      <c r="Q981" s="9">
        <v>19.688099999999999</v>
      </c>
      <c r="R981" s="9"/>
      <c r="S981" s="11"/>
    </row>
    <row r="982" spans="1:19" ht="15.75">
      <c r="A982" s="13">
        <v>71040</v>
      </c>
      <c r="B982" s="8">
        <f>CHOOSE( CONTROL!$C$32, 36.2983, 36.2979) * CHOOSE(CONTROL!$C$15, $D$11, 100%, $F$11)</f>
        <v>36.298299999999998</v>
      </c>
      <c r="C982" s="8">
        <f>CHOOSE( CONTROL!$C$32, 36.3063, 36.3058) * CHOOSE(CONTROL!$C$15, $D$11, 100%, $F$11)</f>
        <v>36.3063</v>
      </c>
      <c r="D982" s="8">
        <f>CHOOSE( CONTROL!$C$32, 36.301, 36.3005) * CHOOSE( CONTROL!$C$15, $D$11, 100%, $F$11)</f>
        <v>36.301000000000002</v>
      </c>
      <c r="E982" s="12">
        <f>CHOOSE( CONTROL!$C$32, 36.3017, 36.3012) * CHOOSE( CONTROL!$C$15, $D$11, 100%, $F$11)</f>
        <v>36.301699999999997</v>
      </c>
      <c r="F982" s="4">
        <f>CHOOSE( CONTROL!$C$32, 37.0053, 37.0048) * CHOOSE(CONTROL!$C$15, $D$11, 100%, $F$11)</f>
        <v>37.005299999999998</v>
      </c>
      <c r="G982" s="8">
        <f>CHOOSE( CONTROL!$C$32, 35.8793, 35.8788) * CHOOSE( CONTROL!$C$15, $D$11, 100%, $F$11)</f>
        <v>35.879300000000001</v>
      </c>
      <c r="H982" s="4">
        <f>CHOOSE( CONTROL!$C$32, 36.8185, 36.8181) * CHOOSE(CONTROL!$C$15, $D$11, 100%, $F$11)</f>
        <v>36.8185</v>
      </c>
      <c r="I982" s="8">
        <f>CHOOSE( CONTROL!$C$32, 35.3157, 35.3152) * CHOOSE(CONTROL!$C$15, $D$11, 100%, $F$11)</f>
        <v>35.3157</v>
      </c>
      <c r="J982" s="4">
        <f>CHOOSE( CONTROL!$C$32, 35.2167, 35.2163) * CHOOSE(CONTROL!$C$15, $D$11, 100%, $F$11)</f>
        <v>35.216700000000003</v>
      </c>
      <c r="K982" s="4"/>
      <c r="L982" s="9">
        <v>29.7257</v>
      </c>
      <c r="M982" s="9">
        <v>11.6745</v>
      </c>
      <c r="N982" s="9">
        <v>4.7850000000000001</v>
      </c>
      <c r="O982" s="9">
        <v>0.36199999999999999</v>
      </c>
      <c r="P982" s="9">
        <v>1.2509999999999999</v>
      </c>
      <c r="Q982" s="9">
        <v>19.053000000000001</v>
      </c>
      <c r="R982" s="9"/>
      <c r="S982" s="11"/>
    </row>
    <row r="983" spans="1:19" ht="15.75">
      <c r="A983" s="13">
        <v>71071</v>
      </c>
      <c r="B983" s="8">
        <f>CHOOSE( CONTROL!$C$32, 37.8597, 37.8593) * CHOOSE(CONTROL!$C$15, $D$11, 100%, $F$11)</f>
        <v>37.859699999999997</v>
      </c>
      <c r="C983" s="8">
        <f>CHOOSE( CONTROL!$C$32, 37.8677, 37.8673) * CHOOSE(CONTROL!$C$15, $D$11, 100%, $F$11)</f>
        <v>37.867699999999999</v>
      </c>
      <c r="D983" s="8">
        <f>CHOOSE( CONTROL!$C$32, 37.8629, 37.8624) * CHOOSE( CONTROL!$C$15, $D$11, 100%, $F$11)</f>
        <v>37.862900000000003</v>
      </c>
      <c r="E983" s="12">
        <f>CHOOSE( CONTROL!$C$32, 37.8634, 37.863) * CHOOSE( CONTROL!$C$15, $D$11, 100%, $F$11)</f>
        <v>37.863399999999999</v>
      </c>
      <c r="F983" s="4">
        <f>CHOOSE( CONTROL!$C$32, 38.5667, 38.5662) * CHOOSE(CONTROL!$C$15, $D$11, 100%, $F$11)</f>
        <v>38.566699999999997</v>
      </c>
      <c r="G983" s="8">
        <f>CHOOSE( CONTROL!$C$32, 37.4228, 37.4223) * CHOOSE( CONTROL!$C$15, $D$11, 100%, $F$11)</f>
        <v>37.422800000000002</v>
      </c>
      <c r="H983" s="4">
        <f>CHOOSE( CONTROL!$C$32, 38.3617, 38.3612) * CHOOSE(CONTROL!$C$15, $D$11, 100%, $F$11)</f>
        <v>38.361699999999999</v>
      </c>
      <c r="I983" s="8">
        <f>CHOOSE( CONTROL!$C$32, 36.8333, 36.8329) * CHOOSE(CONTROL!$C$15, $D$11, 100%, $F$11)</f>
        <v>36.833300000000001</v>
      </c>
      <c r="J983" s="4">
        <f>CHOOSE( CONTROL!$C$32, 36.7321, 36.7316) * CHOOSE(CONTROL!$C$15, $D$11, 100%, $F$11)</f>
        <v>36.732100000000003</v>
      </c>
      <c r="K983" s="4"/>
      <c r="L983" s="9">
        <v>30.7165</v>
      </c>
      <c r="M983" s="9">
        <v>12.063700000000001</v>
      </c>
      <c r="N983" s="9">
        <v>4.9444999999999997</v>
      </c>
      <c r="O983" s="9">
        <v>0.37409999999999999</v>
      </c>
      <c r="P983" s="9">
        <v>1.2927</v>
      </c>
      <c r="Q983" s="9">
        <v>19.688099999999999</v>
      </c>
      <c r="R983" s="9"/>
      <c r="S983" s="11"/>
    </row>
    <row r="984" spans="1:19" ht="15.75">
      <c r="A984" s="13">
        <v>71102</v>
      </c>
      <c r="B984" s="8">
        <f>CHOOSE( CONTROL!$C$32, 34.9381, 34.9377) * CHOOSE(CONTROL!$C$15, $D$11, 100%, $F$11)</f>
        <v>34.938099999999999</v>
      </c>
      <c r="C984" s="8">
        <f>CHOOSE( CONTROL!$C$32, 34.9461, 34.9457) * CHOOSE(CONTROL!$C$15, $D$11, 100%, $F$11)</f>
        <v>34.946100000000001</v>
      </c>
      <c r="D984" s="8">
        <f>CHOOSE( CONTROL!$C$32, 34.9414, 34.941) * CHOOSE( CONTROL!$C$15, $D$11, 100%, $F$11)</f>
        <v>34.941400000000002</v>
      </c>
      <c r="E984" s="12">
        <f>CHOOSE( CONTROL!$C$32, 34.9419, 34.9415) * CHOOSE( CONTROL!$C$15, $D$11, 100%, $F$11)</f>
        <v>34.941899999999997</v>
      </c>
      <c r="F984" s="4">
        <f>CHOOSE( CONTROL!$C$32, 35.6451, 35.6446) * CHOOSE(CONTROL!$C$15, $D$11, 100%, $F$11)</f>
        <v>35.645099999999999</v>
      </c>
      <c r="G984" s="8">
        <f>CHOOSE( CONTROL!$C$32, 34.5355, 34.535) * CHOOSE( CONTROL!$C$15, $D$11, 100%, $F$11)</f>
        <v>34.535499999999999</v>
      </c>
      <c r="H984" s="4">
        <f>CHOOSE( CONTROL!$C$32, 35.4743, 35.4739) * CHOOSE(CONTROL!$C$15, $D$11, 100%, $F$11)</f>
        <v>35.474299999999999</v>
      </c>
      <c r="I984" s="8">
        <f>CHOOSE( CONTROL!$C$32, 33.997, 33.9965) * CHOOSE(CONTROL!$C$15, $D$11, 100%, $F$11)</f>
        <v>33.997</v>
      </c>
      <c r="J984" s="4">
        <f>CHOOSE( CONTROL!$C$32, 33.8967, 33.8962) * CHOOSE(CONTROL!$C$15, $D$11, 100%, $F$11)</f>
        <v>33.896700000000003</v>
      </c>
      <c r="K984" s="4"/>
      <c r="L984" s="9">
        <v>30.7165</v>
      </c>
      <c r="M984" s="9">
        <v>12.063700000000001</v>
      </c>
      <c r="N984" s="9">
        <v>4.9444999999999997</v>
      </c>
      <c r="O984" s="9">
        <v>0.37409999999999999</v>
      </c>
      <c r="P984" s="9">
        <v>1.2927</v>
      </c>
      <c r="Q984" s="9">
        <v>19.688099999999999</v>
      </c>
      <c r="R984" s="9"/>
      <c r="S984" s="11"/>
    </row>
    <row r="985" spans="1:19" ht="15.75">
      <c r="A985" s="13">
        <v>71132</v>
      </c>
      <c r="B985" s="8">
        <f>CHOOSE( CONTROL!$C$32, 34.2065, 34.2061) * CHOOSE(CONTROL!$C$15, $D$11, 100%, $F$11)</f>
        <v>34.206499999999998</v>
      </c>
      <c r="C985" s="8">
        <f>CHOOSE( CONTROL!$C$32, 34.2145, 34.2141) * CHOOSE(CONTROL!$C$15, $D$11, 100%, $F$11)</f>
        <v>34.214500000000001</v>
      </c>
      <c r="D985" s="8">
        <f>CHOOSE( CONTROL!$C$32, 34.2097, 34.2092) * CHOOSE( CONTROL!$C$15, $D$11, 100%, $F$11)</f>
        <v>34.209699999999998</v>
      </c>
      <c r="E985" s="12">
        <f>CHOOSE( CONTROL!$C$32, 34.2102, 34.2098) * CHOOSE( CONTROL!$C$15, $D$11, 100%, $F$11)</f>
        <v>34.2102</v>
      </c>
      <c r="F985" s="4">
        <f>CHOOSE( CONTROL!$C$32, 34.9135, 34.913) * CHOOSE(CONTROL!$C$15, $D$11, 100%, $F$11)</f>
        <v>34.913499999999999</v>
      </c>
      <c r="G985" s="8">
        <f>CHOOSE( CONTROL!$C$32, 33.8123, 33.8119) * CHOOSE( CONTROL!$C$15, $D$11, 100%, $F$11)</f>
        <v>33.8123</v>
      </c>
      <c r="H985" s="4">
        <f>CHOOSE( CONTROL!$C$32, 34.7513, 34.7508) * CHOOSE(CONTROL!$C$15, $D$11, 100%, $F$11)</f>
        <v>34.751300000000001</v>
      </c>
      <c r="I985" s="8">
        <f>CHOOSE( CONTROL!$C$32, 33.2861, 33.2856) * CHOOSE(CONTROL!$C$15, $D$11, 100%, $F$11)</f>
        <v>33.286099999999998</v>
      </c>
      <c r="J985" s="4">
        <f>CHOOSE( CONTROL!$C$32, 33.1866, 33.1862) * CHOOSE(CONTROL!$C$15, $D$11, 100%, $F$11)</f>
        <v>33.186599999999999</v>
      </c>
      <c r="K985" s="4"/>
      <c r="L985" s="9">
        <v>29.7257</v>
      </c>
      <c r="M985" s="9">
        <v>11.6745</v>
      </c>
      <c r="N985" s="9">
        <v>4.7850000000000001</v>
      </c>
      <c r="O985" s="9">
        <v>0.36199999999999999</v>
      </c>
      <c r="P985" s="9">
        <v>1.2509999999999999</v>
      </c>
      <c r="Q985" s="9">
        <v>19.053000000000001</v>
      </c>
      <c r="R985" s="9"/>
      <c r="S985" s="11"/>
    </row>
    <row r="986" spans="1:19" ht="15.75">
      <c r="A986" s="13">
        <v>71163</v>
      </c>
      <c r="B986" s="8">
        <f>CHOOSE( CONTROL!$C$32, 35.7237, 35.7234) * CHOOSE(CONTROL!$C$15, $D$11, 100%, $F$11)</f>
        <v>35.723700000000001</v>
      </c>
      <c r="C986" s="8">
        <f>CHOOSE( CONTROL!$C$32, 35.729, 35.7288) * CHOOSE(CONTROL!$C$15, $D$11, 100%, $F$11)</f>
        <v>35.728999999999999</v>
      </c>
      <c r="D986" s="8">
        <f>CHOOSE( CONTROL!$C$32, 35.7292, 35.729) * CHOOSE( CONTROL!$C$15, $D$11, 100%, $F$11)</f>
        <v>35.729199999999999</v>
      </c>
      <c r="E986" s="12">
        <f>CHOOSE( CONTROL!$C$32, 35.7286, 35.7284) * CHOOSE( CONTROL!$C$15, $D$11, 100%, $F$11)</f>
        <v>35.7286</v>
      </c>
      <c r="F986" s="4">
        <f>CHOOSE( CONTROL!$C$32, 36.4324, 36.4321) * CHOOSE(CONTROL!$C$15, $D$11, 100%, $F$11)</f>
        <v>36.432400000000001</v>
      </c>
      <c r="G986" s="8">
        <f>CHOOSE( CONTROL!$C$32, 35.3134, 35.3131) * CHOOSE( CONTROL!$C$15, $D$11, 100%, $F$11)</f>
        <v>35.313400000000001</v>
      </c>
      <c r="H986" s="4">
        <f>CHOOSE( CONTROL!$C$32, 36.2524, 36.2521) * CHOOSE(CONTROL!$C$15, $D$11, 100%, $F$11)</f>
        <v>36.252400000000002</v>
      </c>
      <c r="I986" s="8">
        <f>CHOOSE( CONTROL!$C$32, 34.7616, 34.7613) * CHOOSE(CONTROL!$C$15, $D$11, 100%, $F$11)</f>
        <v>34.761600000000001</v>
      </c>
      <c r="J986" s="4">
        <f>CHOOSE( CONTROL!$C$32, 34.6607, 34.6604) * CHOOSE(CONTROL!$C$15, $D$11, 100%, $F$11)</f>
        <v>34.660699999999999</v>
      </c>
      <c r="K986" s="4"/>
      <c r="L986" s="9">
        <v>31.095300000000002</v>
      </c>
      <c r="M986" s="9">
        <v>12.063700000000001</v>
      </c>
      <c r="N986" s="9">
        <v>4.9444999999999997</v>
      </c>
      <c r="O986" s="9">
        <v>0.37409999999999999</v>
      </c>
      <c r="P986" s="9">
        <v>1.2927</v>
      </c>
      <c r="Q986" s="9">
        <v>19.688099999999999</v>
      </c>
      <c r="R986" s="9"/>
      <c r="S986" s="11"/>
    </row>
    <row r="987" spans="1:19" ht="15.75">
      <c r="A987" s="13">
        <v>71193</v>
      </c>
      <c r="B987" s="8">
        <f>CHOOSE( CONTROL!$C$32, 38.5272, 38.5269) * CHOOSE(CONTROL!$C$15, $D$11, 100%, $F$11)</f>
        <v>38.527200000000001</v>
      </c>
      <c r="C987" s="8">
        <f>CHOOSE( CONTROL!$C$32, 38.5322, 38.532) * CHOOSE(CONTROL!$C$15, $D$11, 100%, $F$11)</f>
        <v>38.532200000000003</v>
      </c>
      <c r="D987" s="8">
        <f>CHOOSE( CONTROL!$C$32, 38.5001, 38.4998) * CHOOSE( CONTROL!$C$15, $D$11, 100%, $F$11)</f>
        <v>38.500100000000003</v>
      </c>
      <c r="E987" s="12">
        <f>CHOOSE( CONTROL!$C$32, 38.5113, 38.511) * CHOOSE( CONTROL!$C$15, $D$11, 100%, $F$11)</f>
        <v>38.511299999999999</v>
      </c>
      <c r="F987" s="4">
        <f>CHOOSE( CONTROL!$C$32, 39.1924, 39.1922) * CHOOSE(CONTROL!$C$15, $D$11, 100%, $F$11)</f>
        <v>39.192399999999999</v>
      </c>
      <c r="G987" s="8">
        <f>CHOOSE( CONTROL!$C$32, 38.0734, 38.0731) * CHOOSE( CONTROL!$C$15, $D$11, 100%, $F$11)</f>
        <v>38.073399999999999</v>
      </c>
      <c r="H987" s="4">
        <f>CHOOSE( CONTROL!$C$32, 38.9801, 38.9798) * CHOOSE(CONTROL!$C$15, $D$11, 100%, $F$11)</f>
        <v>38.9801</v>
      </c>
      <c r="I987" s="8">
        <f>CHOOSE( CONTROL!$C$32, 37.5349, 37.5347) * CHOOSE(CONTROL!$C$15, $D$11, 100%, $F$11)</f>
        <v>37.5349</v>
      </c>
      <c r="J987" s="4">
        <f>CHOOSE( CONTROL!$C$32, 37.3819, 37.3816) * CHOOSE(CONTROL!$C$15, $D$11, 100%, $F$11)</f>
        <v>37.381900000000002</v>
      </c>
      <c r="K987" s="4"/>
      <c r="L987" s="9">
        <v>28.360600000000002</v>
      </c>
      <c r="M987" s="9">
        <v>11.6745</v>
      </c>
      <c r="N987" s="9">
        <v>4.7850000000000001</v>
      </c>
      <c r="O987" s="9">
        <v>0.36199999999999999</v>
      </c>
      <c r="P987" s="9">
        <v>1.2509999999999999</v>
      </c>
      <c r="Q987" s="9">
        <v>19.053000000000001</v>
      </c>
      <c r="R987" s="9"/>
      <c r="S987" s="11"/>
    </row>
    <row r="988" spans="1:19" ht="15.75">
      <c r="A988" s="13">
        <v>71224</v>
      </c>
      <c r="B988" s="8">
        <f>CHOOSE( CONTROL!$C$32, 38.4571, 38.4568) * CHOOSE(CONTROL!$C$15, $D$11, 100%, $F$11)</f>
        <v>38.457099999999997</v>
      </c>
      <c r="C988" s="8">
        <f>CHOOSE( CONTROL!$C$32, 38.4622, 38.4619) * CHOOSE(CONTROL!$C$15, $D$11, 100%, $F$11)</f>
        <v>38.462200000000003</v>
      </c>
      <c r="D988" s="8">
        <f>CHOOSE( CONTROL!$C$32, 38.4319, 38.4316) * CHOOSE( CONTROL!$C$15, $D$11, 100%, $F$11)</f>
        <v>38.431899999999999</v>
      </c>
      <c r="E988" s="12">
        <f>CHOOSE( CONTROL!$C$32, 38.4424, 38.4421) * CHOOSE( CONTROL!$C$15, $D$11, 100%, $F$11)</f>
        <v>38.442399999999999</v>
      </c>
      <c r="F988" s="4">
        <f>CHOOSE( CONTROL!$C$32, 39.1224, 39.1221) * CHOOSE(CONTROL!$C$15, $D$11, 100%, $F$11)</f>
        <v>39.122399999999999</v>
      </c>
      <c r="G988" s="8">
        <f>CHOOSE( CONTROL!$C$32, 38.0054, 38.0052) * CHOOSE( CONTROL!$C$15, $D$11, 100%, $F$11)</f>
        <v>38.005400000000002</v>
      </c>
      <c r="H988" s="4">
        <f>CHOOSE( CONTROL!$C$32, 38.9109, 38.9106) * CHOOSE(CONTROL!$C$15, $D$11, 100%, $F$11)</f>
        <v>38.910899999999998</v>
      </c>
      <c r="I988" s="8">
        <f>CHOOSE( CONTROL!$C$32, 37.4726, 37.4724) * CHOOSE(CONTROL!$C$15, $D$11, 100%, $F$11)</f>
        <v>37.4726</v>
      </c>
      <c r="J988" s="4">
        <f>CHOOSE( CONTROL!$C$32, 37.3139, 37.3136) * CHOOSE(CONTROL!$C$15, $D$11, 100%, $F$11)</f>
        <v>37.313899999999997</v>
      </c>
      <c r="K988" s="4"/>
      <c r="L988" s="9">
        <v>29.306000000000001</v>
      </c>
      <c r="M988" s="9">
        <v>12.063700000000001</v>
      </c>
      <c r="N988" s="9">
        <v>4.9444999999999997</v>
      </c>
      <c r="O988" s="9">
        <v>0.37409999999999999</v>
      </c>
      <c r="P988" s="9">
        <v>1.2927</v>
      </c>
      <c r="Q988" s="9">
        <v>19.688099999999999</v>
      </c>
      <c r="R988" s="9"/>
      <c r="S988" s="11"/>
    </row>
    <row r="989" spans="1:19" ht="15.75">
      <c r="A989" s="13">
        <v>71255</v>
      </c>
      <c r="B989" s="8">
        <f>CHOOSE( CONTROL!$C$32, 39.5912, 39.5909) * CHOOSE(CONTROL!$C$15, $D$11, 100%, $F$11)</f>
        <v>39.591200000000001</v>
      </c>
      <c r="C989" s="8">
        <f>CHOOSE( CONTROL!$C$32, 39.5963, 39.596) * CHOOSE(CONTROL!$C$15, $D$11, 100%, $F$11)</f>
        <v>39.596299999999999</v>
      </c>
      <c r="D989" s="8">
        <f>CHOOSE( CONTROL!$C$32, 39.5939, 39.5936) * CHOOSE( CONTROL!$C$15, $D$11, 100%, $F$11)</f>
        <v>39.593899999999998</v>
      </c>
      <c r="E989" s="12">
        <f>CHOOSE( CONTROL!$C$32, 39.5942, 39.5939) * CHOOSE( CONTROL!$C$15, $D$11, 100%, $F$11)</f>
        <v>39.594200000000001</v>
      </c>
      <c r="F989" s="4">
        <f>CHOOSE( CONTROL!$C$32, 40.2565, 40.2562) * CHOOSE(CONTROL!$C$15, $D$11, 100%, $F$11)</f>
        <v>40.256500000000003</v>
      </c>
      <c r="G989" s="8">
        <f>CHOOSE( CONTROL!$C$32, 39.1424, 39.1421) * CHOOSE( CONTROL!$C$15, $D$11, 100%, $F$11)</f>
        <v>39.142400000000002</v>
      </c>
      <c r="H989" s="4">
        <f>CHOOSE( CONTROL!$C$32, 40.0317, 40.0314) * CHOOSE(CONTROL!$C$15, $D$11, 100%, $F$11)</f>
        <v>40.031700000000001</v>
      </c>
      <c r="I989" s="8">
        <f>CHOOSE( CONTROL!$C$32, 38.5473, 38.5471) * CHOOSE(CONTROL!$C$15, $D$11, 100%, $F$11)</f>
        <v>38.5473</v>
      </c>
      <c r="J989" s="4">
        <f>CHOOSE( CONTROL!$C$32, 38.4145, 38.4142) * CHOOSE(CONTROL!$C$15, $D$11, 100%, $F$11)</f>
        <v>38.414499999999997</v>
      </c>
      <c r="K989" s="4"/>
      <c r="L989" s="9">
        <v>29.306000000000001</v>
      </c>
      <c r="M989" s="9">
        <v>12.063700000000001</v>
      </c>
      <c r="N989" s="9">
        <v>4.9444999999999997</v>
      </c>
      <c r="O989" s="9">
        <v>0.37409999999999999</v>
      </c>
      <c r="P989" s="9">
        <v>1.2927</v>
      </c>
      <c r="Q989" s="9">
        <v>19.688099999999999</v>
      </c>
      <c r="R989" s="9"/>
      <c r="S989" s="11"/>
    </row>
    <row r="990" spans="1:19" ht="15.75">
      <c r="A990" s="13">
        <v>71283</v>
      </c>
      <c r="B990" s="8">
        <f>CHOOSE( CONTROL!$C$32, 37.0323, 37.032) * CHOOSE(CONTROL!$C$15, $D$11, 100%, $F$11)</f>
        <v>37.032299999999999</v>
      </c>
      <c r="C990" s="8">
        <f>CHOOSE( CONTROL!$C$32, 37.0374, 37.0371) * CHOOSE(CONTROL!$C$15, $D$11, 100%, $F$11)</f>
        <v>37.037399999999998</v>
      </c>
      <c r="D990" s="8">
        <f>CHOOSE( CONTROL!$C$32, 37.0173, 37.0171) * CHOOSE( CONTROL!$C$15, $D$11, 100%, $F$11)</f>
        <v>37.017299999999999</v>
      </c>
      <c r="E990" s="12">
        <f>CHOOSE( CONTROL!$C$32, 37.0241, 37.0239) * CHOOSE( CONTROL!$C$15, $D$11, 100%, $F$11)</f>
        <v>37.024099999999997</v>
      </c>
      <c r="F990" s="4">
        <f>CHOOSE( CONTROL!$C$32, 37.6976, 37.6973) * CHOOSE(CONTROL!$C$15, $D$11, 100%, $F$11)</f>
        <v>37.697600000000001</v>
      </c>
      <c r="G990" s="8">
        <f>CHOOSE( CONTROL!$C$32, 36.6023, 36.602) * CHOOSE( CONTROL!$C$15, $D$11, 100%, $F$11)</f>
        <v>36.6023</v>
      </c>
      <c r="H990" s="4">
        <f>CHOOSE( CONTROL!$C$32, 37.5028, 37.5025) * CHOOSE(CONTROL!$C$15, $D$11, 100%, $F$11)</f>
        <v>37.502800000000001</v>
      </c>
      <c r="I990" s="8">
        <f>CHOOSE( CONTROL!$C$32, 36.0631, 36.0628) * CHOOSE(CONTROL!$C$15, $D$11, 100%, $F$11)</f>
        <v>36.063099999999999</v>
      </c>
      <c r="J990" s="4">
        <f>CHOOSE( CONTROL!$C$32, 35.9311, 35.9308) * CHOOSE(CONTROL!$C$15, $D$11, 100%, $F$11)</f>
        <v>35.931100000000001</v>
      </c>
      <c r="K990" s="4"/>
      <c r="L990" s="9">
        <v>26.469899999999999</v>
      </c>
      <c r="M990" s="9">
        <v>10.8962</v>
      </c>
      <c r="N990" s="9">
        <v>4.4660000000000002</v>
      </c>
      <c r="O990" s="9">
        <v>0.33789999999999998</v>
      </c>
      <c r="P990" s="9">
        <v>1.1676</v>
      </c>
      <c r="Q990" s="9">
        <v>17.782800000000002</v>
      </c>
      <c r="R990" s="9"/>
      <c r="S990" s="11"/>
    </row>
    <row r="991" spans="1:19" ht="15.75">
      <c r="A991" s="13">
        <v>71314</v>
      </c>
      <c r="B991" s="8">
        <f>CHOOSE( CONTROL!$C$32, 36.2442, 36.2439) * CHOOSE(CONTROL!$C$15, $D$11, 100%, $F$11)</f>
        <v>36.244199999999999</v>
      </c>
      <c r="C991" s="8">
        <f>CHOOSE( CONTROL!$C$32, 36.2492, 36.249) * CHOOSE(CONTROL!$C$15, $D$11, 100%, $F$11)</f>
        <v>36.249200000000002</v>
      </c>
      <c r="D991" s="8">
        <f>CHOOSE( CONTROL!$C$32, 36.2193, 36.219) * CHOOSE( CONTROL!$C$15, $D$11, 100%, $F$11)</f>
        <v>36.219299999999997</v>
      </c>
      <c r="E991" s="12">
        <f>CHOOSE( CONTROL!$C$32, 36.2297, 36.2294) * CHOOSE( CONTROL!$C$15, $D$11, 100%, $F$11)</f>
        <v>36.229700000000001</v>
      </c>
      <c r="F991" s="4">
        <f>CHOOSE( CONTROL!$C$32, 36.9094, 36.9092) * CHOOSE(CONTROL!$C$15, $D$11, 100%, $F$11)</f>
        <v>36.909399999999998</v>
      </c>
      <c r="G991" s="8">
        <f>CHOOSE( CONTROL!$C$32, 35.8102, 35.8099) * CHOOSE( CONTROL!$C$15, $D$11, 100%, $F$11)</f>
        <v>35.810200000000002</v>
      </c>
      <c r="H991" s="4">
        <f>CHOOSE( CONTROL!$C$32, 36.7238, 36.7236) * CHOOSE(CONTROL!$C$15, $D$11, 100%, $F$11)</f>
        <v>36.723799999999997</v>
      </c>
      <c r="I991" s="8">
        <f>CHOOSE( CONTROL!$C$32, 35.2626, 35.2624) * CHOOSE(CONTROL!$C$15, $D$11, 100%, $F$11)</f>
        <v>35.262599999999999</v>
      </c>
      <c r="J991" s="4">
        <f>CHOOSE( CONTROL!$C$32, 35.1662, 35.1659) * CHOOSE(CONTROL!$C$15, $D$11, 100%, $F$11)</f>
        <v>35.166200000000003</v>
      </c>
      <c r="K991" s="4"/>
      <c r="L991" s="9">
        <v>29.306000000000001</v>
      </c>
      <c r="M991" s="9">
        <v>12.063700000000001</v>
      </c>
      <c r="N991" s="9">
        <v>4.9444999999999997</v>
      </c>
      <c r="O991" s="9">
        <v>0.37409999999999999</v>
      </c>
      <c r="P991" s="9">
        <v>1.2927</v>
      </c>
      <c r="Q991" s="9">
        <v>19.688099999999999</v>
      </c>
      <c r="R991" s="9"/>
      <c r="S991" s="11"/>
    </row>
    <row r="992" spans="1:19" ht="15.75">
      <c r="A992" s="13">
        <v>71344</v>
      </c>
      <c r="B992" s="8">
        <f>CHOOSE( CONTROL!$C$32, 36.7957, 36.7954) * CHOOSE(CONTROL!$C$15, $D$11, 100%, $F$11)</f>
        <v>36.795699999999997</v>
      </c>
      <c r="C992" s="8">
        <f>CHOOSE( CONTROL!$C$32, 36.8002, 36.7999) * CHOOSE(CONTROL!$C$15, $D$11, 100%, $F$11)</f>
        <v>36.800199999999997</v>
      </c>
      <c r="D992" s="8">
        <f>CHOOSE( CONTROL!$C$32, 36.7997, 36.7994) * CHOOSE( CONTROL!$C$15, $D$11, 100%, $F$11)</f>
        <v>36.799700000000001</v>
      </c>
      <c r="E992" s="12">
        <f>CHOOSE( CONTROL!$C$32, 36.7994, 36.7991) * CHOOSE( CONTROL!$C$15, $D$11, 100%, $F$11)</f>
        <v>36.799399999999999</v>
      </c>
      <c r="F992" s="4">
        <f>CHOOSE( CONTROL!$C$32, 37.504, 37.5037) * CHOOSE(CONTROL!$C$15, $D$11, 100%, $F$11)</f>
        <v>37.503999999999998</v>
      </c>
      <c r="G992" s="8">
        <f>CHOOSE( CONTROL!$C$32, 36.3715, 36.3712) * CHOOSE( CONTROL!$C$15, $D$11, 100%, $F$11)</f>
        <v>36.371499999999997</v>
      </c>
      <c r="H992" s="4">
        <f>CHOOSE( CONTROL!$C$32, 37.3114, 37.3111) * CHOOSE(CONTROL!$C$15, $D$11, 100%, $F$11)</f>
        <v>37.311399999999999</v>
      </c>
      <c r="I992" s="8">
        <f>CHOOSE( CONTROL!$C$32, 35.7979, 35.7976) * CHOOSE(CONTROL!$C$15, $D$11, 100%, $F$11)</f>
        <v>35.797899999999998</v>
      </c>
      <c r="J992" s="4">
        <f>CHOOSE( CONTROL!$C$32, 35.7007, 35.7004) * CHOOSE(CONTROL!$C$15, $D$11, 100%, $F$11)</f>
        <v>35.700699999999998</v>
      </c>
      <c r="K992" s="4"/>
      <c r="L992" s="9">
        <v>30.092199999999998</v>
      </c>
      <c r="M992" s="9">
        <v>11.6745</v>
      </c>
      <c r="N992" s="9">
        <v>4.7850000000000001</v>
      </c>
      <c r="O992" s="9">
        <v>0.36199999999999999</v>
      </c>
      <c r="P992" s="9">
        <v>1.2509999999999999</v>
      </c>
      <c r="Q992" s="9">
        <v>19.053000000000001</v>
      </c>
      <c r="R992" s="9"/>
      <c r="S992" s="11"/>
    </row>
    <row r="993" spans="1:19" ht="15.75">
      <c r="A993" s="13">
        <v>71375</v>
      </c>
      <c r="B993" s="8">
        <f>CHOOSE( CONTROL!$C$32, 37.7774, 37.7769) * CHOOSE(CONTROL!$C$15, $D$11, 100%, $F$11)</f>
        <v>37.7774</v>
      </c>
      <c r="C993" s="8">
        <f>CHOOSE( CONTROL!$C$32, 37.7854, 37.7849) * CHOOSE(CONTROL!$C$15, $D$11, 100%, $F$11)</f>
        <v>37.785400000000003</v>
      </c>
      <c r="D993" s="8">
        <f>CHOOSE( CONTROL!$C$32, 37.7797, 37.7792) * CHOOSE( CONTROL!$C$15, $D$11, 100%, $F$11)</f>
        <v>37.779699999999998</v>
      </c>
      <c r="E993" s="12">
        <f>CHOOSE( CONTROL!$C$32, 37.7805, 37.78) * CHOOSE( CONTROL!$C$15, $D$11, 100%, $F$11)</f>
        <v>37.780500000000004</v>
      </c>
      <c r="F993" s="4">
        <f>CHOOSE( CONTROL!$C$32, 38.4843, 38.4839) * CHOOSE(CONTROL!$C$15, $D$11, 100%, $F$11)</f>
        <v>38.484299999999998</v>
      </c>
      <c r="G993" s="8">
        <f>CHOOSE( CONTROL!$C$32, 37.3407, 37.3402) * CHOOSE( CONTROL!$C$15, $D$11, 100%, $F$11)</f>
        <v>37.340699999999998</v>
      </c>
      <c r="H993" s="4">
        <f>CHOOSE( CONTROL!$C$32, 38.2803, 38.2798) * CHOOSE(CONTROL!$C$15, $D$11, 100%, $F$11)</f>
        <v>38.280299999999997</v>
      </c>
      <c r="I993" s="8">
        <f>CHOOSE( CONTROL!$C$32, 36.7504, 36.75) * CHOOSE(CONTROL!$C$15, $D$11, 100%, $F$11)</f>
        <v>36.750399999999999</v>
      </c>
      <c r="J993" s="4">
        <f>CHOOSE( CONTROL!$C$32, 36.6521, 36.6517) * CHOOSE(CONTROL!$C$15, $D$11, 100%, $F$11)</f>
        <v>36.652099999999997</v>
      </c>
      <c r="K993" s="4"/>
      <c r="L993" s="9">
        <v>30.7165</v>
      </c>
      <c r="M993" s="9">
        <v>12.063700000000001</v>
      </c>
      <c r="N993" s="9">
        <v>4.9444999999999997</v>
      </c>
      <c r="O993" s="9">
        <v>0.37409999999999999</v>
      </c>
      <c r="P993" s="9">
        <v>1.2927</v>
      </c>
      <c r="Q993" s="9">
        <v>19.688099999999999</v>
      </c>
      <c r="R993" s="9"/>
      <c r="S993" s="11"/>
    </row>
    <row r="994" spans="1:19" ht="15.75">
      <c r="A994" s="13">
        <v>71405</v>
      </c>
      <c r="B994" s="8">
        <f>CHOOSE( CONTROL!$C$32, 37.1702, 37.1697) * CHOOSE(CONTROL!$C$15, $D$11, 100%, $F$11)</f>
        <v>37.170200000000001</v>
      </c>
      <c r="C994" s="8">
        <f>CHOOSE( CONTROL!$C$32, 37.1782, 37.1777) * CHOOSE(CONTROL!$C$15, $D$11, 100%, $F$11)</f>
        <v>37.178199999999997</v>
      </c>
      <c r="D994" s="8">
        <f>CHOOSE( CONTROL!$C$32, 37.1729, 37.1724) * CHOOSE( CONTROL!$C$15, $D$11, 100%, $F$11)</f>
        <v>37.172899999999998</v>
      </c>
      <c r="E994" s="12">
        <f>CHOOSE( CONTROL!$C$32, 37.1736, 37.1731) * CHOOSE( CONTROL!$C$15, $D$11, 100%, $F$11)</f>
        <v>37.1736</v>
      </c>
      <c r="F994" s="4">
        <f>CHOOSE( CONTROL!$C$32, 37.8771, 37.8767) * CHOOSE(CONTROL!$C$15, $D$11, 100%, $F$11)</f>
        <v>37.877099999999999</v>
      </c>
      <c r="G994" s="8">
        <f>CHOOSE( CONTROL!$C$32, 36.7409, 36.7405) * CHOOSE( CONTROL!$C$15, $D$11, 100%, $F$11)</f>
        <v>36.740900000000003</v>
      </c>
      <c r="H994" s="4">
        <f>CHOOSE( CONTROL!$C$32, 37.6802, 37.6798) * CHOOSE(CONTROL!$C$15, $D$11, 100%, $F$11)</f>
        <v>37.680199999999999</v>
      </c>
      <c r="I994" s="8">
        <f>CHOOSE( CONTROL!$C$32, 36.1622, 36.1618) * CHOOSE(CONTROL!$C$15, $D$11, 100%, $F$11)</f>
        <v>36.162199999999999</v>
      </c>
      <c r="J994" s="4">
        <f>CHOOSE( CONTROL!$C$32, 36.0629, 36.0624) * CHOOSE(CONTROL!$C$15, $D$11, 100%, $F$11)</f>
        <v>36.062899999999999</v>
      </c>
      <c r="K994" s="4"/>
      <c r="L994" s="9">
        <v>29.7257</v>
      </c>
      <c r="M994" s="9">
        <v>11.6745</v>
      </c>
      <c r="N994" s="9">
        <v>4.7850000000000001</v>
      </c>
      <c r="O994" s="9">
        <v>0.36199999999999999</v>
      </c>
      <c r="P994" s="9">
        <v>1.2509999999999999</v>
      </c>
      <c r="Q994" s="9">
        <v>19.053000000000001</v>
      </c>
      <c r="R994" s="9"/>
      <c r="S994" s="11"/>
    </row>
    <row r="995" spans="1:19" ht="15.75">
      <c r="A995" s="13">
        <v>71436</v>
      </c>
      <c r="B995" s="8">
        <f>CHOOSE( CONTROL!$C$32, 38.7691, 38.7687) * CHOOSE(CONTROL!$C$15, $D$11, 100%, $F$11)</f>
        <v>38.769100000000002</v>
      </c>
      <c r="C995" s="8">
        <f>CHOOSE( CONTROL!$C$32, 38.7771, 38.7767) * CHOOSE(CONTROL!$C$15, $D$11, 100%, $F$11)</f>
        <v>38.777099999999997</v>
      </c>
      <c r="D995" s="8">
        <f>CHOOSE( CONTROL!$C$32, 38.7723, 38.7718) * CHOOSE( CONTROL!$C$15, $D$11, 100%, $F$11)</f>
        <v>38.772300000000001</v>
      </c>
      <c r="E995" s="12">
        <f>CHOOSE( CONTROL!$C$32, 38.7728, 38.7724) * CHOOSE( CONTROL!$C$15, $D$11, 100%, $F$11)</f>
        <v>38.772799999999997</v>
      </c>
      <c r="F995" s="4">
        <f>CHOOSE( CONTROL!$C$32, 39.4761, 39.4756) * CHOOSE(CONTROL!$C$15, $D$11, 100%, $F$11)</f>
        <v>39.476100000000002</v>
      </c>
      <c r="G995" s="8">
        <f>CHOOSE( CONTROL!$C$32, 38.3215, 38.3211) * CHOOSE( CONTROL!$C$15, $D$11, 100%, $F$11)</f>
        <v>38.3215</v>
      </c>
      <c r="H995" s="4">
        <f>CHOOSE( CONTROL!$C$32, 39.2604, 39.26) * CHOOSE(CONTROL!$C$15, $D$11, 100%, $F$11)</f>
        <v>39.260399999999997</v>
      </c>
      <c r="I995" s="8">
        <f>CHOOSE( CONTROL!$C$32, 37.7163, 37.7159) * CHOOSE(CONTROL!$C$15, $D$11, 100%, $F$11)</f>
        <v>37.716299999999997</v>
      </c>
      <c r="J995" s="4">
        <f>CHOOSE( CONTROL!$C$32, 37.6146, 37.6142) * CHOOSE(CONTROL!$C$15, $D$11, 100%, $F$11)</f>
        <v>37.614600000000003</v>
      </c>
      <c r="K995" s="4"/>
      <c r="L995" s="9">
        <v>30.7165</v>
      </c>
      <c r="M995" s="9">
        <v>12.063700000000001</v>
      </c>
      <c r="N995" s="9">
        <v>4.9444999999999997</v>
      </c>
      <c r="O995" s="9">
        <v>0.37409999999999999</v>
      </c>
      <c r="P995" s="9">
        <v>1.2927</v>
      </c>
      <c r="Q995" s="9">
        <v>19.688099999999999</v>
      </c>
      <c r="R995" s="9"/>
      <c r="S995" s="11"/>
    </row>
    <row r="996" spans="1:19" ht="15.75">
      <c r="A996" s="13">
        <v>71467</v>
      </c>
      <c r="B996" s="8">
        <f>CHOOSE( CONTROL!$C$32, 35.7773, 35.7769) * CHOOSE(CONTROL!$C$15, $D$11, 100%, $F$11)</f>
        <v>35.777299999999997</v>
      </c>
      <c r="C996" s="8">
        <f>CHOOSE( CONTROL!$C$32, 35.7853, 35.7849) * CHOOSE(CONTROL!$C$15, $D$11, 100%, $F$11)</f>
        <v>35.785299999999999</v>
      </c>
      <c r="D996" s="8">
        <f>CHOOSE( CONTROL!$C$32, 35.7806, 35.7801) * CHOOSE( CONTROL!$C$15, $D$11, 100%, $F$11)</f>
        <v>35.7806</v>
      </c>
      <c r="E996" s="12">
        <f>CHOOSE( CONTROL!$C$32, 35.7811, 35.7806) * CHOOSE( CONTROL!$C$15, $D$11, 100%, $F$11)</f>
        <v>35.781100000000002</v>
      </c>
      <c r="F996" s="4">
        <f>CHOOSE( CONTROL!$C$32, 36.4843, 36.4838) * CHOOSE(CONTROL!$C$15, $D$11, 100%, $F$11)</f>
        <v>36.484299999999998</v>
      </c>
      <c r="G996" s="8">
        <f>CHOOSE( CONTROL!$C$32, 35.3648, 35.3644) * CHOOSE( CONTROL!$C$15, $D$11, 100%, $F$11)</f>
        <v>35.364800000000002</v>
      </c>
      <c r="H996" s="4">
        <f>CHOOSE( CONTROL!$C$32, 36.3037, 36.3032) * CHOOSE(CONTROL!$C$15, $D$11, 100%, $F$11)</f>
        <v>36.303699999999999</v>
      </c>
      <c r="I996" s="8">
        <f>CHOOSE( CONTROL!$C$32, 34.8118, 34.8114) * CHOOSE(CONTROL!$C$15, $D$11, 100%, $F$11)</f>
        <v>34.811799999999998</v>
      </c>
      <c r="J996" s="4">
        <f>CHOOSE( CONTROL!$C$32, 34.7111, 34.7106) * CHOOSE(CONTROL!$C$15, $D$11, 100%, $F$11)</f>
        <v>34.711100000000002</v>
      </c>
      <c r="K996" s="4"/>
      <c r="L996" s="9">
        <v>30.7165</v>
      </c>
      <c r="M996" s="9">
        <v>12.063700000000001</v>
      </c>
      <c r="N996" s="9">
        <v>4.9444999999999997</v>
      </c>
      <c r="O996" s="9">
        <v>0.37409999999999999</v>
      </c>
      <c r="P996" s="9">
        <v>1.2927</v>
      </c>
      <c r="Q996" s="9">
        <v>19.688099999999999</v>
      </c>
      <c r="R996" s="9"/>
      <c r="S996" s="11"/>
    </row>
    <row r="997" spans="1:19" ht="15.75">
      <c r="A997" s="13">
        <v>71497</v>
      </c>
      <c r="B997" s="8">
        <f>CHOOSE( CONTROL!$C$32, 35.0282, 35.0277) * CHOOSE(CONTROL!$C$15, $D$11, 100%, $F$11)</f>
        <v>35.028199999999998</v>
      </c>
      <c r="C997" s="8">
        <f>CHOOSE( CONTROL!$C$32, 35.0361, 35.0357) * CHOOSE(CONTROL!$C$15, $D$11, 100%, $F$11)</f>
        <v>35.036099999999998</v>
      </c>
      <c r="D997" s="8">
        <f>CHOOSE( CONTROL!$C$32, 35.0313, 35.0308) * CHOOSE( CONTROL!$C$15, $D$11, 100%, $F$11)</f>
        <v>35.031300000000002</v>
      </c>
      <c r="E997" s="12">
        <f>CHOOSE( CONTROL!$C$32, 35.0318, 35.0314) * CHOOSE( CONTROL!$C$15, $D$11, 100%, $F$11)</f>
        <v>35.031799999999997</v>
      </c>
      <c r="F997" s="4">
        <f>CHOOSE( CONTROL!$C$32, 35.7351, 35.7346) * CHOOSE(CONTROL!$C$15, $D$11, 100%, $F$11)</f>
        <v>35.735100000000003</v>
      </c>
      <c r="G997" s="8">
        <f>CHOOSE( CONTROL!$C$32, 34.6243, 34.6239) * CHOOSE( CONTROL!$C$15, $D$11, 100%, $F$11)</f>
        <v>34.624299999999998</v>
      </c>
      <c r="H997" s="4">
        <f>CHOOSE( CONTROL!$C$32, 35.5633, 35.5628) * CHOOSE(CONTROL!$C$15, $D$11, 100%, $F$11)</f>
        <v>35.563299999999998</v>
      </c>
      <c r="I997" s="8">
        <f>CHOOSE( CONTROL!$C$32, 34.0839, 34.0834) * CHOOSE(CONTROL!$C$15, $D$11, 100%, $F$11)</f>
        <v>34.0839</v>
      </c>
      <c r="J997" s="4">
        <f>CHOOSE( CONTROL!$C$32, 33.984, 33.9836) * CHOOSE(CONTROL!$C$15, $D$11, 100%, $F$11)</f>
        <v>33.984000000000002</v>
      </c>
      <c r="K997" s="4"/>
      <c r="L997" s="9">
        <v>29.7257</v>
      </c>
      <c r="M997" s="9">
        <v>11.6745</v>
      </c>
      <c r="N997" s="9">
        <v>4.7850000000000001</v>
      </c>
      <c r="O997" s="9">
        <v>0.36199999999999999</v>
      </c>
      <c r="P997" s="9">
        <v>1.2509999999999999</v>
      </c>
      <c r="Q997" s="9">
        <v>19.053000000000001</v>
      </c>
      <c r="R997" s="9"/>
      <c r="S997" s="11"/>
    </row>
    <row r="998" spans="1:19" ht="15.75">
      <c r="A998" s="13">
        <v>71528</v>
      </c>
      <c r="B998" s="8">
        <f>CHOOSE( CONTROL!$C$32, 36.5818, 36.5815) * CHOOSE(CONTROL!$C$15, $D$11, 100%, $F$11)</f>
        <v>36.581800000000001</v>
      </c>
      <c r="C998" s="8">
        <f>CHOOSE( CONTROL!$C$32, 36.5871, 36.5869) * CHOOSE(CONTROL!$C$15, $D$11, 100%, $F$11)</f>
        <v>36.5871</v>
      </c>
      <c r="D998" s="8">
        <f>CHOOSE( CONTROL!$C$32, 36.5873, 36.5871) * CHOOSE( CONTROL!$C$15, $D$11, 100%, $F$11)</f>
        <v>36.587299999999999</v>
      </c>
      <c r="E998" s="12">
        <f>CHOOSE( CONTROL!$C$32, 36.5867, 36.5865) * CHOOSE( CONTROL!$C$15, $D$11, 100%, $F$11)</f>
        <v>36.5867</v>
      </c>
      <c r="F998" s="4">
        <f>CHOOSE( CONTROL!$C$32, 37.2905, 37.2902) * CHOOSE(CONTROL!$C$15, $D$11, 100%, $F$11)</f>
        <v>37.290500000000002</v>
      </c>
      <c r="G998" s="8">
        <f>CHOOSE( CONTROL!$C$32, 36.1614, 36.1612) * CHOOSE( CONTROL!$C$15, $D$11, 100%, $F$11)</f>
        <v>36.1614</v>
      </c>
      <c r="H998" s="4">
        <f>CHOOSE( CONTROL!$C$32, 37.1004, 37.1002) * CHOOSE(CONTROL!$C$15, $D$11, 100%, $F$11)</f>
        <v>37.1004</v>
      </c>
      <c r="I998" s="8">
        <f>CHOOSE( CONTROL!$C$32, 35.5948, 35.5945) * CHOOSE(CONTROL!$C$15, $D$11, 100%, $F$11)</f>
        <v>35.594799999999999</v>
      </c>
      <c r="J998" s="4">
        <f>CHOOSE( CONTROL!$C$32, 35.4935, 35.4932) * CHOOSE(CONTROL!$C$15, $D$11, 100%, $F$11)</f>
        <v>35.493499999999997</v>
      </c>
      <c r="K998" s="4"/>
      <c r="L998" s="9">
        <v>31.095300000000002</v>
      </c>
      <c r="M998" s="9">
        <v>12.063700000000001</v>
      </c>
      <c r="N998" s="9">
        <v>4.9444999999999997</v>
      </c>
      <c r="O998" s="9">
        <v>0.37409999999999999</v>
      </c>
      <c r="P998" s="9">
        <v>1.2927</v>
      </c>
      <c r="Q998" s="9">
        <v>19.688099999999999</v>
      </c>
      <c r="R998" s="9"/>
      <c r="S998" s="11"/>
    </row>
    <row r="999" spans="1:19" ht="15.75">
      <c r="A999" s="13">
        <v>71558</v>
      </c>
      <c r="B999" s="8">
        <f>CHOOSE( CONTROL!$C$32, 39.4527, 39.4524) * CHOOSE(CONTROL!$C$15, $D$11, 100%, $F$11)</f>
        <v>39.4527</v>
      </c>
      <c r="C999" s="8">
        <f>CHOOSE( CONTROL!$C$32, 39.4577, 39.4575) * CHOOSE(CONTROL!$C$15, $D$11, 100%, $F$11)</f>
        <v>39.457700000000003</v>
      </c>
      <c r="D999" s="8">
        <f>CHOOSE( CONTROL!$C$32, 39.4256, 39.4253) * CHOOSE( CONTROL!$C$15, $D$11, 100%, $F$11)</f>
        <v>39.425600000000003</v>
      </c>
      <c r="E999" s="12">
        <f>CHOOSE( CONTROL!$C$32, 39.4368, 39.4365) * CHOOSE( CONTROL!$C$15, $D$11, 100%, $F$11)</f>
        <v>39.436799999999998</v>
      </c>
      <c r="F999" s="4">
        <f>CHOOSE( CONTROL!$C$32, 40.1179, 40.1177) * CHOOSE(CONTROL!$C$15, $D$11, 100%, $F$11)</f>
        <v>40.117899999999999</v>
      </c>
      <c r="G999" s="8">
        <f>CHOOSE( CONTROL!$C$32, 38.988, 38.9877) * CHOOSE( CONTROL!$C$15, $D$11, 100%, $F$11)</f>
        <v>38.988</v>
      </c>
      <c r="H999" s="4">
        <f>CHOOSE( CONTROL!$C$32, 39.8948, 39.8945) * CHOOSE(CONTROL!$C$15, $D$11, 100%, $F$11)</f>
        <v>39.894799999999996</v>
      </c>
      <c r="I999" s="8">
        <f>CHOOSE( CONTROL!$C$32, 38.4336, 38.4333) * CHOOSE(CONTROL!$C$15, $D$11, 100%, $F$11)</f>
        <v>38.433599999999998</v>
      </c>
      <c r="J999" s="4">
        <f>CHOOSE( CONTROL!$C$32, 38.28, 38.2798) * CHOOSE(CONTROL!$C$15, $D$11, 100%, $F$11)</f>
        <v>38.28</v>
      </c>
      <c r="K999" s="4"/>
      <c r="L999" s="9">
        <v>28.360600000000002</v>
      </c>
      <c r="M999" s="9">
        <v>11.6745</v>
      </c>
      <c r="N999" s="9">
        <v>4.7850000000000001</v>
      </c>
      <c r="O999" s="9">
        <v>0.36199999999999999</v>
      </c>
      <c r="P999" s="9">
        <v>1.2509999999999999</v>
      </c>
      <c r="Q999" s="9">
        <v>19.053000000000001</v>
      </c>
      <c r="R999" s="9"/>
      <c r="S999" s="11"/>
    </row>
    <row r="1000" spans="1:19" ht="15.75">
      <c r="A1000" s="13">
        <v>71589</v>
      </c>
      <c r="B1000" s="8">
        <f>CHOOSE( CONTROL!$C$32, 39.3809, 39.3806) * CHOOSE(CONTROL!$C$15, $D$11, 100%, $F$11)</f>
        <v>39.380899999999997</v>
      </c>
      <c r="C1000" s="8">
        <f>CHOOSE( CONTROL!$C$32, 39.386, 39.3857) * CHOOSE(CONTROL!$C$15, $D$11, 100%, $F$11)</f>
        <v>39.386000000000003</v>
      </c>
      <c r="D1000" s="8">
        <f>CHOOSE( CONTROL!$C$32, 39.3557, 39.3554) * CHOOSE( CONTROL!$C$15, $D$11, 100%, $F$11)</f>
        <v>39.355699999999999</v>
      </c>
      <c r="E1000" s="12">
        <f>CHOOSE( CONTROL!$C$32, 39.3662, 39.3659) * CHOOSE( CONTROL!$C$15, $D$11, 100%, $F$11)</f>
        <v>39.366199999999999</v>
      </c>
      <c r="F1000" s="4">
        <f>CHOOSE( CONTROL!$C$32, 40.0462, 40.0459) * CHOOSE(CONTROL!$C$15, $D$11, 100%, $F$11)</f>
        <v>40.046199999999999</v>
      </c>
      <c r="G1000" s="8">
        <f>CHOOSE( CONTROL!$C$32, 38.9184, 38.9182) * CHOOSE( CONTROL!$C$15, $D$11, 100%, $F$11)</f>
        <v>38.918399999999998</v>
      </c>
      <c r="H1000" s="4">
        <f>CHOOSE( CONTROL!$C$32, 39.8239, 39.8236) * CHOOSE(CONTROL!$C$15, $D$11, 100%, $F$11)</f>
        <v>39.823900000000002</v>
      </c>
      <c r="I1000" s="8">
        <f>CHOOSE( CONTROL!$C$32, 38.3696, 38.3694) * CHOOSE(CONTROL!$C$15, $D$11, 100%, $F$11)</f>
        <v>38.369599999999998</v>
      </c>
      <c r="J1000" s="4">
        <f>CHOOSE( CONTROL!$C$32, 38.2104, 38.2102) * CHOOSE(CONTROL!$C$15, $D$11, 100%, $F$11)</f>
        <v>38.2104</v>
      </c>
      <c r="K1000" s="4"/>
      <c r="L1000" s="9">
        <v>29.306000000000001</v>
      </c>
      <c r="M1000" s="9">
        <v>12.063700000000001</v>
      </c>
      <c r="N1000" s="9">
        <v>4.9444999999999997</v>
      </c>
      <c r="O1000" s="9">
        <v>0.37409999999999999</v>
      </c>
      <c r="P1000" s="9">
        <v>1.2927</v>
      </c>
      <c r="Q1000" s="9">
        <v>19.688099999999999</v>
      </c>
      <c r="R1000" s="9"/>
      <c r="S1000" s="11"/>
    </row>
    <row r="1001" spans="1:19" ht="15.75">
      <c r="A1001" s="13">
        <v>71620</v>
      </c>
      <c r="B1001" s="8">
        <f>CHOOSE( CONTROL!$C$32, 40.5423, 40.542) * CHOOSE(CONTROL!$C$15, $D$11, 100%, $F$11)</f>
        <v>40.542299999999997</v>
      </c>
      <c r="C1001" s="8">
        <f>CHOOSE( CONTROL!$C$32, 40.5473, 40.5471) * CHOOSE(CONTROL!$C$15, $D$11, 100%, $F$11)</f>
        <v>40.5473</v>
      </c>
      <c r="D1001" s="8">
        <f>CHOOSE( CONTROL!$C$32, 40.545, 40.5447) * CHOOSE( CONTROL!$C$15, $D$11, 100%, $F$11)</f>
        <v>40.545000000000002</v>
      </c>
      <c r="E1001" s="12">
        <f>CHOOSE( CONTROL!$C$32, 40.5453, 40.545) * CHOOSE( CONTROL!$C$15, $D$11, 100%, $F$11)</f>
        <v>40.545299999999997</v>
      </c>
      <c r="F1001" s="4">
        <f>CHOOSE( CONTROL!$C$32, 41.2075, 41.2073) * CHOOSE(CONTROL!$C$15, $D$11, 100%, $F$11)</f>
        <v>41.207500000000003</v>
      </c>
      <c r="G1001" s="8">
        <f>CHOOSE( CONTROL!$C$32, 40.0823, 40.082) * CHOOSE( CONTROL!$C$15, $D$11, 100%, $F$11)</f>
        <v>40.082299999999996</v>
      </c>
      <c r="H1001" s="4">
        <f>CHOOSE( CONTROL!$C$32, 40.9716, 40.9713) * CHOOSE(CONTROL!$C$15, $D$11, 100%, $F$11)</f>
        <v>40.971600000000002</v>
      </c>
      <c r="I1001" s="8">
        <f>CHOOSE( CONTROL!$C$32, 39.4708, 39.4705) * CHOOSE(CONTROL!$C$15, $D$11, 100%, $F$11)</f>
        <v>39.470799999999997</v>
      </c>
      <c r="J1001" s="4">
        <f>CHOOSE( CONTROL!$C$32, 39.3375, 39.3372) * CHOOSE(CONTROL!$C$15, $D$11, 100%, $F$11)</f>
        <v>39.337499999999999</v>
      </c>
      <c r="K1001" s="4"/>
      <c r="L1001" s="9">
        <v>29.306000000000001</v>
      </c>
      <c r="M1001" s="9">
        <v>12.063700000000001</v>
      </c>
      <c r="N1001" s="9">
        <v>4.9444999999999997</v>
      </c>
      <c r="O1001" s="9">
        <v>0.37409999999999999</v>
      </c>
      <c r="P1001" s="9">
        <v>1.2927</v>
      </c>
      <c r="Q1001" s="9">
        <v>19.688099999999999</v>
      </c>
      <c r="R1001" s="9"/>
      <c r="S1001" s="11"/>
    </row>
    <row r="1002" spans="1:19" ht="15.75">
      <c r="A1002" s="13">
        <v>71649</v>
      </c>
      <c r="B1002" s="8">
        <f>CHOOSE( CONTROL!$C$32, 37.9219, 37.9216) * CHOOSE(CONTROL!$C$15, $D$11, 100%, $F$11)</f>
        <v>37.921900000000001</v>
      </c>
      <c r="C1002" s="8">
        <f>CHOOSE( CONTROL!$C$32, 37.9269, 37.9267) * CHOOSE(CONTROL!$C$15, $D$11, 100%, $F$11)</f>
        <v>37.926900000000003</v>
      </c>
      <c r="D1002" s="8">
        <f>CHOOSE( CONTROL!$C$32, 37.9069, 37.9066) * CHOOSE( CONTROL!$C$15, $D$11, 100%, $F$11)</f>
        <v>37.9069</v>
      </c>
      <c r="E1002" s="12">
        <f>CHOOSE( CONTROL!$C$32, 37.9137, 37.9134) * CHOOSE( CONTROL!$C$15, $D$11, 100%, $F$11)</f>
        <v>37.913699999999999</v>
      </c>
      <c r="F1002" s="4">
        <f>CHOOSE( CONTROL!$C$32, 38.5871, 38.5869) * CHOOSE(CONTROL!$C$15, $D$11, 100%, $F$11)</f>
        <v>38.5871</v>
      </c>
      <c r="G1002" s="8">
        <f>CHOOSE( CONTROL!$C$32, 37.4815, 37.4812) * CHOOSE( CONTROL!$C$15, $D$11, 100%, $F$11)</f>
        <v>37.481499999999997</v>
      </c>
      <c r="H1002" s="4">
        <f>CHOOSE( CONTROL!$C$32, 38.3819, 38.3816) * CHOOSE(CONTROL!$C$15, $D$11, 100%, $F$11)</f>
        <v>38.381900000000002</v>
      </c>
      <c r="I1002" s="8">
        <f>CHOOSE( CONTROL!$C$32, 36.9268, 36.9266) * CHOOSE(CONTROL!$C$15, $D$11, 100%, $F$11)</f>
        <v>36.9268</v>
      </c>
      <c r="J1002" s="4">
        <f>CHOOSE( CONTROL!$C$32, 36.7944, 36.7942) * CHOOSE(CONTROL!$C$15, $D$11, 100%, $F$11)</f>
        <v>36.794400000000003</v>
      </c>
      <c r="K1002" s="4"/>
      <c r="L1002" s="9">
        <v>27.415299999999998</v>
      </c>
      <c r="M1002" s="9">
        <v>11.285299999999999</v>
      </c>
      <c r="N1002" s="9">
        <v>4.6254999999999997</v>
      </c>
      <c r="O1002" s="9">
        <v>0.34989999999999999</v>
      </c>
      <c r="P1002" s="9">
        <v>1.2093</v>
      </c>
      <c r="Q1002" s="9">
        <v>18.417899999999999</v>
      </c>
      <c r="R1002" s="9"/>
      <c r="S1002" s="11"/>
    </row>
    <row r="1003" spans="1:19" ht="15.75">
      <c r="A1003" s="13">
        <v>71680</v>
      </c>
      <c r="B1003" s="8">
        <f>CHOOSE( CONTROL!$C$32, 37.1148, 37.1145) * CHOOSE(CONTROL!$C$15, $D$11, 100%, $F$11)</f>
        <v>37.114800000000002</v>
      </c>
      <c r="C1003" s="8">
        <f>CHOOSE( CONTROL!$C$32, 37.1199, 37.1196) * CHOOSE(CONTROL!$C$15, $D$11, 100%, $F$11)</f>
        <v>37.119900000000001</v>
      </c>
      <c r="D1003" s="8">
        <f>CHOOSE( CONTROL!$C$32, 37.0899, 37.0896) * CHOOSE( CONTROL!$C$15, $D$11, 100%, $F$11)</f>
        <v>37.0899</v>
      </c>
      <c r="E1003" s="12">
        <f>CHOOSE( CONTROL!$C$32, 37.1003, 37.1) * CHOOSE( CONTROL!$C$15, $D$11, 100%, $F$11)</f>
        <v>37.100299999999997</v>
      </c>
      <c r="F1003" s="4">
        <f>CHOOSE( CONTROL!$C$32, 37.7801, 37.7798) * CHOOSE(CONTROL!$C$15, $D$11, 100%, $F$11)</f>
        <v>37.780099999999997</v>
      </c>
      <c r="G1003" s="8">
        <f>CHOOSE( CONTROL!$C$32, 36.6706, 36.6703) * CHOOSE( CONTROL!$C$15, $D$11, 100%, $F$11)</f>
        <v>36.6706</v>
      </c>
      <c r="H1003" s="4">
        <f>CHOOSE( CONTROL!$C$32, 37.5843, 37.584) * CHOOSE(CONTROL!$C$15, $D$11, 100%, $F$11)</f>
        <v>37.584299999999999</v>
      </c>
      <c r="I1003" s="8">
        <f>CHOOSE( CONTROL!$C$32, 36.108, 36.1077) * CHOOSE(CONTROL!$C$15, $D$11, 100%, $F$11)</f>
        <v>36.107999999999997</v>
      </c>
      <c r="J1003" s="4">
        <f>CHOOSE( CONTROL!$C$32, 36.0112, 36.0109) * CHOOSE(CONTROL!$C$15, $D$11, 100%, $F$11)</f>
        <v>36.011200000000002</v>
      </c>
      <c r="K1003" s="4"/>
      <c r="L1003" s="9">
        <v>29.306000000000001</v>
      </c>
      <c r="M1003" s="9">
        <v>12.063700000000001</v>
      </c>
      <c r="N1003" s="9">
        <v>4.9444999999999997</v>
      </c>
      <c r="O1003" s="9">
        <v>0.37409999999999999</v>
      </c>
      <c r="P1003" s="9">
        <v>1.2927</v>
      </c>
      <c r="Q1003" s="9">
        <v>19.688099999999999</v>
      </c>
      <c r="R1003" s="9"/>
      <c r="S1003" s="11"/>
    </row>
    <row r="1004" spans="1:19" ht="15.75">
      <c r="A1004" s="13">
        <v>71710</v>
      </c>
      <c r="B1004" s="8">
        <f>CHOOSE( CONTROL!$C$32, 37.6795, 37.6793) * CHOOSE(CONTROL!$C$15, $D$11, 100%, $F$11)</f>
        <v>37.679499999999997</v>
      </c>
      <c r="C1004" s="8">
        <f>CHOOSE( CONTROL!$C$32, 37.684, 37.6838) * CHOOSE(CONTROL!$C$15, $D$11, 100%, $F$11)</f>
        <v>37.683999999999997</v>
      </c>
      <c r="D1004" s="8">
        <f>CHOOSE( CONTROL!$C$32, 37.6835, 37.6833) * CHOOSE( CONTROL!$C$15, $D$11, 100%, $F$11)</f>
        <v>37.683500000000002</v>
      </c>
      <c r="E1004" s="12">
        <f>CHOOSE( CONTROL!$C$32, 37.6832, 37.683) * CHOOSE( CONTROL!$C$15, $D$11, 100%, $F$11)</f>
        <v>37.683199999999999</v>
      </c>
      <c r="F1004" s="4">
        <f>CHOOSE( CONTROL!$C$32, 38.3878, 38.3876) * CHOOSE(CONTROL!$C$15, $D$11, 100%, $F$11)</f>
        <v>38.387799999999999</v>
      </c>
      <c r="G1004" s="8">
        <f>CHOOSE( CONTROL!$C$32, 37.245, 37.2447) * CHOOSE( CONTROL!$C$15, $D$11, 100%, $F$11)</f>
        <v>37.244999999999997</v>
      </c>
      <c r="H1004" s="4">
        <f>CHOOSE( CONTROL!$C$32, 38.1849, 38.1847) * CHOOSE(CONTROL!$C$15, $D$11, 100%, $F$11)</f>
        <v>38.184899999999999</v>
      </c>
      <c r="I1004" s="8">
        <f>CHOOSE( CONTROL!$C$32, 36.6561, 36.6559) * CHOOSE(CONTROL!$C$15, $D$11, 100%, $F$11)</f>
        <v>36.656100000000002</v>
      </c>
      <c r="J1004" s="4">
        <f>CHOOSE( CONTROL!$C$32, 36.5585, 36.5582) * CHOOSE(CONTROL!$C$15, $D$11, 100%, $F$11)</f>
        <v>36.558500000000002</v>
      </c>
      <c r="K1004" s="4"/>
      <c r="L1004" s="9">
        <v>30.092199999999998</v>
      </c>
      <c r="M1004" s="9">
        <v>11.6745</v>
      </c>
      <c r="N1004" s="9">
        <v>4.7850000000000001</v>
      </c>
      <c r="O1004" s="9">
        <v>0.36199999999999999</v>
      </c>
      <c r="P1004" s="9">
        <v>1.2509999999999999</v>
      </c>
      <c r="Q1004" s="9">
        <v>19.053000000000001</v>
      </c>
      <c r="R1004" s="9"/>
      <c r="S1004" s="11"/>
    </row>
    <row r="1005" spans="1:19" ht="15.75">
      <c r="A1005" s="13">
        <v>71741</v>
      </c>
      <c r="B1005" s="8">
        <f>CHOOSE( CONTROL!$C$32, 38.6848, 38.6843) * CHOOSE(CONTROL!$C$15, $D$11, 100%, $F$11)</f>
        <v>38.684800000000003</v>
      </c>
      <c r="C1005" s="8">
        <f>CHOOSE( CONTROL!$C$32, 38.6928, 38.6923) * CHOOSE(CONTROL!$C$15, $D$11, 100%, $F$11)</f>
        <v>38.692799999999998</v>
      </c>
      <c r="D1005" s="8">
        <f>CHOOSE( CONTROL!$C$32, 38.6871, 38.6866) * CHOOSE( CONTROL!$C$15, $D$11, 100%, $F$11)</f>
        <v>38.687100000000001</v>
      </c>
      <c r="E1005" s="12">
        <f>CHOOSE( CONTROL!$C$32, 38.6879, 38.6874) * CHOOSE( CONTROL!$C$15, $D$11, 100%, $F$11)</f>
        <v>38.687899999999999</v>
      </c>
      <c r="F1005" s="4">
        <f>CHOOSE( CONTROL!$C$32, 39.3917, 39.3913) * CHOOSE(CONTROL!$C$15, $D$11, 100%, $F$11)</f>
        <v>39.3917</v>
      </c>
      <c r="G1005" s="8">
        <f>CHOOSE( CONTROL!$C$32, 38.2375, 38.237) * CHOOSE( CONTROL!$C$15, $D$11, 100%, $F$11)</f>
        <v>38.237499999999997</v>
      </c>
      <c r="H1005" s="4">
        <f>CHOOSE( CONTROL!$C$32, 39.1771, 39.1766) * CHOOSE(CONTROL!$C$15, $D$11, 100%, $F$11)</f>
        <v>39.177100000000003</v>
      </c>
      <c r="I1005" s="8">
        <f>CHOOSE( CONTROL!$C$32, 37.6315, 37.631) * CHOOSE(CONTROL!$C$15, $D$11, 100%, $F$11)</f>
        <v>37.631500000000003</v>
      </c>
      <c r="J1005" s="4">
        <f>CHOOSE( CONTROL!$C$32, 37.5328, 37.5323) * CHOOSE(CONTROL!$C$15, $D$11, 100%, $F$11)</f>
        <v>37.532800000000002</v>
      </c>
      <c r="K1005" s="4"/>
      <c r="L1005" s="9">
        <v>30.7165</v>
      </c>
      <c r="M1005" s="9">
        <v>12.063700000000001</v>
      </c>
      <c r="N1005" s="9">
        <v>4.9444999999999997</v>
      </c>
      <c r="O1005" s="9">
        <v>0.37409999999999999</v>
      </c>
      <c r="P1005" s="9">
        <v>1.2927</v>
      </c>
      <c r="Q1005" s="9">
        <v>19.688099999999999</v>
      </c>
      <c r="R1005" s="9"/>
      <c r="S1005" s="11"/>
    </row>
    <row r="1006" spans="1:19" ht="15.75">
      <c r="A1006" s="13">
        <v>71771</v>
      </c>
      <c r="B1006" s="8">
        <f>CHOOSE( CONTROL!$C$32, 38.063, 38.0626) * CHOOSE(CONTROL!$C$15, $D$11, 100%, $F$11)</f>
        <v>38.063000000000002</v>
      </c>
      <c r="C1006" s="8">
        <f>CHOOSE( CONTROL!$C$32, 38.071, 38.0705) * CHOOSE(CONTROL!$C$15, $D$11, 100%, $F$11)</f>
        <v>38.070999999999998</v>
      </c>
      <c r="D1006" s="8">
        <f>CHOOSE( CONTROL!$C$32, 38.0657, 38.0652) * CHOOSE( CONTROL!$C$15, $D$11, 100%, $F$11)</f>
        <v>38.0657</v>
      </c>
      <c r="E1006" s="12">
        <f>CHOOSE( CONTROL!$C$32, 38.0664, 38.0659) * CHOOSE( CONTROL!$C$15, $D$11, 100%, $F$11)</f>
        <v>38.066400000000002</v>
      </c>
      <c r="F1006" s="4">
        <f>CHOOSE( CONTROL!$C$32, 38.77, 38.7695) * CHOOSE(CONTROL!$C$15, $D$11, 100%, $F$11)</f>
        <v>38.770000000000003</v>
      </c>
      <c r="G1006" s="8">
        <f>CHOOSE( CONTROL!$C$32, 37.6233, 37.6228) * CHOOSE( CONTROL!$C$15, $D$11, 100%, $F$11)</f>
        <v>37.6233</v>
      </c>
      <c r="H1006" s="4">
        <f>CHOOSE( CONTROL!$C$32, 38.5626, 38.5621) * CHOOSE(CONTROL!$C$15, $D$11, 100%, $F$11)</f>
        <v>38.562600000000003</v>
      </c>
      <c r="I1006" s="8">
        <f>CHOOSE( CONTROL!$C$32, 37.0292, 37.0287) * CHOOSE(CONTROL!$C$15, $D$11, 100%, $F$11)</f>
        <v>37.029200000000003</v>
      </c>
      <c r="J1006" s="4">
        <f>CHOOSE( CONTROL!$C$32, 36.9293, 36.9289) * CHOOSE(CONTROL!$C$15, $D$11, 100%, $F$11)</f>
        <v>36.929299999999998</v>
      </c>
      <c r="K1006" s="4"/>
      <c r="L1006" s="9">
        <v>29.7257</v>
      </c>
      <c r="M1006" s="9">
        <v>11.6745</v>
      </c>
      <c r="N1006" s="9">
        <v>4.7850000000000001</v>
      </c>
      <c r="O1006" s="9">
        <v>0.36199999999999999</v>
      </c>
      <c r="P1006" s="9">
        <v>1.2509999999999999</v>
      </c>
      <c r="Q1006" s="9">
        <v>19.053000000000001</v>
      </c>
      <c r="R1006" s="9"/>
      <c r="S1006" s="11"/>
    </row>
    <row r="1007" spans="1:19" ht="15.75">
      <c r="A1007" s="13">
        <v>71802</v>
      </c>
      <c r="B1007" s="8">
        <f>CHOOSE( CONTROL!$C$32, 39.7004, 39.6999) * CHOOSE(CONTROL!$C$15, $D$11, 100%, $F$11)</f>
        <v>39.700400000000002</v>
      </c>
      <c r="C1007" s="8">
        <f>CHOOSE( CONTROL!$C$32, 39.7084, 39.7079) * CHOOSE(CONTROL!$C$15, $D$11, 100%, $F$11)</f>
        <v>39.708399999999997</v>
      </c>
      <c r="D1007" s="8">
        <f>CHOOSE( CONTROL!$C$32, 39.7035, 39.7031) * CHOOSE( CONTROL!$C$15, $D$11, 100%, $F$11)</f>
        <v>39.703499999999998</v>
      </c>
      <c r="E1007" s="12">
        <f>CHOOSE( CONTROL!$C$32, 39.7041, 39.7036) * CHOOSE( CONTROL!$C$15, $D$11, 100%, $F$11)</f>
        <v>39.704099999999997</v>
      </c>
      <c r="F1007" s="4">
        <f>CHOOSE( CONTROL!$C$32, 40.4073, 40.4069) * CHOOSE(CONTROL!$C$15, $D$11, 100%, $F$11)</f>
        <v>40.407299999999999</v>
      </c>
      <c r="G1007" s="8">
        <f>CHOOSE( CONTROL!$C$32, 39.2418, 39.2414) * CHOOSE( CONTROL!$C$15, $D$11, 100%, $F$11)</f>
        <v>39.241799999999998</v>
      </c>
      <c r="H1007" s="4">
        <f>CHOOSE( CONTROL!$C$32, 40.1808, 40.1803) * CHOOSE(CONTROL!$C$15, $D$11, 100%, $F$11)</f>
        <v>40.180799999999998</v>
      </c>
      <c r="I1007" s="8">
        <f>CHOOSE( CONTROL!$C$32, 38.6206, 38.6201) * CHOOSE(CONTROL!$C$15, $D$11, 100%, $F$11)</f>
        <v>38.620600000000003</v>
      </c>
      <c r="J1007" s="4">
        <f>CHOOSE( CONTROL!$C$32, 38.5184, 38.518) * CHOOSE(CONTROL!$C$15, $D$11, 100%, $F$11)</f>
        <v>38.5184</v>
      </c>
      <c r="K1007" s="4"/>
      <c r="L1007" s="9">
        <v>30.7165</v>
      </c>
      <c r="M1007" s="9">
        <v>12.063700000000001</v>
      </c>
      <c r="N1007" s="9">
        <v>4.9444999999999997</v>
      </c>
      <c r="O1007" s="9">
        <v>0.37409999999999999</v>
      </c>
      <c r="P1007" s="9">
        <v>1.2927</v>
      </c>
      <c r="Q1007" s="9">
        <v>19.688099999999999</v>
      </c>
      <c r="R1007" s="9"/>
      <c r="S1007" s="11"/>
    </row>
    <row r="1008" spans="1:19" ht="15.75">
      <c r="A1008" s="13">
        <v>71833</v>
      </c>
      <c r="B1008" s="8">
        <f>CHOOSE( CONTROL!$C$32, 36.6367, 36.6362) * CHOOSE(CONTROL!$C$15, $D$11, 100%, $F$11)</f>
        <v>36.636699999999998</v>
      </c>
      <c r="C1008" s="8">
        <f>CHOOSE( CONTROL!$C$32, 36.6447, 36.6442) * CHOOSE(CONTROL!$C$15, $D$11, 100%, $F$11)</f>
        <v>36.6447</v>
      </c>
      <c r="D1008" s="8">
        <f>CHOOSE( CONTROL!$C$32, 36.64, 36.6395) * CHOOSE( CONTROL!$C$15, $D$11, 100%, $F$11)</f>
        <v>36.64</v>
      </c>
      <c r="E1008" s="12">
        <f>CHOOSE( CONTROL!$C$32, 36.6405, 36.64) * CHOOSE( CONTROL!$C$15, $D$11, 100%, $F$11)</f>
        <v>36.640500000000003</v>
      </c>
      <c r="F1008" s="4">
        <f>CHOOSE( CONTROL!$C$32, 37.3436, 37.3432) * CHOOSE(CONTROL!$C$15, $D$11, 100%, $F$11)</f>
        <v>37.343600000000002</v>
      </c>
      <c r="G1008" s="8">
        <f>CHOOSE( CONTROL!$C$32, 36.2141, 36.2137) * CHOOSE( CONTROL!$C$15, $D$11, 100%, $F$11)</f>
        <v>36.214100000000002</v>
      </c>
      <c r="H1008" s="4">
        <f>CHOOSE( CONTROL!$C$32, 37.153, 37.1525) * CHOOSE(CONTROL!$C$15, $D$11, 100%, $F$11)</f>
        <v>37.152999999999999</v>
      </c>
      <c r="I1008" s="8">
        <f>CHOOSE( CONTROL!$C$32, 35.6462, 35.6458) * CHOOSE(CONTROL!$C$15, $D$11, 100%, $F$11)</f>
        <v>35.6462</v>
      </c>
      <c r="J1008" s="4">
        <f>CHOOSE( CONTROL!$C$32, 35.5451, 35.5447) * CHOOSE(CONTROL!$C$15, $D$11, 100%, $F$11)</f>
        <v>35.545099999999998</v>
      </c>
      <c r="K1008" s="4"/>
      <c r="L1008" s="9">
        <v>30.7165</v>
      </c>
      <c r="M1008" s="9">
        <v>12.063700000000001</v>
      </c>
      <c r="N1008" s="9">
        <v>4.9444999999999997</v>
      </c>
      <c r="O1008" s="9">
        <v>0.37409999999999999</v>
      </c>
      <c r="P1008" s="9">
        <v>1.2927</v>
      </c>
      <c r="Q1008" s="9">
        <v>19.688099999999999</v>
      </c>
      <c r="R1008" s="9"/>
      <c r="S1008" s="11"/>
    </row>
    <row r="1009" spans="1:19" ht="15.75">
      <c r="A1009" s="13">
        <v>71863</v>
      </c>
      <c r="B1009" s="8">
        <f>CHOOSE( CONTROL!$C$32, 35.8695, 35.8691) * CHOOSE(CONTROL!$C$15, $D$11, 100%, $F$11)</f>
        <v>35.869500000000002</v>
      </c>
      <c r="C1009" s="8">
        <f>CHOOSE( CONTROL!$C$32, 35.8775, 35.877) * CHOOSE(CONTROL!$C$15, $D$11, 100%, $F$11)</f>
        <v>35.877499999999998</v>
      </c>
      <c r="D1009" s="8">
        <f>CHOOSE( CONTROL!$C$32, 35.8726, 35.8722) * CHOOSE( CONTROL!$C$15, $D$11, 100%, $F$11)</f>
        <v>35.872599999999998</v>
      </c>
      <c r="E1009" s="12">
        <f>CHOOSE( CONTROL!$C$32, 35.8732, 35.8727) * CHOOSE( CONTROL!$C$15, $D$11, 100%, $F$11)</f>
        <v>35.873199999999997</v>
      </c>
      <c r="F1009" s="4">
        <f>CHOOSE( CONTROL!$C$32, 36.5765, 36.576) * CHOOSE(CONTROL!$C$15, $D$11, 100%, $F$11)</f>
        <v>36.576500000000003</v>
      </c>
      <c r="G1009" s="8">
        <f>CHOOSE( CONTROL!$C$32, 35.4558, 35.4554) * CHOOSE( CONTROL!$C$15, $D$11, 100%, $F$11)</f>
        <v>35.455800000000004</v>
      </c>
      <c r="H1009" s="4">
        <f>CHOOSE( CONTROL!$C$32, 36.3948, 36.3943) * CHOOSE(CONTROL!$C$15, $D$11, 100%, $F$11)</f>
        <v>36.394799999999996</v>
      </c>
      <c r="I1009" s="8">
        <f>CHOOSE( CONTROL!$C$32, 34.9008, 34.9004) * CHOOSE(CONTROL!$C$15, $D$11, 100%, $F$11)</f>
        <v>34.900799999999997</v>
      </c>
      <c r="J1009" s="4">
        <f>CHOOSE( CONTROL!$C$32, 34.8005, 34.8001) * CHOOSE(CONTROL!$C$15, $D$11, 100%, $F$11)</f>
        <v>34.8005</v>
      </c>
      <c r="K1009" s="4"/>
      <c r="L1009" s="9">
        <v>29.7257</v>
      </c>
      <c r="M1009" s="9">
        <v>11.6745</v>
      </c>
      <c r="N1009" s="9">
        <v>4.7850000000000001</v>
      </c>
      <c r="O1009" s="9">
        <v>0.36199999999999999</v>
      </c>
      <c r="P1009" s="9">
        <v>1.2509999999999999</v>
      </c>
      <c r="Q1009" s="9">
        <v>19.053000000000001</v>
      </c>
      <c r="R1009" s="9"/>
      <c r="S1009" s="11"/>
    </row>
    <row r="1010" spans="1:19" ht="15.75">
      <c r="A1010" s="13">
        <v>71894</v>
      </c>
      <c r="B1010" s="8">
        <f>CHOOSE( CONTROL!$C$32, 37.4605, 37.4603) * CHOOSE(CONTROL!$C$15, $D$11, 100%, $F$11)</f>
        <v>37.460500000000003</v>
      </c>
      <c r="C1010" s="8">
        <f>CHOOSE( CONTROL!$C$32, 37.4659, 37.4656) * CHOOSE(CONTROL!$C$15, $D$11, 100%, $F$11)</f>
        <v>37.465899999999998</v>
      </c>
      <c r="D1010" s="8">
        <f>CHOOSE( CONTROL!$C$32, 37.4661, 37.4658) * CHOOSE( CONTROL!$C$15, $D$11, 100%, $F$11)</f>
        <v>37.466099999999997</v>
      </c>
      <c r="E1010" s="12">
        <f>CHOOSE( CONTROL!$C$32, 37.4655, 37.4652) * CHOOSE( CONTROL!$C$15, $D$11, 100%, $F$11)</f>
        <v>37.465499999999999</v>
      </c>
      <c r="F1010" s="4">
        <f>CHOOSE( CONTROL!$C$32, 38.1692, 38.1689) * CHOOSE(CONTROL!$C$15, $D$11, 100%, $F$11)</f>
        <v>38.169199999999996</v>
      </c>
      <c r="G1010" s="8">
        <f>CHOOSE( CONTROL!$C$32, 37.0299, 37.0296) * CHOOSE( CONTROL!$C$15, $D$11, 100%, $F$11)</f>
        <v>37.029899999999998</v>
      </c>
      <c r="H1010" s="4">
        <f>CHOOSE( CONTROL!$C$32, 37.9689, 37.9686) * CHOOSE(CONTROL!$C$15, $D$11, 100%, $F$11)</f>
        <v>37.968899999999998</v>
      </c>
      <c r="I1010" s="8">
        <f>CHOOSE( CONTROL!$C$32, 36.448, 36.4478) * CHOOSE(CONTROL!$C$15, $D$11, 100%, $F$11)</f>
        <v>36.448</v>
      </c>
      <c r="J1010" s="4">
        <f>CHOOSE( CONTROL!$C$32, 36.3463, 36.346) * CHOOSE(CONTROL!$C$15, $D$11, 100%, $F$11)</f>
        <v>36.346299999999999</v>
      </c>
      <c r="K1010" s="4"/>
      <c r="L1010" s="9">
        <v>31.095300000000002</v>
      </c>
      <c r="M1010" s="9">
        <v>12.063700000000001</v>
      </c>
      <c r="N1010" s="9">
        <v>4.9444999999999997</v>
      </c>
      <c r="O1010" s="9">
        <v>0.37409999999999999</v>
      </c>
      <c r="P1010" s="9">
        <v>1.2927</v>
      </c>
      <c r="Q1010" s="9">
        <v>19.688099999999999</v>
      </c>
      <c r="R1010" s="9"/>
      <c r="S1010" s="11"/>
    </row>
    <row r="1011" spans="1:19" ht="15.75">
      <c r="A1011" s="13">
        <v>71924</v>
      </c>
      <c r="B1011" s="8">
        <f>CHOOSE( CONTROL!$C$32, 40.4004, 40.4001) * CHOOSE(CONTROL!$C$15, $D$11, 100%, $F$11)</f>
        <v>40.400399999999998</v>
      </c>
      <c r="C1011" s="8">
        <f>CHOOSE( CONTROL!$C$32, 40.4055, 40.4052) * CHOOSE(CONTROL!$C$15, $D$11, 100%, $F$11)</f>
        <v>40.405500000000004</v>
      </c>
      <c r="D1011" s="8">
        <f>CHOOSE( CONTROL!$C$32, 40.3733, 40.3731) * CHOOSE( CONTROL!$C$15, $D$11, 100%, $F$11)</f>
        <v>40.3733</v>
      </c>
      <c r="E1011" s="12">
        <f>CHOOSE( CONTROL!$C$32, 40.3845, 40.3843) * CHOOSE( CONTROL!$C$15, $D$11, 100%, $F$11)</f>
        <v>40.384500000000003</v>
      </c>
      <c r="F1011" s="4">
        <f>CHOOSE( CONTROL!$C$32, 41.0657, 41.0654) * CHOOSE(CONTROL!$C$15, $D$11, 100%, $F$11)</f>
        <v>41.0657</v>
      </c>
      <c r="G1011" s="8">
        <f>CHOOSE( CONTROL!$C$32, 39.9246, 39.9244) * CHOOSE( CONTROL!$C$15, $D$11, 100%, $F$11)</f>
        <v>39.924599999999998</v>
      </c>
      <c r="H1011" s="4">
        <f>CHOOSE( CONTROL!$C$32, 40.8314, 40.8311) * CHOOSE(CONTROL!$C$15, $D$11, 100%, $F$11)</f>
        <v>40.831400000000002</v>
      </c>
      <c r="I1011" s="8">
        <f>CHOOSE( CONTROL!$C$32, 39.3538, 39.3535) * CHOOSE(CONTROL!$C$15, $D$11, 100%, $F$11)</f>
        <v>39.3538</v>
      </c>
      <c r="J1011" s="4">
        <f>CHOOSE( CONTROL!$C$32, 39.1998, 39.1995) * CHOOSE(CONTROL!$C$15, $D$11, 100%, $F$11)</f>
        <v>39.199800000000003</v>
      </c>
      <c r="K1011" s="4"/>
      <c r="L1011" s="9">
        <v>28.360600000000002</v>
      </c>
      <c r="M1011" s="9">
        <v>11.6745</v>
      </c>
      <c r="N1011" s="9">
        <v>4.7850000000000001</v>
      </c>
      <c r="O1011" s="9">
        <v>0.36199999999999999</v>
      </c>
      <c r="P1011" s="9">
        <v>1.2509999999999999</v>
      </c>
      <c r="Q1011" s="9">
        <v>19.053000000000001</v>
      </c>
      <c r="R1011" s="9"/>
      <c r="S1011" s="11"/>
    </row>
    <row r="1012" spans="1:19" ht="15.75">
      <c r="A1012" s="13">
        <v>71955</v>
      </c>
      <c r="B1012" s="8">
        <f>CHOOSE( CONTROL!$C$32, 40.3269, 40.3266) * CHOOSE(CONTROL!$C$15, $D$11, 100%, $F$11)</f>
        <v>40.326900000000002</v>
      </c>
      <c r="C1012" s="8">
        <f>CHOOSE( CONTROL!$C$32, 40.332, 40.3317) * CHOOSE(CONTROL!$C$15, $D$11, 100%, $F$11)</f>
        <v>40.332000000000001</v>
      </c>
      <c r="D1012" s="8">
        <f>CHOOSE( CONTROL!$C$32, 40.3017, 40.3014) * CHOOSE( CONTROL!$C$15, $D$11, 100%, $F$11)</f>
        <v>40.301699999999997</v>
      </c>
      <c r="E1012" s="12">
        <f>CHOOSE( CONTROL!$C$32, 40.3122, 40.3119) * CHOOSE( CONTROL!$C$15, $D$11, 100%, $F$11)</f>
        <v>40.312199999999997</v>
      </c>
      <c r="F1012" s="4">
        <f>CHOOSE( CONTROL!$C$32, 40.9922, 40.9919) * CHOOSE(CONTROL!$C$15, $D$11, 100%, $F$11)</f>
        <v>40.992199999999997</v>
      </c>
      <c r="G1012" s="8">
        <f>CHOOSE( CONTROL!$C$32, 39.8533, 39.8531) * CHOOSE( CONTROL!$C$15, $D$11, 100%, $F$11)</f>
        <v>39.853299999999997</v>
      </c>
      <c r="H1012" s="4">
        <f>CHOOSE( CONTROL!$C$32, 40.7588, 40.7585) * CHOOSE(CONTROL!$C$15, $D$11, 100%, $F$11)</f>
        <v>40.758800000000001</v>
      </c>
      <c r="I1012" s="8">
        <f>CHOOSE( CONTROL!$C$32, 39.2882, 39.2879) * CHOOSE(CONTROL!$C$15, $D$11, 100%, $F$11)</f>
        <v>39.288200000000003</v>
      </c>
      <c r="J1012" s="4">
        <f>CHOOSE( CONTROL!$C$32, 39.1285, 39.1283) * CHOOSE(CONTROL!$C$15, $D$11, 100%, $F$11)</f>
        <v>39.128500000000003</v>
      </c>
      <c r="K1012" s="4"/>
      <c r="L1012" s="9">
        <v>29.306000000000001</v>
      </c>
      <c r="M1012" s="9">
        <v>12.063700000000001</v>
      </c>
      <c r="N1012" s="9">
        <v>4.9444999999999997</v>
      </c>
      <c r="O1012" s="9">
        <v>0.37409999999999999</v>
      </c>
      <c r="P1012" s="9">
        <v>1.2927</v>
      </c>
      <c r="Q1012" s="9">
        <v>19.688099999999999</v>
      </c>
      <c r="R1012" s="9"/>
      <c r="S1012" s="11"/>
    </row>
    <row r="1013" spans="1:19" ht="15.75">
      <c r="A1013" s="13">
        <v>71986</v>
      </c>
      <c r="B1013" s="8">
        <f>CHOOSE( CONTROL!$C$32, 41.5162, 41.5159) * CHOOSE(CONTROL!$C$15, $D$11, 100%, $F$11)</f>
        <v>41.516199999999998</v>
      </c>
      <c r="C1013" s="8">
        <f>CHOOSE( CONTROL!$C$32, 41.5212, 41.521) * CHOOSE(CONTROL!$C$15, $D$11, 100%, $F$11)</f>
        <v>41.5212</v>
      </c>
      <c r="D1013" s="8">
        <f>CHOOSE( CONTROL!$C$32, 41.5189, 41.5186) * CHOOSE( CONTROL!$C$15, $D$11, 100%, $F$11)</f>
        <v>41.518900000000002</v>
      </c>
      <c r="E1013" s="12">
        <f>CHOOSE( CONTROL!$C$32, 41.5192, 41.5189) * CHOOSE( CONTROL!$C$15, $D$11, 100%, $F$11)</f>
        <v>41.519199999999998</v>
      </c>
      <c r="F1013" s="4">
        <f>CHOOSE( CONTROL!$C$32, 42.1814, 42.1812) * CHOOSE(CONTROL!$C$15, $D$11, 100%, $F$11)</f>
        <v>42.181399999999996</v>
      </c>
      <c r="G1013" s="8">
        <f>CHOOSE( CONTROL!$C$32, 41.0448, 41.0445) * CHOOSE( CONTROL!$C$15, $D$11, 100%, $F$11)</f>
        <v>41.044800000000002</v>
      </c>
      <c r="H1013" s="4">
        <f>CHOOSE( CONTROL!$C$32, 41.9341, 41.9338) * CHOOSE(CONTROL!$C$15, $D$11, 100%, $F$11)</f>
        <v>41.934100000000001</v>
      </c>
      <c r="I1013" s="8">
        <f>CHOOSE( CONTROL!$C$32, 40.4164, 40.4162) * CHOOSE(CONTROL!$C$15, $D$11, 100%, $F$11)</f>
        <v>40.416400000000003</v>
      </c>
      <c r="J1013" s="4">
        <f>CHOOSE( CONTROL!$C$32, 40.2827, 40.2824) * CHOOSE(CONTROL!$C$15, $D$11, 100%, $F$11)</f>
        <v>40.282699999999998</v>
      </c>
      <c r="K1013" s="4"/>
      <c r="L1013" s="9">
        <v>29.306000000000001</v>
      </c>
      <c r="M1013" s="9">
        <v>12.063700000000001</v>
      </c>
      <c r="N1013" s="9">
        <v>4.9444999999999997</v>
      </c>
      <c r="O1013" s="9">
        <v>0.37409999999999999</v>
      </c>
      <c r="P1013" s="9">
        <v>1.2927</v>
      </c>
      <c r="Q1013" s="9">
        <v>19.688099999999999</v>
      </c>
      <c r="R1013" s="9"/>
      <c r="S1013" s="11"/>
    </row>
    <row r="1014" spans="1:19" ht="15.75">
      <c r="A1014" s="13">
        <v>72014</v>
      </c>
      <c r="B1014" s="8">
        <f>CHOOSE( CONTROL!$C$32, 38.8328, 38.8325) * CHOOSE(CONTROL!$C$15, $D$11, 100%, $F$11)</f>
        <v>38.832799999999999</v>
      </c>
      <c r="C1014" s="8">
        <f>CHOOSE( CONTROL!$C$32, 38.8379, 38.8376) * CHOOSE(CONTROL!$C$15, $D$11, 100%, $F$11)</f>
        <v>38.837899999999998</v>
      </c>
      <c r="D1014" s="8">
        <f>CHOOSE( CONTROL!$C$32, 38.8178, 38.8176) * CHOOSE( CONTROL!$C$15, $D$11, 100%, $F$11)</f>
        <v>38.817799999999998</v>
      </c>
      <c r="E1014" s="12">
        <f>CHOOSE( CONTROL!$C$32, 38.8246, 38.8244) * CHOOSE( CONTROL!$C$15, $D$11, 100%, $F$11)</f>
        <v>38.824599999999997</v>
      </c>
      <c r="F1014" s="4">
        <f>CHOOSE( CONTROL!$C$32, 39.4981, 39.4978) * CHOOSE(CONTROL!$C$15, $D$11, 100%, $F$11)</f>
        <v>39.498100000000001</v>
      </c>
      <c r="G1014" s="8">
        <f>CHOOSE( CONTROL!$C$32, 38.3817, 38.3815) * CHOOSE( CONTROL!$C$15, $D$11, 100%, $F$11)</f>
        <v>38.381700000000002</v>
      </c>
      <c r="H1014" s="4">
        <f>CHOOSE( CONTROL!$C$32, 39.2822, 39.2819) * CHOOSE(CONTROL!$C$15, $D$11, 100%, $F$11)</f>
        <v>39.282200000000003</v>
      </c>
      <c r="I1014" s="8">
        <f>CHOOSE( CONTROL!$C$32, 37.8114, 37.8111) * CHOOSE(CONTROL!$C$15, $D$11, 100%, $F$11)</f>
        <v>37.811399999999999</v>
      </c>
      <c r="J1014" s="4">
        <f>CHOOSE( CONTROL!$C$32, 37.6785, 37.6782) * CHOOSE(CONTROL!$C$15, $D$11, 100%, $F$11)</f>
        <v>37.6785</v>
      </c>
      <c r="K1014" s="4"/>
      <c r="L1014" s="9">
        <v>26.469899999999999</v>
      </c>
      <c r="M1014" s="9">
        <v>10.8962</v>
      </c>
      <c r="N1014" s="9">
        <v>4.4660000000000002</v>
      </c>
      <c r="O1014" s="9">
        <v>0.33789999999999998</v>
      </c>
      <c r="P1014" s="9">
        <v>1.1676</v>
      </c>
      <c r="Q1014" s="9">
        <v>17.782800000000002</v>
      </c>
      <c r="R1014" s="9"/>
      <c r="S1014" s="11"/>
    </row>
    <row r="1015" spans="1:19" ht="15.75">
      <c r="A1015" s="13">
        <v>72045</v>
      </c>
      <c r="B1015" s="8">
        <f>CHOOSE( CONTROL!$C$32, 38.0063, 38.0061) * CHOOSE(CONTROL!$C$15, $D$11, 100%, $F$11)</f>
        <v>38.006300000000003</v>
      </c>
      <c r="C1015" s="8">
        <f>CHOOSE( CONTROL!$C$32, 38.0114, 38.0111) * CHOOSE(CONTROL!$C$15, $D$11, 100%, $F$11)</f>
        <v>38.011400000000002</v>
      </c>
      <c r="D1015" s="8">
        <f>CHOOSE( CONTROL!$C$32, 37.9814, 37.9812) * CHOOSE( CONTROL!$C$15, $D$11, 100%, $F$11)</f>
        <v>37.981400000000001</v>
      </c>
      <c r="E1015" s="12">
        <f>CHOOSE( CONTROL!$C$32, 37.9918, 37.9916) * CHOOSE( CONTROL!$C$15, $D$11, 100%, $F$11)</f>
        <v>37.991799999999998</v>
      </c>
      <c r="F1015" s="4">
        <f>CHOOSE( CONTROL!$C$32, 38.6716, 38.6714) * CHOOSE(CONTROL!$C$15, $D$11, 100%, $F$11)</f>
        <v>38.671599999999998</v>
      </c>
      <c r="G1015" s="8">
        <f>CHOOSE( CONTROL!$C$32, 37.5517, 37.5514) * CHOOSE( CONTROL!$C$15, $D$11, 100%, $F$11)</f>
        <v>37.551699999999997</v>
      </c>
      <c r="H1015" s="4">
        <f>CHOOSE( CONTROL!$C$32, 38.4654, 38.4651) * CHOOSE(CONTROL!$C$15, $D$11, 100%, $F$11)</f>
        <v>38.465400000000002</v>
      </c>
      <c r="I1015" s="8">
        <f>CHOOSE( CONTROL!$C$32, 36.9737, 36.9734) * CHOOSE(CONTROL!$C$15, $D$11, 100%, $F$11)</f>
        <v>36.973700000000001</v>
      </c>
      <c r="J1015" s="4">
        <f>CHOOSE( CONTROL!$C$32, 36.8764, 36.8761) * CHOOSE(CONTROL!$C$15, $D$11, 100%, $F$11)</f>
        <v>36.876399999999997</v>
      </c>
      <c r="K1015" s="4"/>
      <c r="L1015" s="9">
        <v>29.306000000000001</v>
      </c>
      <c r="M1015" s="9">
        <v>12.063700000000001</v>
      </c>
      <c r="N1015" s="9">
        <v>4.9444999999999997</v>
      </c>
      <c r="O1015" s="9">
        <v>0.37409999999999999</v>
      </c>
      <c r="P1015" s="9">
        <v>1.2927</v>
      </c>
      <c r="Q1015" s="9">
        <v>19.688099999999999</v>
      </c>
      <c r="R1015" s="9"/>
      <c r="S1015" s="11"/>
    </row>
    <row r="1016" spans="1:19" ht="15.75">
      <c r="A1016" s="13">
        <v>72075</v>
      </c>
      <c r="B1016" s="8">
        <f>CHOOSE( CONTROL!$C$32, 38.5846, 38.5844) * CHOOSE(CONTROL!$C$15, $D$11, 100%, $F$11)</f>
        <v>38.584600000000002</v>
      </c>
      <c r="C1016" s="8">
        <f>CHOOSE( CONTROL!$C$32, 38.5891, 38.5889) * CHOOSE(CONTROL!$C$15, $D$11, 100%, $F$11)</f>
        <v>38.589100000000002</v>
      </c>
      <c r="D1016" s="8">
        <f>CHOOSE( CONTROL!$C$32, 38.5886, 38.5884) * CHOOSE( CONTROL!$C$15, $D$11, 100%, $F$11)</f>
        <v>38.5886</v>
      </c>
      <c r="E1016" s="12">
        <f>CHOOSE( CONTROL!$C$32, 38.5883, 38.5881) * CHOOSE( CONTROL!$C$15, $D$11, 100%, $F$11)</f>
        <v>38.588299999999997</v>
      </c>
      <c r="F1016" s="4">
        <f>CHOOSE( CONTROL!$C$32, 39.2929, 39.2927) * CHOOSE(CONTROL!$C$15, $D$11, 100%, $F$11)</f>
        <v>39.292900000000003</v>
      </c>
      <c r="G1016" s="8">
        <f>CHOOSE( CONTROL!$C$32, 38.1395, 38.1392) * CHOOSE( CONTROL!$C$15, $D$11, 100%, $F$11)</f>
        <v>38.139499999999998</v>
      </c>
      <c r="H1016" s="4">
        <f>CHOOSE( CONTROL!$C$32, 39.0794, 39.0792) * CHOOSE(CONTROL!$C$15, $D$11, 100%, $F$11)</f>
        <v>39.0794</v>
      </c>
      <c r="I1016" s="8">
        <f>CHOOSE( CONTROL!$C$32, 37.535, 37.5347) * CHOOSE(CONTROL!$C$15, $D$11, 100%, $F$11)</f>
        <v>37.534999999999997</v>
      </c>
      <c r="J1016" s="4">
        <f>CHOOSE( CONTROL!$C$32, 37.4369, 37.4366) * CHOOSE(CONTROL!$C$15, $D$11, 100%, $F$11)</f>
        <v>37.436900000000001</v>
      </c>
      <c r="K1016" s="4"/>
      <c r="L1016" s="9">
        <v>30.092199999999998</v>
      </c>
      <c r="M1016" s="9">
        <v>11.6745</v>
      </c>
      <c r="N1016" s="9">
        <v>4.7850000000000001</v>
      </c>
      <c r="O1016" s="9">
        <v>0.36199999999999999</v>
      </c>
      <c r="P1016" s="9">
        <v>1.2509999999999999</v>
      </c>
      <c r="Q1016" s="9">
        <v>19.053000000000001</v>
      </c>
      <c r="R1016" s="9"/>
      <c r="S1016" s="11"/>
    </row>
    <row r="1017" spans="1:19" ht="15.75">
      <c r="A1017" s="13">
        <v>72106</v>
      </c>
      <c r="B1017" s="8">
        <f>CHOOSE( CONTROL!$C$32, 39.614, 39.6136) * CHOOSE(CONTROL!$C$15, $D$11, 100%, $F$11)</f>
        <v>39.613999999999997</v>
      </c>
      <c r="C1017" s="8">
        <f>CHOOSE( CONTROL!$C$32, 39.622, 39.6215) * CHOOSE(CONTROL!$C$15, $D$11, 100%, $F$11)</f>
        <v>39.622</v>
      </c>
      <c r="D1017" s="8">
        <f>CHOOSE( CONTROL!$C$32, 39.6163, 39.6158) * CHOOSE( CONTROL!$C$15, $D$11, 100%, $F$11)</f>
        <v>39.616300000000003</v>
      </c>
      <c r="E1017" s="12">
        <f>CHOOSE( CONTROL!$C$32, 39.6171, 39.6167) * CHOOSE( CONTROL!$C$15, $D$11, 100%, $F$11)</f>
        <v>39.617100000000001</v>
      </c>
      <c r="F1017" s="4">
        <f>CHOOSE( CONTROL!$C$32, 40.321, 40.3205) * CHOOSE(CONTROL!$C$15, $D$11, 100%, $F$11)</f>
        <v>40.320999999999998</v>
      </c>
      <c r="G1017" s="8">
        <f>CHOOSE( CONTROL!$C$32, 39.1558, 39.1553) * CHOOSE( CONTROL!$C$15, $D$11, 100%, $F$11)</f>
        <v>39.155799999999999</v>
      </c>
      <c r="H1017" s="4">
        <f>CHOOSE( CONTROL!$C$32, 40.0954, 40.095) * CHOOSE(CONTROL!$C$15, $D$11, 100%, $F$11)</f>
        <v>40.095399999999998</v>
      </c>
      <c r="I1017" s="8">
        <f>CHOOSE( CONTROL!$C$32, 38.5337, 38.5333) * CHOOSE(CONTROL!$C$15, $D$11, 100%, $F$11)</f>
        <v>38.533700000000003</v>
      </c>
      <c r="J1017" s="4">
        <f>CHOOSE( CONTROL!$C$32, 38.4346, 38.4341) * CHOOSE(CONTROL!$C$15, $D$11, 100%, $F$11)</f>
        <v>38.434600000000003</v>
      </c>
      <c r="K1017" s="4"/>
      <c r="L1017" s="9">
        <v>30.7165</v>
      </c>
      <c r="M1017" s="9">
        <v>12.063700000000001</v>
      </c>
      <c r="N1017" s="9">
        <v>4.9444999999999997</v>
      </c>
      <c r="O1017" s="9">
        <v>0.37409999999999999</v>
      </c>
      <c r="P1017" s="9">
        <v>1.2927</v>
      </c>
      <c r="Q1017" s="9">
        <v>19.688099999999999</v>
      </c>
      <c r="R1017" s="9"/>
      <c r="S1017" s="11"/>
    </row>
    <row r="1018" spans="1:19" ht="15.75">
      <c r="A1018" s="13">
        <v>72136</v>
      </c>
      <c r="B1018" s="8">
        <f>CHOOSE( CONTROL!$C$32, 38.9773, 38.9768) * CHOOSE(CONTROL!$C$15, $D$11, 100%, $F$11)</f>
        <v>38.9773</v>
      </c>
      <c r="C1018" s="8">
        <f>CHOOSE( CONTROL!$C$32, 38.9853, 38.9848) * CHOOSE(CONTROL!$C$15, $D$11, 100%, $F$11)</f>
        <v>38.985300000000002</v>
      </c>
      <c r="D1018" s="8">
        <f>CHOOSE( CONTROL!$C$32, 38.98, 38.9795) * CHOOSE( CONTROL!$C$15, $D$11, 100%, $F$11)</f>
        <v>38.979999999999997</v>
      </c>
      <c r="E1018" s="12">
        <f>CHOOSE( CONTROL!$C$32, 38.9807, 38.9802) * CHOOSE( CONTROL!$C$15, $D$11, 100%, $F$11)</f>
        <v>38.980699999999999</v>
      </c>
      <c r="F1018" s="4">
        <f>CHOOSE( CONTROL!$C$32, 39.6842, 39.6838) * CHOOSE(CONTROL!$C$15, $D$11, 100%, $F$11)</f>
        <v>39.684199999999997</v>
      </c>
      <c r="G1018" s="8">
        <f>CHOOSE( CONTROL!$C$32, 38.5269, 38.5264) * CHOOSE( CONTROL!$C$15, $D$11, 100%, $F$11)</f>
        <v>38.526899999999998</v>
      </c>
      <c r="H1018" s="4">
        <f>CHOOSE( CONTROL!$C$32, 39.4662, 39.4657) * CHOOSE(CONTROL!$C$15, $D$11, 100%, $F$11)</f>
        <v>39.466200000000001</v>
      </c>
      <c r="I1018" s="8">
        <f>CHOOSE( CONTROL!$C$32, 37.9169, 37.9165) * CHOOSE(CONTROL!$C$15, $D$11, 100%, $F$11)</f>
        <v>37.916899999999998</v>
      </c>
      <c r="J1018" s="4">
        <f>CHOOSE( CONTROL!$C$32, 37.8167, 37.8162) * CHOOSE(CONTROL!$C$15, $D$11, 100%, $F$11)</f>
        <v>37.816699999999997</v>
      </c>
      <c r="K1018" s="4"/>
      <c r="L1018" s="9">
        <v>29.7257</v>
      </c>
      <c r="M1018" s="9">
        <v>11.6745</v>
      </c>
      <c r="N1018" s="9">
        <v>4.7850000000000001</v>
      </c>
      <c r="O1018" s="9">
        <v>0.36199999999999999</v>
      </c>
      <c r="P1018" s="9">
        <v>1.2509999999999999</v>
      </c>
      <c r="Q1018" s="9">
        <v>19.053000000000001</v>
      </c>
      <c r="R1018" s="9"/>
      <c r="S1018" s="11"/>
    </row>
    <row r="1019" spans="1:19" ht="15.75">
      <c r="A1019" s="13">
        <v>72167</v>
      </c>
      <c r="B1019" s="8">
        <f>CHOOSE( CONTROL!$C$32, 40.654, 40.6536) * CHOOSE(CONTROL!$C$15, $D$11, 100%, $F$11)</f>
        <v>40.654000000000003</v>
      </c>
      <c r="C1019" s="8">
        <f>CHOOSE( CONTROL!$C$32, 40.662, 40.6615) * CHOOSE(CONTROL!$C$15, $D$11, 100%, $F$11)</f>
        <v>40.661999999999999</v>
      </c>
      <c r="D1019" s="8">
        <f>CHOOSE( CONTROL!$C$32, 40.6571, 40.6567) * CHOOSE( CONTROL!$C$15, $D$11, 100%, $F$11)</f>
        <v>40.6571</v>
      </c>
      <c r="E1019" s="12">
        <f>CHOOSE( CONTROL!$C$32, 40.6577, 40.6572) * CHOOSE( CONTROL!$C$15, $D$11, 100%, $F$11)</f>
        <v>40.657699999999998</v>
      </c>
      <c r="F1019" s="4">
        <f>CHOOSE( CONTROL!$C$32, 41.3609, 41.3605) * CHOOSE(CONTROL!$C$15, $D$11, 100%, $F$11)</f>
        <v>41.360900000000001</v>
      </c>
      <c r="G1019" s="8">
        <f>CHOOSE( CONTROL!$C$32, 40.1843, 40.1838) * CHOOSE( CONTROL!$C$15, $D$11, 100%, $F$11)</f>
        <v>40.1843</v>
      </c>
      <c r="H1019" s="4">
        <f>CHOOSE( CONTROL!$C$32, 41.1232, 41.1228) * CHOOSE(CONTROL!$C$15, $D$11, 100%, $F$11)</f>
        <v>41.123199999999997</v>
      </c>
      <c r="I1019" s="8">
        <f>CHOOSE( CONTROL!$C$32, 39.5465, 39.5461) * CHOOSE(CONTROL!$C$15, $D$11, 100%, $F$11)</f>
        <v>39.546500000000002</v>
      </c>
      <c r="J1019" s="4">
        <f>CHOOSE( CONTROL!$C$32, 39.4439, 39.4435) * CHOOSE(CONTROL!$C$15, $D$11, 100%, $F$11)</f>
        <v>39.443899999999999</v>
      </c>
      <c r="K1019" s="4"/>
      <c r="L1019" s="9">
        <v>30.7165</v>
      </c>
      <c r="M1019" s="9">
        <v>12.063700000000001</v>
      </c>
      <c r="N1019" s="9">
        <v>4.9444999999999997</v>
      </c>
      <c r="O1019" s="9">
        <v>0.37409999999999999</v>
      </c>
      <c r="P1019" s="9">
        <v>1.2927</v>
      </c>
      <c r="Q1019" s="9">
        <v>19.688099999999999</v>
      </c>
      <c r="R1019" s="9"/>
      <c r="S1019" s="11"/>
    </row>
    <row r="1020" spans="1:19" ht="15.75">
      <c r="A1020" s="13">
        <v>72198</v>
      </c>
      <c r="B1020" s="8">
        <f>CHOOSE( CONTROL!$C$32, 37.5167, 37.5163) * CHOOSE(CONTROL!$C$15, $D$11, 100%, $F$11)</f>
        <v>37.5167</v>
      </c>
      <c r="C1020" s="8">
        <f>CHOOSE( CONTROL!$C$32, 37.5247, 37.5242) * CHOOSE(CONTROL!$C$15, $D$11, 100%, $F$11)</f>
        <v>37.524700000000003</v>
      </c>
      <c r="D1020" s="8">
        <f>CHOOSE( CONTROL!$C$32, 37.52, 37.5195) * CHOOSE( CONTROL!$C$15, $D$11, 100%, $F$11)</f>
        <v>37.520000000000003</v>
      </c>
      <c r="E1020" s="12">
        <f>CHOOSE( CONTROL!$C$32, 37.5205, 37.52) * CHOOSE( CONTROL!$C$15, $D$11, 100%, $F$11)</f>
        <v>37.520499999999998</v>
      </c>
      <c r="F1020" s="4">
        <f>CHOOSE( CONTROL!$C$32, 38.2237, 38.2232) * CHOOSE(CONTROL!$C$15, $D$11, 100%, $F$11)</f>
        <v>38.223700000000001</v>
      </c>
      <c r="G1020" s="8">
        <f>CHOOSE( CONTROL!$C$32, 37.0838, 37.0834) * CHOOSE( CONTROL!$C$15, $D$11, 100%, $F$11)</f>
        <v>37.083799999999997</v>
      </c>
      <c r="H1020" s="4">
        <f>CHOOSE( CONTROL!$C$32, 38.0227, 38.0222) * CHOOSE(CONTROL!$C$15, $D$11, 100%, $F$11)</f>
        <v>38.0227</v>
      </c>
      <c r="I1020" s="8">
        <f>CHOOSE( CONTROL!$C$32, 36.5007, 36.5003) * CHOOSE(CONTROL!$C$15, $D$11, 100%, $F$11)</f>
        <v>36.500700000000002</v>
      </c>
      <c r="J1020" s="4">
        <f>CHOOSE( CONTROL!$C$32, 36.3991, 36.3987) * CHOOSE(CONTROL!$C$15, $D$11, 100%, $F$11)</f>
        <v>36.399099999999997</v>
      </c>
      <c r="K1020" s="4"/>
      <c r="L1020" s="9">
        <v>30.7165</v>
      </c>
      <c r="M1020" s="9">
        <v>12.063700000000001</v>
      </c>
      <c r="N1020" s="9">
        <v>4.9444999999999997</v>
      </c>
      <c r="O1020" s="9">
        <v>0.37409999999999999</v>
      </c>
      <c r="P1020" s="9">
        <v>1.2927</v>
      </c>
      <c r="Q1020" s="9">
        <v>19.688099999999999</v>
      </c>
      <c r="R1020" s="9"/>
      <c r="S1020" s="11"/>
    </row>
    <row r="1021" spans="1:19" ht="15.75">
      <c r="A1021" s="13">
        <v>72228</v>
      </c>
      <c r="B1021" s="8">
        <f>CHOOSE( CONTROL!$C$32, 36.7311, 36.7306) * CHOOSE(CONTROL!$C$15, $D$11, 100%, $F$11)</f>
        <v>36.731099999999998</v>
      </c>
      <c r="C1021" s="8">
        <f>CHOOSE( CONTROL!$C$32, 36.7391, 36.7386) * CHOOSE(CONTROL!$C$15, $D$11, 100%, $F$11)</f>
        <v>36.739100000000001</v>
      </c>
      <c r="D1021" s="8">
        <f>CHOOSE( CONTROL!$C$32, 36.7342, 36.7338) * CHOOSE( CONTROL!$C$15, $D$11, 100%, $F$11)</f>
        <v>36.734200000000001</v>
      </c>
      <c r="E1021" s="12">
        <f>CHOOSE( CONTROL!$C$32, 36.7348, 36.7343) * CHOOSE( CONTROL!$C$15, $D$11, 100%, $F$11)</f>
        <v>36.7348</v>
      </c>
      <c r="F1021" s="4">
        <f>CHOOSE( CONTROL!$C$32, 37.438, 37.4376) * CHOOSE(CONTROL!$C$15, $D$11, 100%, $F$11)</f>
        <v>37.438000000000002</v>
      </c>
      <c r="G1021" s="8">
        <f>CHOOSE( CONTROL!$C$32, 36.3073, 36.3069) * CHOOSE( CONTROL!$C$15, $D$11, 100%, $F$11)</f>
        <v>36.307299999999998</v>
      </c>
      <c r="H1021" s="4">
        <f>CHOOSE( CONTROL!$C$32, 37.2463, 37.2458) * CHOOSE(CONTROL!$C$15, $D$11, 100%, $F$11)</f>
        <v>37.246299999999998</v>
      </c>
      <c r="I1021" s="8">
        <f>CHOOSE( CONTROL!$C$32, 35.7374, 35.7369) * CHOOSE(CONTROL!$C$15, $D$11, 100%, $F$11)</f>
        <v>35.737400000000001</v>
      </c>
      <c r="J1021" s="4">
        <f>CHOOSE( CONTROL!$C$32, 35.6367, 35.6363) * CHOOSE(CONTROL!$C$15, $D$11, 100%, $F$11)</f>
        <v>35.636699999999998</v>
      </c>
      <c r="K1021" s="4"/>
      <c r="L1021" s="9">
        <v>29.7257</v>
      </c>
      <c r="M1021" s="9">
        <v>11.6745</v>
      </c>
      <c r="N1021" s="9">
        <v>4.7850000000000001</v>
      </c>
      <c r="O1021" s="9">
        <v>0.36199999999999999</v>
      </c>
      <c r="P1021" s="9">
        <v>1.2509999999999999</v>
      </c>
      <c r="Q1021" s="9">
        <v>19.053000000000001</v>
      </c>
      <c r="R1021" s="9"/>
      <c r="S1021" s="11"/>
    </row>
    <row r="1022" spans="1:19" ht="15.75">
      <c r="A1022" s="13">
        <v>72259</v>
      </c>
      <c r="B1022" s="8">
        <f>CHOOSE( CONTROL!$C$32, 38.3604, 38.3601) * CHOOSE(CONTROL!$C$15, $D$11, 100%, $F$11)</f>
        <v>38.360399999999998</v>
      </c>
      <c r="C1022" s="8">
        <f>CHOOSE( CONTROL!$C$32, 38.3657, 38.3655) * CHOOSE(CONTROL!$C$15, $D$11, 100%, $F$11)</f>
        <v>38.365699999999997</v>
      </c>
      <c r="D1022" s="8">
        <f>CHOOSE( CONTROL!$C$32, 38.3659, 38.3657) * CHOOSE( CONTROL!$C$15, $D$11, 100%, $F$11)</f>
        <v>38.365900000000003</v>
      </c>
      <c r="E1022" s="12">
        <f>CHOOSE( CONTROL!$C$32, 38.3653, 38.3651) * CHOOSE( CONTROL!$C$15, $D$11, 100%, $F$11)</f>
        <v>38.365299999999998</v>
      </c>
      <c r="F1022" s="4">
        <f>CHOOSE( CONTROL!$C$32, 39.0691, 39.0688) * CHOOSE(CONTROL!$C$15, $D$11, 100%, $F$11)</f>
        <v>39.069099999999999</v>
      </c>
      <c r="G1022" s="8">
        <f>CHOOSE( CONTROL!$C$32, 37.9192, 37.9189) * CHOOSE( CONTROL!$C$15, $D$11, 100%, $F$11)</f>
        <v>37.919199999999996</v>
      </c>
      <c r="H1022" s="4">
        <f>CHOOSE( CONTROL!$C$32, 38.8582, 38.8579) * CHOOSE(CONTROL!$C$15, $D$11, 100%, $F$11)</f>
        <v>38.858199999999997</v>
      </c>
      <c r="I1022" s="8">
        <f>CHOOSE( CONTROL!$C$32, 37.3218, 37.3215) * CHOOSE(CONTROL!$C$15, $D$11, 100%, $F$11)</f>
        <v>37.321800000000003</v>
      </c>
      <c r="J1022" s="4">
        <f>CHOOSE( CONTROL!$C$32, 37.2196, 37.2194) * CHOOSE(CONTROL!$C$15, $D$11, 100%, $F$11)</f>
        <v>37.2196</v>
      </c>
      <c r="K1022" s="4"/>
      <c r="L1022" s="9">
        <v>31.095300000000002</v>
      </c>
      <c r="M1022" s="9">
        <v>12.063700000000001</v>
      </c>
      <c r="N1022" s="9">
        <v>4.9444999999999997</v>
      </c>
      <c r="O1022" s="9">
        <v>0.37409999999999999</v>
      </c>
      <c r="P1022" s="9">
        <v>1.2927</v>
      </c>
      <c r="Q1022" s="9">
        <v>19.688099999999999</v>
      </c>
      <c r="R1022" s="9"/>
      <c r="S1022" s="11"/>
    </row>
    <row r="1023" spans="1:19" ht="15.75">
      <c r="A1023" s="13">
        <v>72289</v>
      </c>
      <c r="B1023" s="8">
        <f>CHOOSE( CONTROL!$C$32, 41.3709, 41.3706) * CHOOSE(CONTROL!$C$15, $D$11, 100%, $F$11)</f>
        <v>41.370899999999999</v>
      </c>
      <c r="C1023" s="8">
        <f>CHOOSE( CONTROL!$C$32, 41.3759, 41.3757) * CHOOSE(CONTROL!$C$15, $D$11, 100%, $F$11)</f>
        <v>41.375900000000001</v>
      </c>
      <c r="D1023" s="8">
        <f>CHOOSE( CONTROL!$C$32, 41.3438, 41.3435) * CHOOSE( CONTROL!$C$15, $D$11, 100%, $F$11)</f>
        <v>41.343800000000002</v>
      </c>
      <c r="E1023" s="12">
        <f>CHOOSE( CONTROL!$C$32, 41.355, 41.3547) * CHOOSE( CONTROL!$C$15, $D$11, 100%, $F$11)</f>
        <v>41.354999999999997</v>
      </c>
      <c r="F1023" s="4">
        <f>CHOOSE( CONTROL!$C$32, 42.0362, 42.0359) * CHOOSE(CONTROL!$C$15, $D$11, 100%, $F$11)</f>
        <v>42.036200000000001</v>
      </c>
      <c r="G1023" s="8">
        <f>CHOOSE( CONTROL!$C$32, 40.8838, 40.8835) * CHOOSE( CONTROL!$C$15, $D$11, 100%, $F$11)</f>
        <v>40.883800000000001</v>
      </c>
      <c r="H1023" s="4">
        <f>CHOOSE( CONTROL!$C$32, 41.7905, 41.7902) * CHOOSE(CONTROL!$C$15, $D$11, 100%, $F$11)</f>
        <v>41.790500000000002</v>
      </c>
      <c r="I1023" s="8">
        <f>CHOOSE( CONTROL!$C$32, 40.2961, 40.2959) * CHOOSE(CONTROL!$C$15, $D$11, 100%, $F$11)</f>
        <v>40.296100000000003</v>
      </c>
      <c r="J1023" s="4">
        <f>CHOOSE( CONTROL!$C$32, 40.1417, 40.1414) * CHOOSE(CONTROL!$C$15, $D$11, 100%, $F$11)</f>
        <v>40.1417</v>
      </c>
      <c r="K1023" s="4"/>
      <c r="L1023" s="9">
        <v>28.360600000000002</v>
      </c>
      <c r="M1023" s="9">
        <v>11.6745</v>
      </c>
      <c r="N1023" s="9">
        <v>4.7850000000000001</v>
      </c>
      <c r="O1023" s="9">
        <v>0.36199999999999999</v>
      </c>
      <c r="P1023" s="9">
        <v>1.2509999999999999</v>
      </c>
      <c r="Q1023" s="9">
        <v>19.053000000000001</v>
      </c>
      <c r="R1023" s="9"/>
      <c r="S1023" s="11"/>
    </row>
    <row r="1024" spans="1:19" ht="15.75">
      <c r="A1024" s="13">
        <v>72320</v>
      </c>
      <c r="B1024" s="8">
        <f>CHOOSE( CONTROL!$C$32, 41.2956, 41.2954) * CHOOSE(CONTROL!$C$15, $D$11, 100%, $F$11)</f>
        <v>41.2956</v>
      </c>
      <c r="C1024" s="8">
        <f>CHOOSE( CONTROL!$C$32, 41.3007, 41.3004) * CHOOSE(CONTROL!$C$15, $D$11, 100%, $F$11)</f>
        <v>41.300699999999999</v>
      </c>
      <c r="D1024" s="8">
        <f>CHOOSE( CONTROL!$C$32, 41.2704, 41.2702) * CHOOSE( CONTROL!$C$15, $D$11, 100%, $F$11)</f>
        <v>41.270400000000002</v>
      </c>
      <c r="E1024" s="12">
        <f>CHOOSE( CONTROL!$C$32, 41.2809, 41.2807) * CHOOSE( CONTROL!$C$15, $D$11, 100%, $F$11)</f>
        <v>41.280900000000003</v>
      </c>
      <c r="F1024" s="4">
        <f>CHOOSE( CONTROL!$C$32, 41.9609, 41.9607) * CHOOSE(CONTROL!$C$15, $D$11, 100%, $F$11)</f>
        <v>41.960900000000002</v>
      </c>
      <c r="G1024" s="8">
        <f>CHOOSE( CONTROL!$C$32, 40.8107, 40.8105) * CHOOSE( CONTROL!$C$15, $D$11, 100%, $F$11)</f>
        <v>40.810699999999997</v>
      </c>
      <c r="H1024" s="4">
        <f>CHOOSE( CONTROL!$C$32, 41.7162, 41.7159) * CHOOSE(CONTROL!$C$15, $D$11, 100%, $F$11)</f>
        <v>41.716200000000001</v>
      </c>
      <c r="I1024" s="8">
        <f>CHOOSE( CONTROL!$C$32, 40.2288, 40.2285) * CHOOSE(CONTROL!$C$15, $D$11, 100%, $F$11)</f>
        <v>40.2288</v>
      </c>
      <c r="J1024" s="4">
        <f>CHOOSE( CONTROL!$C$32, 40.0687, 40.0684) * CHOOSE(CONTROL!$C$15, $D$11, 100%, $F$11)</f>
        <v>40.0687</v>
      </c>
      <c r="K1024" s="4"/>
      <c r="L1024" s="9">
        <v>29.306000000000001</v>
      </c>
      <c r="M1024" s="9">
        <v>12.063700000000001</v>
      </c>
      <c r="N1024" s="9">
        <v>4.9444999999999997</v>
      </c>
      <c r="O1024" s="9">
        <v>0.37409999999999999</v>
      </c>
      <c r="P1024" s="9">
        <v>1.2927</v>
      </c>
      <c r="Q1024" s="9">
        <v>19.688099999999999</v>
      </c>
      <c r="R1024" s="9"/>
      <c r="S1024" s="11"/>
    </row>
    <row r="1025" spans="1:19" ht="15.75">
      <c r="A1025" s="13">
        <v>72351</v>
      </c>
      <c r="B1025" s="8">
        <f>CHOOSE( CONTROL!$C$32, 42.5135, 42.5132) * CHOOSE(CONTROL!$C$15, $D$11, 100%, $F$11)</f>
        <v>42.513500000000001</v>
      </c>
      <c r="C1025" s="8">
        <f>CHOOSE( CONTROL!$C$32, 42.5185, 42.5183) * CHOOSE(CONTROL!$C$15, $D$11, 100%, $F$11)</f>
        <v>42.518500000000003</v>
      </c>
      <c r="D1025" s="8">
        <f>CHOOSE( CONTROL!$C$32, 42.5162, 42.5159) * CHOOSE( CONTROL!$C$15, $D$11, 100%, $F$11)</f>
        <v>42.516199999999998</v>
      </c>
      <c r="E1025" s="12">
        <f>CHOOSE( CONTROL!$C$32, 42.5165, 42.5162) * CHOOSE( CONTROL!$C$15, $D$11, 100%, $F$11)</f>
        <v>42.516500000000001</v>
      </c>
      <c r="F1025" s="4">
        <f>CHOOSE( CONTROL!$C$32, 43.1787, 43.1785) * CHOOSE(CONTROL!$C$15, $D$11, 100%, $F$11)</f>
        <v>43.178699999999999</v>
      </c>
      <c r="G1025" s="8">
        <f>CHOOSE( CONTROL!$C$32, 42.0304, 42.0301) * CHOOSE( CONTROL!$C$15, $D$11, 100%, $F$11)</f>
        <v>42.0304</v>
      </c>
      <c r="H1025" s="4">
        <f>CHOOSE( CONTROL!$C$32, 42.9197, 42.9195) * CHOOSE(CONTROL!$C$15, $D$11, 100%, $F$11)</f>
        <v>42.919699999999999</v>
      </c>
      <c r="I1025" s="8">
        <f>CHOOSE( CONTROL!$C$32, 41.3848, 41.3845) * CHOOSE(CONTROL!$C$15, $D$11, 100%, $F$11)</f>
        <v>41.384799999999998</v>
      </c>
      <c r="J1025" s="4">
        <f>CHOOSE( CONTROL!$C$32, 41.2506, 41.2503) * CHOOSE(CONTROL!$C$15, $D$11, 100%, $F$11)</f>
        <v>41.250599999999999</v>
      </c>
      <c r="K1025" s="4"/>
      <c r="L1025" s="9">
        <v>29.306000000000001</v>
      </c>
      <c r="M1025" s="9">
        <v>12.063700000000001</v>
      </c>
      <c r="N1025" s="9">
        <v>4.9444999999999997</v>
      </c>
      <c r="O1025" s="9">
        <v>0.37409999999999999</v>
      </c>
      <c r="P1025" s="9">
        <v>1.2927</v>
      </c>
      <c r="Q1025" s="9">
        <v>19.688099999999999</v>
      </c>
      <c r="R1025" s="9"/>
      <c r="S1025" s="11"/>
    </row>
    <row r="1026" spans="1:19" ht="15.75">
      <c r="A1026" s="13">
        <v>72379</v>
      </c>
      <c r="B1026" s="8">
        <f>CHOOSE( CONTROL!$C$32, 39.7656, 39.7654) * CHOOSE(CONTROL!$C$15, $D$11, 100%, $F$11)</f>
        <v>39.765599999999999</v>
      </c>
      <c r="C1026" s="8">
        <f>CHOOSE( CONTROL!$C$32, 39.7707, 39.7704) * CHOOSE(CONTROL!$C$15, $D$11, 100%, $F$11)</f>
        <v>39.770699999999998</v>
      </c>
      <c r="D1026" s="8">
        <f>CHOOSE( CONTROL!$C$32, 39.7507, 39.7504) * CHOOSE( CONTROL!$C$15, $D$11, 100%, $F$11)</f>
        <v>39.750700000000002</v>
      </c>
      <c r="E1026" s="12">
        <f>CHOOSE( CONTROL!$C$32, 39.7575, 39.7572) * CHOOSE( CONTROL!$C$15, $D$11, 100%, $F$11)</f>
        <v>39.7575</v>
      </c>
      <c r="F1026" s="4">
        <f>CHOOSE( CONTROL!$C$32, 40.4309, 40.4306) * CHOOSE(CONTROL!$C$15, $D$11, 100%, $F$11)</f>
        <v>40.430900000000001</v>
      </c>
      <c r="G1026" s="8">
        <f>CHOOSE( CONTROL!$C$32, 39.3036, 39.3034) * CHOOSE( CONTROL!$C$15, $D$11, 100%, $F$11)</f>
        <v>39.303600000000003</v>
      </c>
      <c r="H1026" s="4">
        <f>CHOOSE( CONTROL!$C$32, 40.2041, 40.2038) * CHOOSE(CONTROL!$C$15, $D$11, 100%, $F$11)</f>
        <v>40.204099999999997</v>
      </c>
      <c r="I1026" s="8">
        <f>CHOOSE( CONTROL!$C$32, 38.7171, 38.7169) * CHOOSE(CONTROL!$C$15, $D$11, 100%, $F$11)</f>
        <v>38.717100000000002</v>
      </c>
      <c r="J1026" s="4">
        <f>CHOOSE( CONTROL!$C$32, 38.5838, 38.5835) * CHOOSE(CONTROL!$C$15, $D$11, 100%, $F$11)</f>
        <v>38.583799999999997</v>
      </c>
      <c r="K1026" s="4"/>
      <c r="L1026" s="9">
        <v>26.469899999999999</v>
      </c>
      <c r="M1026" s="9">
        <v>10.8962</v>
      </c>
      <c r="N1026" s="9">
        <v>4.4660000000000002</v>
      </c>
      <c r="O1026" s="9">
        <v>0.33789999999999998</v>
      </c>
      <c r="P1026" s="9">
        <v>1.1676</v>
      </c>
      <c r="Q1026" s="9">
        <v>17.782800000000002</v>
      </c>
      <c r="R1026" s="9"/>
      <c r="S1026" s="11"/>
    </row>
    <row r="1027" spans="1:19" ht="15.75">
      <c r="A1027" s="13">
        <v>72410</v>
      </c>
      <c r="B1027" s="8">
        <f>CHOOSE( CONTROL!$C$32, 38.9193, 38.919) * CHOOSE(CONTROL!$C$15, $D$11, 100%, $F$11)</f>
        <v>38.9193</v>
      </c>
      <c r="C1027" s="8">
        <f>CHOOSE( CONTROL!$C$32, 38.9244, 38.9241) * CHOOSE(CONTROL!$C$15, $D$11, 100%, $F$11)</f>
        <v>38.924399999999999</v>
      </c>
      <c r="D1027" s="8">
        <f>CHOOSE( CONTROL!$C$32, 38.8944, 38.8941) * CHOOSE( CONTROL!$C$15, $D$11, 100%, $F$11)</f>
        <v>38.894399999999997</v>
      </c>
      <c r="E1027" s="12">
        <f>CHOOSE( CONTROL!$C$32, 38.9048, 38.9045) * CHOOSE( CONTROL!$C$15, $D$11, 100%, $F$11)</f>
        <v>38.904800000000002</v>
      </c>
      <c r="F1027" s="4">
        <f>CHOOSE( CONTROL!$C$32, 39.5846, 39.5843) * CHOOSE(CONTROL!$C$15, $D$11, 100%, $F$11)</f>
        <v>39.584600000000002</v>
      </c>
      <c r="G1027" s="8">
        <f>CHOOSE( CONTROL!$C$32, 38.454, 38.4537) * CHOOSE( CONTROL!$C$15, $D$11, 100%, $F$11)</f>
        <v>38.454000000000001</v>
      </c>
      <c r="H1027" s="4">
        <f>CHOOSE( CONTROL!$C$32, 39.3677, 39.3674) * CHOOSE(CONTROL!$C$15, $D$11, 100%, $F$11)</f>
        <v>39.367699999999999</v>
      </c>
      <c r="I1027" s="8">
        <f>CHOOSE( CONTROL!$C$32, 37.8602, 37.8599) * CHOOSE(CONTROL!$C$15, $D$11, 100%, $F$11)</f>
        <v>37.860199999999999</v>
      </c>
      <c r="J1027" s="4">
        <f>CHOOSE( CONTROL!$C$32, 37.7624, 37.7622) * CHOOSE(CONTROL!$C$15, $D$11, 100%, $F$11)</f>
        <v>37.7624</v>
      </c>
      <c r="K1027" s="4"/>
      <c r="L1027" s="9">
        <v>29.306000000000001</v>
      </c>
      <c r="M1027" s="9">
        <v>12.063700000000001</v>
      </c>
      <c r="N1027" s="9">
        <v>4.9444999999999997</v>
      </c>
      <c r="O1027" s="9">
        <v>0.37409999999999999</v>
      </c>
      <c r="P1027" s="9">
        <v>1.2927</v>
      </c>
      <c r="Q1027" s="9">
        <v>19.688099999999999</v>
      </c>
      <c r="R1027" s="9"/>
      <c r="S1027" s="11"/>
    </row>
    <row r="1028" spans="1:19" ht="15.75">
      <c r="A1028" s="13">
        <v>72440</v>
      </c>
      <c r="B1028" s="8">
        <f>CHOOSE( CONTROL!$C$32, 39.5115, 39.5112) * CHOOSE(CONTROL!$C$15, $D$11, 100%, $F$11)</f>
        <v>39.511499999999998</v>
      </c>
      <c r="C1028" s="8">
        <f>CHOOSE( CONTROL!$C$32, 39.516, 39.5157) * CHOOSE(CONTROL!$C$15, $D$11, 100%, $F$11)</f>
        <v>39.515999999999998</v>
      </c>
      <c r="D1028" s="8">
        <f>CHOOSE( CONTROL!$C$32, 39.5155, 39.5152) * CHOOSE( CONTROL!$C$15, $D$11, 100%, $F$11)</f>
        <v>39.515500000000003</v>
      </c>
      <c r="E1028" s="12">
        <f>CHOOSE( CONTROL!$C$32, 39.5152, 39.5149) * CHOOSE( CONTROL!$C$15, $D$11, 100%, $F$11)</f>
        <v>39.5152</v>
      </c>
      <c r="F1028" s="4">
        <f>CHOOSE( CONTROL!$C$32, 40.2198, 40.2195) * CHOOSE(CONTROL!$C$15, $D$11, 100%, $F$11)</f>
        <v>40.219799999999999</v>
      </c>
      <c r="G1028" s="8">
        <f>CHOOSE( CONTROL!$C$32, 39.0555, 39.0552) * CHOOSE( CONTROL!$C$15, $D$11, 100%, $F$11)</f>
        <v>39.055500000000002</v>
      </c>
      <c r="H1028" s="4">
        <f>CHOOSE( CONTROL!$C$32, 39.9954, 39.9951) * CHOOSE(CONTROL!$C$15, $D$11, 100%, $F$11)</f>
        <v>39.995399999999997</v>
      </c>
      <c r="I1028" s="8">
        <f>CHOOSE( CONTROL!$C$32, 38.4349, 38.4347) * CHOOSE(CONTROL!$C$15, $D$11, 100%, $F$11)</f>
        <v>38.434899999999999</v>
      </c>
      <c r="J1028" s="4">
        <f>CHOOSE( CONTROL!$C$32, 38.3364, 38.3361) * CHOOSE(CONTROL!$C$15, $D$11, 100%, $F$11)</f>
        <v>38.336399999999998</v>
      </c>
      <c r="K1028" s="4"/>
      <c r="L1028" s="9">
        <v>30.092199999999998</v>
      </c>
      <c r="M1028" s="9">
        <v>11.6745</v>
      </c>
      <c r="N1028" s="9">
        <v>4.7850000000000001</v>
      </c>
      <c r="O1028" s="9">
        <v>0.36199999999999999</v>
      </c>
      <c r="P1028" s="9">
        <v>1.2509999999999999</v>
      </c>
      <c r="Q1028" s="9">
        <v>19.053000000000001</v>
      </c>
      <c r="R1028" s="9"/>
      <c r="S1028" s="11"/>
    </row>
    <row r="1029" spans="1:19" ht="15.75">
      <c r="A1029" s="13">
        <v>72471</v>
      </c>
      <c r="B1029" s="8">
        <f>CHOOSE( CONTROL!$C$32, 40.5656, 40.5651) * CHOOSE(CONTROL!$C$15, $D$11, 100%, $F$11)</f>
        <v>40.565600000000003</v>
      </c>
      <c r="C1029" s="8">
        <f>CHOOSE( CONTROL!$C$32, 40.5735, 40.5731) * CHOOSE(CONTROL!$C$15, $D$11, 100%, $F$11)</f>
        <v>40.573500000000003</v>
      </c>
      <c r="D1029" s="8">
        <f>CHOOSE( CONTROL!$C$32, 40.5678, 40.5674) * CHOOSE( CONTROL!$C$15, $D$11, 100%, $F$11)</f>
        <v>40.567799999999998</v>
      </c>
      <c r="E1029" s="12">
        <f>CHOOSE( CONTROL!$C$32, 40.5687, 40.5682) * CHOOSE( CONTROL!$C$15, $D$11, 100%, $F$11)</f>
        <v>40.5687</v>
      </c>
      <c r="F1029" s="4">
        <f>CHOOSE( CONTROL!$C$32, 41.2725, 41.272) * CHOOSE(CONTROL!$C$15, $D$11, 100%, $F$11)</f>
        <v>41.272500000000001</v>
      </c>
      <c r="G1029" s="8">
        <f>CHOOSE( CONTROL!$C$32, 40.0962, 40.0957) * CHOOSE( CONTROL!$C$15, $D$11, 100%, $F$11)</f>
        <v>40.096200000000003</v>
      </c>
      <c r="H1029" s="4">
        <f>CHOOSE( CONTROL!$C$32, 41.0358, 41.0354) * CHOOSE(CONTROL!$C$15, $D$11, 100%, $F$11)</f>
        <v>41.035800000000002</v>
      </c>
      <c r="I1029" s="8">
        <f>CHOOSE( CONTROL!$C$32, 39.4577, 39.4572) * CHOOSE(CONTROL!$C$15, $D$11, 100%, $F$11)</f>
        <v>39.457700000000003</v>
      </c>
      <c r="J1029" s="4">
        <f>CHOOSE( CONTROL!$C$32, 39.3581, 39.3576) * CHOOSE(CONTROL!$C$15, $D$11, 100%, $F$11)</f>
        <v>39.3581</v>
      </c>
      <c r="K1029" s="4"/>
      <c r="L1029" s="9">
        <v>30.7165</v>
      </c>
      <c r="M1029" s="9">
        <v>12.063700000000001</v>
      </c>
      <c r="N1029" s="9">
        <v>4.9444999999999997</v>
      </c>
      <c r="O1029" s="9">
        <v>0.37409999999999999</v>
      </c>
      <c r="P1029" s="9">
        <v>1.2927</v>
      </c>
      <c r="Q1029" s="9">
        <v>19.688099999999999</v>
      </c>
      <c r="R1029" s="9"/>
      <c r="S1029" s="11"/>
    </row>
    <row r="1030" spans="1:19" ht="15.75">
      <c r="A1030" s="13">
        <v>72501</v>
      </c>
      <c r="B1030" s="8">
        <f>CHOOSE( CONTROL!$C$32, 39.9135, 39.9131) * CHOOSE(CONTROL!$C$15, $D$11, 100%, $F$11)</f>
        <v>39.913499999999999</v>
      </c>
      <c r="C1030" s="8">
        <f>CHOOSE( CONTROL!$C$32, 39.9215, 39.9211) * CHOOSE(CONTROL!$C$15, $D$11, 100%, $F$11)</f>
        <v>39.921500000000002</v>
      </c>
      <c r="D1030" s="8">
        <f>CHOOSE( CONTROL!$C$32, 39.9162, 39.9158) * CHOOSE( CONTROL!$C$15, $D$11, 100%, $F$11)</f>
        <v>39.916200000000003</v>
      </c>
      <c r="E1030" s="12">
        <f>CHOOSE( CONTROL!$C$32, 39.9169, 39.9165) * CHOOSE( CONTROL!$C$15, $D$11, 100%, $F$11)</f>
        <v>39.916899999999998</v>
      </c>
      <c r="F1030" s="4">
        <f>CHOOSE( CONTROL!$C$32, 40.6205, 40.62) * CHOOSE(CONTROL!$C$15, $D$11, 100%, $F$11)</f>
        <v>40.6205</v>
      </c>
      <c r="G1030" s="8">
        <f>CHOOSE( CONTROL!$C$32, 39.4521, 39.4517) * CHOOSE( CONTROL!$C$15, $D$11, 100%, $F$11)</f>
        <v>39.452100000000002</v>
      </c>
      <c r="H1030" s="4">
        <f>CHOOSE( CONTROL!$C$32, 40.3914, 40.391) * CHOOSE(CONTROL!$C$15, $D$11, 100%, $F$11)</f>
        <v>40.391399999999997</v>
      </c>
      <c r="I1030" s="8">
        <f>CHOOSE( CONTROL!$C$32, 38.826, 38.8256) * CHOOSE(CONTROL!$C$15, $D$11, 100%, $F$11)</f>
        <v>38.826000000000001</v>
      </c>
      <c r="J1030" s="4">
        <f>CHOOSE( CONTROL!$C$32, 38.7253, 38.7248) * CHOOSE(CONTROL!$C$15, $D$11, 100%, $F$11)</f>
        <v>38.725299999999997</v>
      </c>
      <c r="K1030" s="4"/>
      <c r="L1030" s="9">
        <v>29.7257</v>
      </c>
      <c r="M1030" s="9">
        <v>11.6745</v>
      </c>
      <c r="N1030" s="9">
        <v>4.7850000000000001</v>
      </c>
      <c r="O1030" s="9">
        <v>0.36199999999999999</v>
      </c>
      <c r="P1030" s="9">
        <v>1.2509999999999999</v>
      </c>
      <c r="Q1030" s="9">
        <v>19.053000000000001</v>
      </c>
      <c r="R1030" s="9"/>
      <c r="S1030" s="11"/>
    </row>
    <row r="1031" spans="1:19" ht="15.75">
      <c r="A1031" s="13">
        <v>72532</v>
      </c>
      <c r="B1031" s="8">
        <f>CHOOSE( CONTROL!$C$32, 41.6305, 41.6301) * CHOOSE(CONTROL!$C$15, $D$11, 100%, $F$11)</f>
        <v>41.630499999999998</v>
      </c>
      <c r="C1031" s="8">
        <f>CHOOSE( CONTROL!$C$32, 41.6385, 41.6381) * CHOOSE(CONTROL!$C$15, $D$11, 100%, $F$11)</f>
        <v>41.638500000000001</v>
      </c>
      <c r="D1031" s="8">
        <f>CHOOSE( CONTROL!$C$32, 41.6337, 41.6332) * CHOOSE( CONTROL!$C$15, $D$11, 100%, $F$11)</f>
        <v>41.633699999999997</v>
      </c>
      <c r="E1031" s="12">
        <f>CHOOSE( CONTROL!$C$32, 41.6342, 41.6338) * CHOOSE( CONTROL!$C$15, $D$11, 100%, $F$11)</f>
        <v>41.6342</v>
      </c>
      <c r="F1031" s="4">
        <f>CHOOSE( CONTROL!$C$32, 42.3375, 42.337) * CHOOSE(CONTROL!$C$15, $D$11, 100%, $F$11)</f>
        <v>42.337499999999999</v>
      </c>
      <c r="G1031" s="8">
        <f>CHOOSE( CONTROL!$C$32, 41.1494, 41.1489) * CHOOSE( CONTROL!$C$15, $D$11, 100%, $F$11)</f>
        <v>41.1494</v>
      </c>
      <c r="H1031" s="4">
        <f>CHOOSE( CONTROL!$C$32, 42.0883, 42.0879) * CHOOSE(CONTROL!$C$15, $D$11, 100%, $F$11)</f>
        <v>42.088299999999997</v>
      </c>
      <c r="I1031" s="8">
        <f>CHOOSE( CONTROL!$C$32, 40.4947, 40.4943) * CHOOSE(CONTROL!$C$15, $D$11, 100%, $F$11)</f>
        <v>40.494700000000002</v>
      </c>
      <c r="J1031" s="4">
        <f>CHOOSE( CONTROL!$C$32, 40.3916, 40.3912) * CHOOSE(CONTROL!$C$15, $D$11, 100%, $F$11)</f>
        <v>40.391599999999997</v>
      </c>
      <c r="K1031" s="4"/>
      <c r="L1031" s="9">
        <v>30.7165</v>
      </c>
      <c r="M1031" s="9">
        <v>12.063700000000001</v>
      </c>
      <c r="N1031" s="9">
        <v>4.9444999999999997</v>
      </c>
      <c r="O1031" s="9">
        <v>0.37409999999999999</v>
      </c>
      <c r="P1031" s="9">
        <v>1.2927</v>
      </c>
      <c r="Q1031" s="9">
        <v>19.688099999999999</v>
      </c>
      <c r="R1031" s="9"/>
      <c r="S1031" s="11"/>
    </row>
    <row r="1032" spans="1:19" ht="15.75">
      <c r="A1032" s="13">
        <v>72563</v>
      </c>
      <c r="B1032" s="8">
        <f>CHOOSE( CONTROL!$C$32, 38.4179, 38.4174) * CHOOSE(CONTROL!$C$15, $D$11, 100%, $F$11)</f>
        <v>38.417900000000003</v>
      </c>
      <c r="C1032" s="8">
        <f>CHOOSE( CONTROL!$C$32, 38.4258, 38.4254) * CHOOSE(CONTROL!$C$15, $D$11, 100%, $F$11)</f>
        <v>38.425800000000002</v>
      </c>
      <c r="D1032" s="8">
        <f>CHOOSE( CONTROL!$C$32, 38.4211, 38.4207) * CHOOSE( CONTROL!$C$15, $D$11, 100%, $F$11)</f>
        <v>38.421100000000003</v>
      </c>
      <c r="E1032" s="12">
        <f>CHOOSE( CONTROL!$C$32, 38.4216, 38.4212) * CHOOSE( CONTROL!$C$15, $D$11, 100%, $F$11)</f>
        <v>38.421599999999998</v>
      </c>
      <c r="F1032" s="4">
        <f>CHOOSE( CONTROL!$C$32, 39.1248, 39.1244) * CHOOSE(CONTROL!$C$15, $D$11, 100%, $F$11)</f>
        <v>39.1248</v>
      </c>
      <c r="G1032" s="8">
        <f>CHOOSE( CONTROL!$C$32, 37.9744, 37.974) * CHOOSE( CONTROL!$C$15, $D$11, 100%, $F$11)</f>
        <v>37.974400000000003</v>
      </c>
      <c r="H1032" s="4">
        <f>CHOOSE( CONTROL!$C$32, 38.9133, 38.9128) * CHOOSE(CONTROL!$C$15, $D$11, 100%, $F$11)</f>
        <v>38.9133</v>
      </c>
      <c r="I1032" s="8">
        <f>CHOOSE( CONTROL!$C$32, 37.3757, 37.3753) * CHOOSE(CONTROL!$C$15, $D$11, 100%, $F$11)</f>
        <v>37.375700000000002</v>
      </c>
      <c r="J1032" s="4">
        <f>CHOOSE( CONTROL!$C$32, 37.2737, 37.2733) * CHOOSE(CONTROL!$C$15, $D$11, 100%, $F$11)</f>
        <v>37.273699999999998</v>
      </c>
      <c r="K1032" s="4"/>
      <c r="L1032" s="9">
        <v>30.7165</v>
      </c>
      <c r="M1032" s="9">
        <v>12.063700000000001</v>
      </c>
      <c r="N1032" s="9">
        <v>4.9444999999999997</v>
      </c>
      <c r="O1032" s="9">
        <v>0.37409999999999999</v>
      </c>
      <c r="P1032" s="9">
        <v>1.2927</v>
      </c>
      <c r="Q1032" s="9">
        <v>19.688099999999999</v>
      </c>
      <c r="R1032" s="9"/>
      <c r="S1032" s="11"/>
    </row>
    <row r="1033" spans="1:19" ht="15.75">
      <c r="A1033" s="13">
        <v>72593</v>
      </c>
      <c r="B1033" s="8">
        <f>CHOOSE( CONTROL!$C$32, 37.6134, 37.6129) * CHOOSE(CONTROL!$C$15, $D$11, 100%, $F$11)</f>
        <v>37.613399999999999</v>
      </c>
      <c r="C1033" s="8">
        <f>CHOOSE( CONTROL!$C$32, 37.6213, 37.6209) * CHOOSE(CONTROL!$C$15, $D$11, 100%, $F$11)</f>
        <v>37.621299999999998</v>
      </c>
      <c r="D1033" s="8">
        <f>CHOOSE( CONTROL!$C$32, 37.6165, 37.616) * CHOOSE( CONTROL!$C$15, $D$11, 100%, $F$11)</f>
        <v>37.616500000000002</v>
      </c>
      <c r="E1033" s="12">
        <f>CHOOSE( CONTROL!$C$32, 37.617, 37.6166) * CHOOSE( CONTROL!$C$15, $D$11, 100%, $F$11)</f>
        <v>37.616999999999997</v>
      </c>
      <c r="F1033" s="4">
        <f>CHOOSE( CONTROL!$C$32, 38.3203, 38.3199) * CHOOSE(CONTROL!$C$15, $D$11, 100%, $F$11)</f>
        <v>38.320300000000003</v>
      </c>
      <c r="G1033" s="8">
        <f>CHOOSE( CONTROL!$C$32, 37.1793, 37.1788) * CHOOSE( CONTROL!$C$15, $D$11, 100%, $F$11)</f>
        <v>37.179299999999998</v>
      </c>
      <c r="H1033" s="4">
        <f>CHOOSE( CONTROL!$C$32, 38.1182, 38.1177) * CHOOSE(CONTROL!$C$15, $D$11, 100%, $F$11)</f>
        <v>38.118200000000002</v>
      </c>
      <c r="I1033" s="8">
        <f>CHOOSE( CONTROL!$C$32, 36.5941, 36.5936) * CHOOSE(CONTROL!$C$15, $D$11, 100%, $F$11)</f>
        <v>36.594099999999997</v>
      </c>
      <c r="J1033" s="4">
        <f>CHOOSE( CONTROL!$C$32, 36.493, 36.4925) * CHOOSE(CONTROL!$C$15, $D$11, 100%, $F$11)</f>
        <v>36.493000000000002</v>
      </c>
      <c r="K1033" s="4"/>
      <c r="L1033" s="9">
        <v>29.7257</v>
      </c>
      <c r="M1033" s="9">
        <v>11.6745</v>
      </c>
      <c r="N1033" s="9">
        <v>4.7850000000000001</v>
      </c>
      <c r="O1033" s="9">
        <v>0.36199999999999999</v>
      </c>
      <c r="P1033" s="9">
        <v>1.2509999999999999</v>
      </c>
      <c r="Q1033" s="9">
        <v>19.053000000000001</v>
      </c>
      <c r="R1033" s="9"/>
      <c r="S1033" s="11"/>
    </row>
    <row r="1034" spans="1:19" ht="15.75">
      <c r="A1034" s="13">
        <v>72624</v>
      </c>
      <c r="B1034" s="8">
        <f>CHOOSE( CONTROL!$C$32, 39.2819, 39.2816) * CHOOSE(CONTROL!$C$15, $D$11, 100%, $F$11)</f>
        <v>39.2819</v>
      </c>
      <c r="C1034" s="8">
        <f>CHOOSE( CONTROL!$C$32, 39.2872, 39.2869) * CHOOSE(CONTROL!$C$15, $D$11, 100%, $F$11)</f>
        <v>39.287199999999999</v>
      </c>
      <c r="D1034" s="8">
        <f>CHOOSE( CONTROL!$C$32, 39.2874, 39.2871) * CHOOSE( CONTROL!$C$15, $D$11, 100%, $F$11)</f>
        <v>39.287399999999998</v>
      </c>
      <c r="E1034" s="12">
        <f>CHOOSE( CONTROL!$C$32, 39.2868, 39.2865) * CHOOSE( CONTROL!$C$15, $D$11, 100%, $F$11)</f>
        <v>39.286799999999999</v>
      </c>
      <c r="F1034" s="4">
        <f>CHOOSE( CONTROL!$C$32, 39.9905, 39.9903) * CHOOSE(CONTROL!$C$15, $D$11, 100%, $F$11)</f>
        <v>39.990499999999997</v>
      </c>
      <c r="G1034" s="8">
        <f>CHOOSE( CONTROL!$C$32, 38.8299, 38.8296) * CHOOSE( CONTROL!$C$15, $D$11, 100%, $F$11)</f>
        <v>38.829900000000002</v>
      </c>
      <c r="H1034" s="4">
        <f>CHOOSE( CONTROL!$C$32, 39.7689, 39.7686) * CHOOSE(CONTROL!$C$15, $D$11, 100%, $F$11)</f>
        <v>39.768900000000002</v>
      </c>
      <c r="I1034" s="8">
        <f>CHOOSE( CONTROL!$C$32, 38.2165, 38.2162) * CHOOSE(CONTROL!$C$15, $D$11, 100%, $F$11)</f>
        <v>38.216500000000003</v>
      </c>
      <c r="J1034" s="4">
        <f>CHOOSE( CONTROL!$C$32, 38.1139, 38.1136) * CHOOSE(CONTROL!$C$15, $D$11, 100%, $F$11)</f>
        <v>38.113900000000001</v>
      </c>
      <c r="K1034" s="4"/>
      <c r="L1034" s="9">
        <v>31.095300000000002</v>
      </c>
      <c r="M1034" s="9">
        <v>12.063700000000001</v>
      </c>
      <c r="N1034" s="9">
        <v>4.9444999999999997</v>
      </c>
      <c r="O1034" s="9">
        <v>0.37409999999999999</v>
      </c>
      <c r="P1034" s="9">
        <v>1.2927</v>
      </c>
      <c r="Q1034" s="9">
        <v>19.688099999999999</v>
      </c>
      <c r="R1034" s="9"/>
      <c r="S1034" s="11"/>
    </row>
    <row r="1035" spans="1:19" ht="15.75">
      <c r="A1035" s="13">
        <v>72654</v>
      </c>
      <c r="B1035" s="8">
        <f>CHOOSE( CONTROL!$C$32, 42.3647, 42.3644) * CHOOSE(CONTROL!$C$15, $D$11, 100%, $F$11)</f>
        <v>42.364699999999999</v>
      </c>
      <c r="C1035" s="8">
        <f>CHOOSE( CONTROL!$C$32, 42.3698, 42.3695) * CHOOSE(CONTROL!$C$15, $D$11, 100%, $F$11)</f>
        <v>42.369799999999998</v>
      </c>
      <c r="D1035" s="8">
        <f>CHOOSE( CONTROL!$C$32, 42.3376, 42.3374) * CHOOSE( CONTROL!$C$15, $D$11, 100%, $F$11)</f>
        <v>42.337600000000002</v>
      </c>
      <c r="E1035" s="12">
        <f>CHOOSE( CONTROL!$C$32, 42.3488, 42.3486) * CHOOSE( CONTROL!$C$15, $D$11, 100%, $F$11)</f>
        <v>42.348799999999997</v>
      </c>
      <c r="F1035" s="4">
        <f>CHOOSE( CONTROL!$C$32, 43.03, 43.0297) * CHOOSE(CONTROL!$C$15, $D$11, 100%, $F$11)</f>
        <v>43.03</v>
      </c>
      <c r="G1035" s="8">
        <f>CHOOSE( CONTROL!$C$32, 41.8659, 41.8657) * CHOOSE( CONTROL!$C$15, $D$11, 100%, $F$11)</f>
        <v>41.865900000000003</v>
      </c>
      <c r="H1035" s="4">
        <f>CHOOSE( CONTROL!$C$32, 42.7727, 42.7724) * CHOOSE(CONTROL!$C$15, $D$11, 100%, $F$11)</f>
        <v>42.7727</v>
      </c>
      <c r="I1035" s="8">
        <f>CHOOSE( CONTROL!$C$32, 41.2611, 41.2608) * CHOOSE(CONTROL!$C$15, $D$11, 100%, $F$11)</f>
        <v>41.261099999999999</v>
      </c>
      <c r="J1035" s="4">
        <f>CHOOSE( CONTROL!$C$32, 41.1062, 41.1059) * CHOOSE(CONTROL!$C$15, $D$11, 100%, $F$11)</f>
        <v>41.106200000000001</v>
      </c>
      <c r="K1035" s="4"/>
      <c r="L1035" s="9">
        <v>28.360600000000002</v>
      </c>
      <c r="M1035" s="9">
        <v>11.6745</v>
      </c>
      <c r="N1035" s="9">
        <v>4.7850000000000001</v>
      </c>
      <c r="O1035" s="9">
        <v>0.36199999999999999</v>
      </c>
      <c r="P1035" s="9">
        <v>1.2509999999999999</v>
      </c>
      <c r="Q1035" s="9">
        <v>19.053000000000001</v>
      </c>
      <c r="R1035" s="9"/>
      <c r="S1035" s="11"/>
    </row>
    <row r="1036" spans="1:19" ht="15.75">
      <c r="A1036" s="13">
        <v>72685</v>
      </c>
      <c r="B1036" s="8">
        <f>CHOOSE( CONTROL!$C$32, 42.2877, 42.2874) * CHOOSE(CONTROL!$C$15, $D$11, 100%, $F$11)</f>
        <v>42.287700000000001</v>
      </c>
      <c r="C1036" s="8">
        <f>CHOOSE( CONTROL!$C$32, 42.2927, 42.2925) * CHOOSE(CONTROL!$C$15, $D$11, 100%, $F$11)</f>
        <v>42.292700000000004</v>
      </c>
      <c r="D1036" s="8">
        <f>CHOOSE( CONTROL!$C$32, 42.2624, 42.2622) * CHOOSE( CONTROL!$C$15, $D$11, 100%, $F$11)</f>
        <v>42.2624</v>
      </c>
      <c r="E1036" s="12">
        <f>CHOOSE( CONTROL!$C$32, 42.2729, 42.2727) * CHOOSE( CONTROL!$C$15, $D$11, 100%, $F$11)</f>
        <v>42.2729</v>
      </c>
      <c r="F1036" s="4">
        <f>CHOOSE( CONTROL!$C$32, 42.9529, 42.9527) * CHOOSE(CONTROL!$C$15, $D$11, 100%, $F$11)</f>
        <v>42.9529</v>
      </c>
      <c r="G1036" s="8">
        <f>CHOOSE( CONTROL!$C$32, 41.7911, 41.7908) * CHOOSE( CONTROL!$C$15, $D$11, 100%, $F$11)</f>
        <v>41.7911</v>
      </c>
      <c r="H1036" s="4">
        <f>CHOOSE( CONTROL!$C$32, 42.6966, 42.6963) * CHOOSE(CONTROL!$C$15, $D$11, 100%, $F$11)</f>
        <v>42.696599999999997</v>
      </c>
      <c r="I1036" s="8">
        <f>CHOOSE( CONTROL!$C$32, 41.192, 41.1918) * CHOOSE(CONTROL!$C$15, $D$11, 100%, $F$11)</f>
        <v>41.192</v>
      </c>
      <c r="J1036" s="4">
        <f>CHOOSE( CONTROL!$C$32, 41.0314, 41.0311) * CHOOSE(CONTROL!$C$15, $D$11, 100%, $F$11)</f>
        <v>41.031399999999998</v>
      </c>
      <c r="K1036" s="4"/>
      <c r="L1036" s="9">
        <v>29.306000000000001</v>
      </c>
      <c r="M1036" s="9">
        <v>12.063700000000001</v>
      </c>
      <c r="N1036" s="9">
        <v>4.9444999999999997</v>
      </c>
      <c r="O1036" s="9">
        <v>0.37409999999999999</v>
      </c>
      <c r="P1036" s="9">
        <v>1.2927</v>
      </c>
      <c r="Q1036" s="9">
        <v>19.688099999999999</v>
      </c>
      <c r="R1036" s="9"/>
      <c r="S1036" s="11"/>
    </row>
    <row r="1037" spans="1:19" ht="15.75">
      <c r="A1037" s="13">
        <v>72716</v>
      </c>
      <c r="B1037" s="8">
        <f>CHOOSE( CONTROL!$C$32, 43.5347, 43.5345) * CHOOSE(CONTROL!$C$15, $D$11, 100%, $F$11)</f>
        <v>43.534700000000001</v>
      </c>
      <c r="C1037" s="8">
        <f>CHOOSE( CONTROL!$C$32, 43.5398, 43.5395) * CHOOSE(CONTROL!$C$15, $D$11, 100%, $F$11)</f>
        <v>43.5398</v>
      </c>
      <c r="D1037" s="8">
        <f>CHOOSE( CONTROL!$C$32, 43.5374, 43.5372) * CHOOSE( CONTROL!$C$15, $D$11, 100%, $F$11)</f>
        <v>43.537399999999998</v>
      </c>
      <c r="E1037" s="12">
        <f>CHOOSE( CONTROL!$C$32, 43.5377, 43.5375) * CHOOSE( CONTROL!$C$15, $D$11, 100%, $F$11)</f>
        <v>43.537700000000001</v>
      </c>
      <c r="F1037" s="4">
        <f>CHOOSE( CONTROL!$C$32, 44.2, 44.1997) * CHOOSE(CONTROL!$C$15, $D$11, 100%, $F$11)</f>
        <v>44.2</v>
      </c>
      <c r="G1037" s="8">
        <f>CHOOSE( CONTROL!$C$32, 43.0397, 43.0395) * CHOOSE( CONTROL!$C$15, $D$11, 100%, $F$11)</f>
        <v>43.039700000000003</v>
      </c>
      <c r="H1037" s="4">
        <f>CHOOSE( CONTROL!$C$32, 43.929, 43.9288) * CHOOSE(CONTROL!$C$15, $D$11, 100%, $F$11)</f>
        <v>43.929000000000002</v>
      </c>
      <c r="I1037" s="8">
        <f>CHOOSE( CONTROL!$C$32, 42.3764, 42.3762) * CHOOSE(CONTROL!$C$15, $D$11, 100%, $F$11)</f>
        <v>42.376399999999997</v>
      </c>
      <c r="J1037" s="4">
        <f>CHOOSE( CONTROL!$C$32, 42.2417, 42.2414) * CHOOSE(CONTROL!$C$15, $D$11, 100%, $F$11)</f>
        <v>42.241700000000002</v>
      </c>
      <c r="K1037" s="4"/>
      <c r="L1037" s="9">
        <v>29.306000000000001</v>
      </c>
      <c r="M1037" s="9">
        <v>12.063700000000001</v>
      </c>
      <c r="N1037" s="9">
        <v>4.9444999999999997</v>
      </c>
      <c r="O1037" s="9">
        <v>0.37409999999999999</v>
      </c>
      <c r="P1037" s="9">
        <v>1.2927</v>
      </c>
      <c r="Q1037" s="9">
        <v>19.688099999999999</v>
      </c>
      <c r="R1037" s="9"/>
      <c r="S1037" s="11"/>
    </row>
    <row r="1038" spans="1:19" ht="15.75">
      <c r="A1038" s="13">
        <v>72744</v>
      </c>
      <c r="B1038" s="8">
        <f>CHOOSE( CONTROL!$C$32, 40.7209, 40.7206) * CHOOSE(CONTROL!$C$15, $D$11, 100%, $F$11)</f>
        <v>40.7209</v>
      </c>
      <c r="C1038" s="8">
        <f>CHOOSE( CONTROL!$C$32, 40.726, 40.7257) * CHOOSE(CONTROL!$C$15, $D$11, 100%, $F$11)</f>
        <v>40.725999999999999</v>
      </c>
      <c r="D1038" s="8">
        <f>CHOOSE( CONTROL!$C$32, 40.7059, 40.7056) * CHOOSE( CONTROL!$C$15, $D$11, 100%, $F$11)</f>
        <v>40.7059</v>
      </c>
      <c r="E1038" s="12">
        <f>CHOOSE( CONTROL!$C$32, 40.7127, 40.7124) * CHOOSE( CONTROL!$C$15, $D$11, 100%, $F$11)</f>
        <v>40.712699999999998</v>
      </c>
      <c r="F1038" s="4">
        <f>CHOOSE( CONTROL!$C$32, 41.3862, 41.3859) * CHOOSE(CONTROL!$C$15, $D$11, 100%, $F$11)</f>
        <v>41.386200000000002</v>
      </c>
      <c r="G1038" s="8">
        <f>CHOOSE( CONTROL!$C$32, 40.2477, 40.2474) * CHOOSE( CONTROL!$C$15, $D$11, 100%, $F$11)</f>
        <v>40.247700000000002</v>
      </c>
      <c r="H1038" s="4">
        <f>CHOOSE( CONTROL!$C$32, 41.1481, 41.1479) * CHOOSE(CONTROL!$C$15, $D$11, 100%, $F$11)</f>
        <v>41.148099999999999</v>
      </c>
      <c r="I1038" s="8">
        <f>CHOOSE( CONTROL!$C$32, 39.6446, 39.6444) * CHOOSE(CONTROL!$C$15, $D$11, 100%, $F$11)</f>
        <v>39.644599999999997</v>
      </c>
      <c r="J1038" s="4">
        <f>CHOOSE( CONTROL!$C$32, 39.5109, 39.5106) * CHOOSE(CONTROL!$C$15, $D$11, 100%, $F$11)</f>
        <v>39.510899999999999</v>
      </c>
      <c r="K1038" s="4"/>
      <c r="L1038" s="9">
        <v>26.469899999999999</v>
      </c>
      <c r="M1038" s="9">
        <v>10.8962</v>
      </c>
      <c r="N1038" s="9">
        <v>4.4660000000000002</v>
      </c>
      <c r="O1038" s="9">
        <v>0.33789999999999998</v>
      </c>
      <c r="P1038" s="9">
        <v>1.1676</v>
      </c>
      <c r="Q1038" s="9">
        <v>17.782800000000002</v>
      </c>
      <c r="R1038" s="9"/>
      <c r="S1038" s="11"/>
    </row>
    <row r="1039" spans="1:19" ht="15.75">
      <c r="A1039" s="13">
        <v>72775</v>
      </c>
      <c r="B1039" s="8">
        <f>CHOOSE( CONTROL!$C$32, 39.8542, 39.854) * CHOOSE(CONTROL!$C$15, $D$11, 100%, $F$11)</f>
        <v>39.854199999999999</v>
      </c>
      <c r="C1039" s="8">
        <f>CHOOSE( CONTROL!$C$32, 39.8593, 39.859) * CHOOSE(CONTROL!$C$15, $D$11, 100%, $F$11)</f>
        <v>39.859299999999998</v>
      </c>
      <c r="D1039" s="8">
        <f>CHOOSE( CONTROL!$C$32, 39.8293, 39.829) * CHOOSE( CONTROL!$C$15, $D$11, 100%, $F$11)</f>
        <v>39.829300000000003</v>
      </c>
      <c r="E1039" s="12">
        <f>CHOOSE( CONTROL!$C$32, 39.8397, 39.8394) * CHOOSE( CONTROL!$C$15, $D$11, 100%, $F$11)</f>
        <v>39.839700000000001</v>
      </c>
      <c r="F1039" s="4">
        <f>CHOOSE( CONTROL!$C$32, 40.5195, 40.5192) * CHOOSE(CONTROL!$C$15, $D$11, 100%, $F$11)</f>
        <v>40.519500000000001</v>
      </c>
      <c r="G1039" s="8">
        <f>CHOOSE( CONTROL!$C$32, 39.378, 39.3777) * CHOOSE( CONTROL!$C$15, $D$11, 100%, $F$11)</f>
        <v>39.378</v>
      </c>
      <c r="H1039" s="4">
        <f>CHOOSE( CONTROL!$C$32, 40.2916, 40.2914) * CHOOSE(CONTROL!$C$15, $D$11, 100%, $F$11)</f>
        <v>40.291600000000003</v>
      </c>
      <c r="I1039" s="8">
        <f>CHOOSE( CONTROL!$C$32, 38.7679, 38.7677) * CHOOSE(CONTROL!$C$15, $D$11, 100%, $F$11)</f>
        <v>38.767899999999997</v>
      </c>
      <c r="J1039" s="4">
        <f>CHOOSE( CONTROL!$C$32, 38.6698, 38.6695) * CHOOSE(CONTROL!$C$15, $D$11, 100%, $F$11)</f>
        <v>38.669800000000002</v>
      </c>
      <c r="K1039" s="4"/>
      <c r="L1039" s="9">
        <v>29.306000000000001</v>
      </c>
      <c r="M1039" s="9">
        <v>12.063700000000001</v>
      </c>
      <c r="N1039" s="9">
        <v>4.9444999999999997</v>
      </c>
      <c r="O1039" s="9">
        <v>0.37409999999999999</v>
      </c>
      <c r="P1039" s="9">
        <v>1.2927</v>
      </c>
      <c r="Q1039" s="9">
        <v>19.688099999999999</v>
      </c>
      <c r="R1039" s="9"/>
      <c r="S1039" s="11"/>
    </row>
    <row r="1040" spans="1:19" ht="15.75">
      <c r="A1040" s="13">
        <v>72805</v>
      </c>
      <c r="B1040" s="8">
        <f>CHOOSE( CONTROL!$C$32, 40.4606, 40.4603) * CHOOSE(CONTROL!$C$15, $D$11, 100%, $F$11)</f>
        <v>40.460599999999999</v>
      </c>
      <c r="C1040" s="8">
        <f>CHOOSE( CONTROL!$C$32, 40.4651, 40.4648) * CHOOSE(CONTROL!$C$15, $D$11, 100%, $F$11)</f>
        <v>40.4651</v>
      </c>
      <c r="D1040" s="8">
        <f>CHOOSE( CONTROL!$C$32, 40.4646, 40.4643) * CHOOSE( CONTROL!$C$15, $D$11, 100%, $F$11)</f>
        <v>40.464599999999997</v>
      </c>
      <c r="E1040" s="12">
        <f>CHOOSE( CONTROL!$C$32, 40.4643, 40.464) * CHOOSE( CONTROL!$C$15, $D$11, 100%, $F$11)</f>
        <v>40.464300000000001</v>
      </c>
      <c r="F1040" s="4">
        <f>CHOOSE( CONTROL!$C$32, 41.1689, 41.1686) * CHOOSE(CONTROL!$C$15, $D$11, 100%, $F$11)</f>
        <v>41.168900000000001</v>
      </c>
      <c r="G1040" s="8">
        <f>CHOOSE( CONTROL!$C$32, 39.9935, 39.9932) * CHOOSE( CONTROL!$C$15, $D$11, 100%, $F$11)</f>
        <v>39.993499999999997</v>
      </c>
      <c r="H1040" s="4">
        <f>CHOOSE( CONTROL!$C$32, 40.9334, 40.9332) * CHOOSE(CONTROL!$C$15, $D$11, 100%, $F$11)</f>
        <v>40.933399999999999</v>
      </c>
      <c r="I1040" s="8">
        <f>CHOOSE( CONTROL!$C$32, 39.3565, 39.3562) * CHOOSE(CONTROL!$C$15, $D$11, 100%, $F$11)</f>
        <v>39.356499999999997</v>
      </c>
      <c r="J1040" s="4">
        <f>CHOOSE( CONTROL!$C$32, 39.2575, 39.2572) * CHOOSE(CONTROL!$C$15, $D$11, 100%, $F$11)</f>
        <v>39.2575</v>
      </c>
      <c r="K1040" s="4"/>
      <c r="L1040" s="9">
        <v>30.092199999999998</v>
      </c>
      <c r="M1040" s="9">
        <v>11.6745</v>
      </c>
      <c r="N1040" s="9">
        <v>4.7850000000000001</v>
      </c>
      <c r="O1040" s="9">
        <v>0.36199999999999999</v>
      </c>
      <c r="P1040" s="9">
        <v>1.2509999999999999</v>
      </c>
      <c r="Q1040" s="9">
        <v>19.053000000000001</v>
      </c>
      <c r="R1040" s="9"/>
      <c r="S1040" s="11"/>
    </row>
    <row r="1041" spans="1:19" ht="15.75">
      <c r="A1041" s="13">
        <v>72836</v>
      </c>
      <c r="B1041" s="8">
        <f>CHOOSE( CONTROL!$C$32, 41.54, 41.5395) * CHOOSE(CONTROL!$C$15, $D$11, 100%, $F$11)</f>
        <v>41.54</v>
      </c>
      <c r="C1041" s="8">
        <f>CHOOSE( CONTROL!$C$32, 41.5479, 41.5475) * CHOOSE(CONTROL!$C$15, $D$11, 100%, $F$11)</f>
        <v>41.547899999999998</v>
      </c>
      <c r="D1041" s="8">
        <f>CHOOSE( CONTROL!$C$32, 41.5422, 41.5418) * CHOOSE( CONTROL!$C$15, $D$11, 100%, $F$11)</f>
        <v>41.542200000000001</v>
      </c>
      <c r="E1041" s="12">
        <f>CHOOSE( CONTROL!$C$32, 41.5431, 41.5426) * CHOOSE( CONTROL!$C$15, $D$11, 100%, $F$11)</f>
        <v>41.543100000000003</v>
      </c>
      <c r="F1041" s="4">
        <f>CHOOSE( CONTROL!$C$32, 42.2469, 42.2465) * CHOOSE(CONTROL!$C$15, $D$11, 100%, $F$11)</f>
        <v>42.246899999999997</v>
      </c>
      <c r="G1041" s="8">
        <f>CHOOSE( CONTROL!$C$32, 41.0592, 41.0587) * CHOOSE( CONTROL!$C$15, $D$11, 100%, $F$11)</f>
        <v>41.059199999999997</v>
      </c>
      <c r="H1041" s="4">
        <f>CHOOSE( CONTROL!$C$32, 41.9988, 41.9984) * CHOOSE(CONTROL!$C$15, $D$11, 100%, $F$11)</f>
        <v>41.998800000000003</v>
      </c>
      <c r="I1041" s="8">
        <f>CHOOSE( CONTROL!$C$32, 40.4038, 40.4034) * CHOOSE(CONTROL!$C$15, $D$11, 100%, $F$11)</f>
        <v>40.403799999999997</v>
      </c>
      <c r="J1041" s="4">
        <f>CHOOSE( CONTROL!$C$32, 40.3037, 40.3033) * CHOOSE(CONTROL!$C$15, $D$11, 100%, $F$11)</f>
        <v>40.303699999999999</v>
      </c>
      <c r="K1041" s="4"/>
      <c r="L1041" s="9">
        <v>30.7165</v>
      </c>
      <c r="M1041" s="9">
        <v>12.063700000000001</v>
      </c>
      <c r="N1041" s="9">
        <v>4.9444999999999997</v>
      </c>
      <c r="O1041" s="9">
        <v>0.37409999999999999</v>
      </c>
      <c r="P1041" s="9">
        <v>1.2927</v>
      </c>
      <c r="Q1041" s="9">
        <v>19.688099999999999</v>
      </c>
      <c r="R1041" s="9"/>
      <c r="S1041" s="11"/>
    </row>
    <row r="1042" spans="1:19" ht="15.75">
      <c r="A1042" s="13">
        <v>72866</v>
      </c>
      <c r="B1042" s="8">
        <f>CHOOSE( CONTROL!$C$32, 40.8723, 40.8718) * CHOOSE(CONTROL!$C$15, $D$11, 100%, $F$11)</f>
        <v>40.872300000000003</v>
      </c>
      <c r="C1042" s="8">
        <f>CHOOSE( CONTROL!$C$32, 40.8803, 40.8798) * CHOOSE(CONTROL!$C$15, $D$11, 100%, $F$11)</f>
        <v>40.880299999999998</v>
      </c>
      <c r="D1042" s="8">
        <f>CHOOSE( CONTROL!$C$32, 40.875, 40.8745) * CHOOSE( CONTROL!$C$15, $D$11, 100%, $F$11)</f>
        <v>40.875</v>
      </c>
      <c r="E1042" s="12">
        <f>CHOOSE( CONTROL!$C$32, 40.8757, 40.8752) * CHOOSE( CONTROL!$C$15, $D$11, 100%, $F$11)</f>
        <v>40.875700000000002</v>
      </c>
      <c r="F1042" s="4">
        <f>CHOOSE( CONTROL!$C$32, 41.5792, 41.5788) * CHOOSE(CONTROL!$C$15, $D$11, 100%, $F$11)</f>
        <v>41.5792</v>
      </c>
      <c r="G1042" s="8">
        <f>CHOOSE( CONTROL!$C$32, 40.3997, 40.3992) * CHOOSE( CONTROL!$C$15, $D$11, 100%, $F$11)</f>
        <v>40.399700000000003</v>
      </c>
      <c r="H1042" s="4">
        <f>CHOOSE( CONTROL!$C$32, 41.3389, 41.3385) * CHOOSE(CONTROL!$C$15, $D$11, 100%, $F$11)</f>
        <v>41.338900000000002</v>
      </c>
      <c r="I1042" s="8">
        <f>CHOOSE( CONTROL!$C$32, 39.7569, 39.7565) * CHOOSE(CONTROL!$C$15, $D$11, 100%, $F$11)</f>
        <v>39.756900000000002</v>
      </c>
      <c r="J1042" s="4">
        <f>CHOOSE( CONTROL!$C$32, 39.6557, 39.6553) * CHOOSE(CONTROL!$C$15, $D$11, 100%, $F$11)</f>
        <v>39.655700000000003</v>
      </c>
      <c r="K1042" s="4"/>
      <c r="L1042" s="9">
        <v>29.7257</v>
      </c>
      <c r="M1042" s="9">
        <v>11.6745</v>
      </c>
      <c r="N1042" s="9">
        <v>4.7850000000000001</v>
      </c>
      <c r="O1042" s="9">
        <v>0.36199999999999999</v>
      </c>
      <c r="P1042" s="9">
        <v>1.2509999999999999</v>
      </c>
      <c r="Q1042" s="9">
        <v>19.053000000000001</v>
      </c>
      <c r="R1042" s="9"/>
      <c r="S1042" s="11"/>
    </row>
    <row r="1043" spans="1:19" ht="15.75">
      <c r="A1043" s="13">
        <v>72897</v>
      </c>
      <c r="B1043" s="8">
        <f>CHOOSE( CONTROL!$C$32, 42.6305, 42.6301) * CHOOSE(CONTROL!$C$15, $D$11, 100%, $F$11)</f>
        <v>42.630499999999998</v>
      </c>
      <c r="C1043" s="8">
        <f>CHOOSE( CONTROL!$C$32, 42.6385, 42.6381) * CHOOSE(CONTROL!$C$15, $D$11, 100%, $F$11)</f>
        <v>42.638500000000001</v>
      </c>
      <c r="D1043" s="8">
        <f>CHOOSE( CONTROL!$C$32, 42.6337, 42.6332) * CHOOSE( CONTROL!$C$15, $D$11, 100%, $F$11)</f>
        <v>42.633699999999997</v>
      </c>
      <c r="E1043" s="12">
        <f>CHOOSE( CONTROL!$C$32, 42.6342, 42.6338) * CHOOSE( CONTROL!$C$15, $D$11, 100%, $F$11)</f>
        <v>42.6342</v>
      </c>
      <c r="F1043" s="4">
        <f>CHOOSE( CONTROL!$C$32, 43.3375, 43.337) * CHOOSE(CONTROL!$C$15, $D$11, 100%, $F$11)</f>
        <v>43.337499999999999</v>
      </c>
      <c r="G1043" s="8">
        <f>CHOOSE( CONTROL!$C$32, 42.1377, 42.1372) * CHOOSE( CONTROL!$C$15, $D$11, 100%, $F$11)</f>
        <v>42.137700000000002</v>
      </c>
      <c r="H1043" s="4">
        <f>CHOOSE( CONTROL!$C$32, 43.0766, 43.0762) * CHOOSE(CONTROL!$C$15, $D$11, 100%, $F$11)</f>
        <v>43.076599999999999</v>
      </c>
      <c r="I1043" s="8">
        <f>CHOOSE( CONTROL!$C$32, 41.4657, 41.4653) * CHOOSE(CONTROL!$C$15, $D$11, 100%, $F$11)</f>
        <v>41.465699999999998</v>
      </c>
      <c r="J1043" s="4">
        <f>CHOOSE( CONTROL!$C$32, 41.3621, 41.3617) * CHOOSE(CONTROL!$C$15, $D$11, 100%, $F$11)</f>
        <v>41.362099999999998</v>
      </c>
      <c r="K1043" s="4"/>
      <c r="L1043" s="9">
        <v>30.7165</v>
      </c>
      <c r="M1043" s="9">
        <v>12.063700000000001</v>
      </c>
      <c r="N1043" s="9">
        <v>4.9444999999999997</v>
      </c>
      <c r="O1043" s="9">
        <v>0.37409999999999999</v>
      </c>
      <c r="P1043" s="9">
        <v>1.2927</v>
      </c>
      <c r="Q1043" s="9">
        <v>19.688099999999999</v>
      </c>
      <c r="R1043" s="9"/>
      <c r="S1043" s="11"/>
    </row>
    <row r="1044" spans="1:19" ht="15.75">
      <c r="A1044" s="13">
        <v>72928</v>
      </c>
      <c r="B1044" s="8">
        <f>CHOOSE( CONTROL!$C$32, 39.3407, 39.3402) * CHOOSE(CONTROL!$C$15, $D$11, 100%, $F$11)</f>
        <v>39.340699999999998</v>
      </c>
      <c r="C1044" s="8">
        <f>CHOOSE( CONTROL!$C$32, 39.3486, 39.3482) * CHOOSE(CONTROL!$C$15, $D$11, 100%, $F$11)</f>
        <v>39.348599999999998</v>
      </c>
      <c r="D1044" s="8">
        <f>CHOOSE( CONTROL!$C$32, 39.3439, 39.3435) * CHOOSE( CONTROL!$C$15, $D$11, 100%, $F$11)</f>
        <v>39.343899999999998</v>
      </c>
      <c r="E1044" s="12">
        <f>CHOOSE( CONTROL!$C$32, 39.3444, 39.344) * CHOOSE( CONTROL!$C$15, $D$11, 100%, $F$11)</f>
        <v>39.3444</v>
      </c>
      <c r="F1044" s="4">
        <f>CHOOSE( CONTROL!$C$32, 40.0476, 40.0472) * CHOOSE(CONTROL!$C$15, $D$11, 100%, $F$11)</f>
        <v>40.047600000000003</v>
      </c>
      <c r="G1044" s="8">
        <f>CHOOSE( CONTROL!$C$32, 38.8864, 38.886) * CHOOSE( CONTROL!$C$15, $D$11, 100%, $F$11)</f>
        <v>38.886400000000002</v>
      </c>
      <c r="H1044" s="4">
        <f>CHOOSE( CONTROL!$C$32, 39.8253, 39.8248) * CHOOSE(CONTROL!$C$15, $D$11, 100%, $F$11)</f>
        <v>39.825299999999999</v>
      </c>
      <c r="I1044" s="8">
        <f>CHOOSE( CONTROL!$C$32, 38.2718, 38.2713) * CHOOSE(CONTROL!$C$15, $D$11, 100%, $F$11)</f>
        <v>38.271799999999999</v>
      </c>
      <c r="J1044" s="4">
        <f>CHOOSE( CONTROL!$C$32, 38.1693, 38.1689) * CHOOSE(CONTROL!$C$15, $D$11, 100%, $F$11)</f>
        <v>38.1693</v>
      </c>
      <c r="K1044" s="4"/>
      <c r="L1044" s="9">
        <v>30.7165</v>
      </c>
      <c r="M1044" s="9">
        <v>12.063700000000001</v>
      </c>
      <c r="N1044" s="9">
        <v>4.9444999999999997</v>
      </c>
      <c r="O1044" s="9">
        <v>0.37409999999999999</v>
      </c>
      <c r="P1044" s="9">
        <v>1.2927</v>
      </c>
      <c r="Q1044" s="9">
        <v>19.688099999999999</v>
      </c>
      <c r="R1044" s="9"/>
      <c r="S1044" s="11"/>
    </row>
    <row r="1045" spans="1:19" ht="15.75">
      <c r="A1045" s="13">
        <v>72958</v>
      </c>
      <c r="B1045" s="8">
        <f>CHOOSE( CONTROL!$C$32, 38.5168, 38.5164) * CHOOSE(CONTROL!$C$15, $D$11, 100%, $F$11)</f>
        <v>38.516800000000003</v>
      </c>
      <c r="C1045" s="8">
        <f>CHOOSE( CONTROL!$C$32, 38.5248, 38.5244) * CHOOSE(CONTROL!$C$15, $D$11, 100%, $F$11)</f>
        <v>38.524799999999999</v>
      </c>
      <c r="D1045" s="8">
        <f>CHOOSE( CONTROL!$C$32, 38.52, 38.5195) * CHOOSE( CONTROL!$C$15, $D$11, 100%, $F$11)</f>
        <v>38.520000000000003</v>
      </c>
      <c r="E1045" s="12">
        <f>CHOOSE( CONTROL!$C$32, 38.5205, 38.5201) * CHOOSE( CONTROL!$C$15, $D$11, 100%, $F$11)</f>
        <v>38.520499999999998</v>
      </c>
      <c r="F1045" s="4">
        <f>CHOOSE( CONTROL!$C$32, 39.2238, 39.2233) * CHOOSE(CONTROL!$C$15, $D$11, 100%, $F$11)</f>
        <v>39.223799999999997</v>
      </c>
      <c r="G1045" s="8">
        <f>CHOOSE( CONTROL!$C$32, 38.0721, 38.0717) * CHOOSE( CONTROL!$C$15, $D$11, 100%, $F$11)</f>
        <v>38.072099999999999</v>
      </c>
      <c r="H1045" s="4">
        <f>CHOOSE( CONTROL!$C$32, 39.0111, 39.0106) * CHOOSE(CONTROL!$C$15, $D$11, 100%, $F$11)</f>
        <v>39.011099999999999</v>
      </c>
      <c r="I1045" s="8">
        <f>CHOOSE( CONTROL!$C$32, 37.4713, 37.4709) * CHOOSE(CONTROL!$C$15, $D$11, 100%, $F$11)</f>
        <v>37.471299999999999</v>
      </c>
      <c r="J1045" s="4">
        <f>CHOOSE( CONTROL!$C$32, 37.3698, 37.3693) * CHOOSE(CONTROL!$C$15, $D$11, 100%, $F$11)</f>
        <v>37.369799999999998</v>
      </c>
      <c r="K1045" s="4"/>
      <c r="L1045" s="9">
        <v>29.7257</v>
      </c>
      <c r="M1045" s="9">
        <v>11.6745</v>
      </c>
      <c r="N1045" s="9">
        <v>4.7850000000000001</v>
      </c>
      <c r="O1045" s="9">
        <v>0.36199999999999999</v>
      </c>
      <c r="P1045" s="9">
        <v>1.2509999999999999</v>
      </c>
      <c r="Q1045" s="9">
        <v>19.053000000000001</v>
      </c>
      <c r="R1045" s="9"/>
      <c r="S1045" s="11"/>
    </row>
    <row r="1046" spans="1:19" ht="15.75">
      <c r="A1046" s="13">
        <v>72989</v>
      </c>
      <c r="B1046" s="8">
        <f>CHOOSE( CONTROL!$C$32, 40.2255, 40.2252) * CHOOSE(CONTROL!$C$15, $D$11, 100%, $F$11)</f>
        <v>40.225499999999997</v>
      </c>
      <c r="C1046" s="8">
        <f>CHOOSE( CONTROL!$C$32, 40.2308, 40.2305) * CHOOSE(CONTROL!$C$15, $D$11, 100%, $F$11)</f>
        <v>40.230800000000002</v>
      </c>
      <c r="D1046" s="8">
        <f>CHOOSE( CONTROL!$C$32, 40.231, 40.2307) * CHOOSE( CONTROL!$C$15, $D$11, 100%, $F$11)</f>
        <v>40.231000000000002</v>
      </c>
      <c r="E1046" s="12">
        <f>CHOOSE( CONTROL!$C$32, 40.2304, 40.2301) * CHOOSE( CONTROL!$C$15, $D$11, 100%, $F$11)</f>
        <v>40.230400000000003</v>
      </c>
      <c r="F1046" s="4">
        <f>CHOOSE( CONTROL!$C$32, 40.9341, 40.9339) * CHOOSE(CONTROL!$C$15, $D$11, 100%, $F$11)</f>
        <v>40.934100000000001</v>
      </c>
      <c r="G1046" s="8">
        <f>CHOOSE( CONTROL!$C$32, 39.7624, 39.7622) * CHOOSE( CONTROL!$C$15, $D$11, 100%, $F$11)</f>
        <v>39.7624</v>
      </c>
      <c r="H1046" s="4">
        <f>CHOOSE( CONTROL!$C$32, 40.7014, 40.7011) * CHOOSE(CONTROL!$C$15, $D$11, 100%, $F$11)</f>
        <v>40.7014</v>
      </c>
      <c r="I1046" s="8">
        <f>CHOOSE( CONTROL!$C$32, 39.1327, 39.1325) * CHOOSE(CONTROL!$C$15, $D$11, 100%, $F$11)</f>
        <v>39.1327</v>
      </c>
      <c r="J1046" s="4">
        <f>CHOOSE( CONTROL!$C$32, 39.0297, 39.0294) * CHOOSE(CONTROL!$C$15, $D$11, 100%, $F$11)</f>
        <v>39.029699999999998</v>
      </c>
      <c r="K1046" s="4"/>
      <c r="L1046" s="9">
        <v>31.095300000000002</v>
      </c>
      <c r="M1046" s="9">
        <v>12.063700000000001</v>
      </c>
      <c r="N1046" s="9">
        <v>4.9444999999999997</v>
      </c>
      <c r="O1046" s="9">
        <v>0.37409999999999999</v>
      </c>
      <c r="P1046" s="9">
        <v>1.2927</v>
      </c>
      <c r="Q1046" s="9">
        <v>19.688099999999999</v>
      </c>
      <c r="R1046" s="9"/>
      <c r="S1046" s="11"/>
    </row>
    <row r="1047" spans="1:19" ht="15.75">
      <c r="A1047" s="13">
        <v>73019</v>
      </c>
      <c r="B1047" s="8">
        <f>CHOOSE( CONTROL!$C$32, 43.3824, 43.3821) * CHOOSE(CONTROL!$C$15, $D$11, 100%, $F$11)</f>
        <v>43.382399999999997</v>
      </c>
      <c r="C1047" s="8">
        <f>CHOOSE( CONTROL!$C$32, 43.3875, 43.3872) * CHOOSE(CONTROL!$C$15, $D$11, 100%, $F$11)</f>
        <v>43.387500000000003</v>
      </c>
      <c r="D1047" s="8">
        <f>CHOOSE( CONTROL!$C$32, 43.3553, 43.3551) * CHOOSE( CONTROL!$C$15, $D$11, 100%, $F$11)</f>
        <v>43.3553</v>
      </c>
      <c r="E1047" s="12">
        <f>CHOOSE( CONTROL!$C$32, 43.3665, 43.3663) * CHOOSE( CONTROL!$C$15, $D$11, 100%, $F$11)</f>
        <v>43.366500000000002</v>
      </c>
      <c r="F1047" s="4">
        <f>CHOOSE( CONTROL!$C$32, 44.0477, 44.0474) * CHOOSE(CONTROL!$C$15, $D$11, 100%, $F$11)</f>
        <v>44.047699999999999</v>
      </c>
      <c r="G1047" s="8">
        <f>CHOOSE( CONTROL!$C$32, 42.8717, 42.8714) * CHOOSE( CONTROL!$C$15, $D$11, 100%, $F$11)</f>
        <v>42.871699999999997</v>
      </c>
      <c r="H1047" s="4">
        <f>CHOOSE( CONTROL!$C$32, 43.7785, 43.7782) * CHOOSE(CONTROL!$C$15, $D$11, 100%, $F$11)</f>
        <v>43.778500000000001</v>
      </c>
      <c r="I1047" s="8">
        <f>CHOOSE( CONTROL!$C$32, 42.2493, 42.249) * CHOOSE(CONTROL!$C$15, $D$11, 100%, $F$11)</f>
        <v>42.249299999999998</v>
      </c>
      <c r="J1047" s="4">
        <f>CHOOSE( CONTROL!$C$32, 42.0938, 42.0936) * CHOOSE(CONTROL!$C$15, $D$11, 100%, $F$11)</f>
        <v>42.093800000000002</v>
      </c>
      <c r="K1047" s="4"/>
      <c r="L1047" s="9">
        <v>28.360600000000002</v>
      </c>
      <c r="M1047" s="9">
        <v>11.6745</v>
      </c>
      <c r="N1047" s="9">
        <v>4.7850000000000001</v>
      </c>
      <c r="O1047" s="9">
        <v>0.36199999999999999</v>
      </c>
      <c r="P1047" s="9">
        <v>1.2509999999999999</v>
      </c>
      <c r="Q1047" s="9">
        <v>19.053000000000001</v>
      </c>
      <c r="R1047" s="9"/>
      <c r="S1047" s="11"/>
    </row>
    <row r="1048" spans="1:19" ht="15.75">
      <c r="A1048" s="13">
        <v>73050</v>
      </c>
      <c r="B1048" s="8">
        <f>CHOOSE( CONTROL!$C$32, 43.3035, 43.3032) * CHOOSE(CONTROL!$C$15, $D$11, 100%, $F$11)</f>
        <v>43.3035</v>
      </c>
      <c r="C1048" s="8">
        <f>CHOOSE( CONTROL!$C$32, 43.3086, 43.3083) * CHOOSE(CONTROL!$C$15, $D$11, 100%, $F$11)</f>
        <v>43.308599999999998</v>
      </c>
      <c r="D1048" s="8">
        <f>CHOOSE( CONTROL!$C$32, 43.2783, 43.278) * CHOOSE( CONTROL!$C$15, $D$11, 100%, $F$11)</f>
        <v>43.278300000000002</v>
      </c>
      <c r="E1048" s="12">
        <f>CHOOSE( CONTROL!$C$32, 43.2888, 43.2885) * CHOOSE( CONTROL!$C$15, $D$11, 100%, $F$11)</f>
        <v>43.288800000000002</v>
      </c>
      <c r="F1048" s="4">
        <f>CHOOSE( CONTROL!$C$32, 43.9688, 43.9685) * CHOOSE(CONTROL!$C$15, $D$11, 100%, $F$11)</f>
        <v>43.968800000000002</v>
      </c>
      <c r="G1048" s="8">
        <f>CHOOSE( CONTROL!$C$32, 42.7951, 42.7948) * CHOOSE( CONTROL!$C$15, $D$11, 100%, $F$11)</f>
        <v>42.795099999999998</v>
      </c>
      <c r="H1048" s="4">
        <f>CHOOSE( CONTROL!$C$32, 43.7005, 43.7002) * CHOOSE(CONTROL!$C$15, $D$11, 100%, $F$11)</f>
        <v>43.700499999999998</v>
      </c>
      <c r="I1048" s="8">
        <f>CHOOSE( CONTROL!$C$32, 42.1784, 42.1781) * CHOOSE(CONTROL!$C$15, $D$11, 100%, $F$11)</f>
        <v>42.178400000000003</v>
      </c>
      <c r="J1048" s="4">
        <f>CHOOSE( CONTROL!$C$32, 42.0173, 42.017) * CHOOSE(CONTROL!$C$15, $D$11, 100%, $F$11)</f>
        <v>42.017299999999999</v>
      </c>
      <c r="K1048" s="4"/>
      <c r="L1048" s="9">
        <v>29.306000000000001</v>
      </c>
      <c r="M1048" s="9">
        <v>12.063700000000001</v>
      </c>
      <c r="N1048" s="9">
        <v>4.9444999999999997</v>
      </c>
      <c r="O1048" s="9">
        <v>0.37409999999999999</v>
      </c>
      <c r="P1048" s="9">
        <v>1.2927</v>
      </c>
      <c r="Q1048" s="9">
        <v>19.688099999999999</v>
      </c>
      <c r="R1048" s="9"/>
      <c r="S1048" s="11"/>
    </row>
    <row r="1049" spans="1:19" ht="15.75">
      <c r="A1049" s="13">
        <v>73081</v>
      </c>
      <c r="B1049" s="8">
        <f>CHOOSE( CONTROL!$C$32, 44.5805, 44.5803) * CHOOSE(CONTROL!$C$15, $D$11, 100%, $F$11)</f>
        <v>44.580500000000001</v>
      </c>
      <c r="C1049" s="8">
        <f>CHOOSE( CONTROL!$C$32, 44.5856, 44.5853) * CHOOSE(CONTROL!$C$15, $D$11, 100%, $F$11)</f>
        <v>44.585599999999999</v>
      </c>
      <c r="D1049" s="8">
        <f>CHOOSE( CONTROL!$C$32, 44.5832, 44.583) * CHOOSE( CONTROL!$C$15, $D$11, 100%, $F$11)</f>
        <v>44.583199999999998</v>
      </c>
      <c r="E1049" s="12">
        <f>CHOOSE( CONTROL!$C$32, 44.5835, 44.5833) * CHOOSE( CONTROL!$C$15, $D$11, 100%, $F$11)</f>
        <v>44.583500000000001</v>
      </c>
      <c r="F1049" s="4">
        <f>CHOOSE( CONTROL!$C$32, 45.2458, 45.2455) * CHOOSE(CONTROL!$C$15, $D$11, 100%, $F$11)</f>
        <v>45.245800000000003</v>
      </c>
      <c r="G1049" s="8">
        <f>CHOOSE( CONTROL!$C$32, 44.0733, 44.073) * CHOOSE( CONTROL!$C$15, $D$11, 100%, $F$11)</f>
        <v>44.073300000000003</v>
      </c>
      <c r="H1049" s="4">
        <f>CHOOSE( CONTROL!$C$32, 44.9626, 44.9623) * CHOOSE(CONTROL!$C$15, $D$11, 100%, $F$11)</f>
        <v>44.962600000000002</v>
      </c>
      <c r="I1049" s="8">
        <f>CHOOSE( CONTROL!$C$32, 43.3919, 43.3916) * CHOOSE(CONTROL!$C$15, $D$11, 100%, $F$11)</f>
        <v>43.3919</v>
      </c>
      <c r="J1049" s="4">
        <f>CHOOSE( CONTROL!$C$32, 43.2567, 43.2564) * CHOOSE(CONTROL!$C$15, $D$11, 100%, $F$11)</f>
        <v>43.256700000000002</v>
      </c>
      <c r="K1049" s="4"/>
      <c r="L1049" s="9">
        <v>29.306000000000001</v>
      </c>
      <c r="M1049" s="9">
        <v>12.063700000000001</v>
      </c>
      <c r="N1049" s="9">
        <v>4.9444999999999997</v>
      </c>
      <c r="O1049" s="9">
        <v>0.37409999999999999</v>
      </c>
      <c r="P1049" s="9">
        <v>1.2927</v>
      </c>
      <c r="Q1049" s="9">
        <v>19.688099999999999</v>
      </c>
      <c r="R1049" s="9"/>
      <c r="S1049" s="11"/>
    </row>
    <row r="1050" spans="1:19" ht="15.75">
      <c r="A1050" s="13">
        <v>73109</v>
      </c>
      <c r="B1050" s="8">
        <f>CHOOSE( CONTROL!$C$32, 41.6991, 41.6988) * CHOOSE(CONTROL!$C$15, $D$11, 100%, $F$11)</f>
        <v>41.699100000000001</v>
      </c>
      <c r="C1050" s="8">
        <f>CHOOSE( CONTROL!$C$32, 41.7042, 41.7039) * CHOOSE(CONTROL!$C$15, $D$11, 100%, $F$11)</f>
        <v>41.7042</v>
      </c>
      <c r="D1050" s="8">
        <f>CHOOSE( CONTROL!$C$32, 41.6841, 41.6838) * CHOOSE( CONTROL!$C$15, $D$11, 100%, $F$11)</f>
        <v>41.684100000000001</v>
      </c>
      <c r="E1050" s="12">
        <f>CHOOSE( CONTROL!$C$32, 41.6909, 41.6906) * CHOOSE( CONTROL!$C$15, $D$11, 100%, $F$11)</f>
        <v>41.690899999999999</v>
      </c>
      <c r="F1050" s="4">
        <f>CHOOSE( CONTROL!$C$32, 42.3644, 42.3641) * CHOOSE(CONTROL!$C$15, $D$11, 100%, $F$11)</f>
        <v>42.364400000000003</v>
      </c>
      <c r="G1050" s="8">
        <f>CHOOSE( CONTROL!$C$32, 41.2144, 41.2142) * CHOOSE( CONTROL!$C$15, $D$11, 100%, $F$11)</f>
        <v>41.214399999999998</v>
      </c>
      <c r="H1050" s="4">
        <f>CHOOSE( CONTROL!$C$32, 42.1149, 42.1146) * CHOOSE(CONTROL!$C$15, $D$11, 100%, $F$11)</f>
        <v>42.114899999999999</v>
      </c>
      <c r="I1050" s="8">
        <f>CHOOSE( CONTROL!$C$32, 40.5945, 40.5942) * CHOOSE(CONTROL!$C$15, $D$11, 100%, $F$11)</f>
        <v>40.594499999999996</v>
      </c>
      <c r="J1050" s="4">
        <f>CHOOSE( CONTROL!$C$32, 40.4602, 40.4599) * CHOOSE(CONTROL!$C$15, $D$11, 100%, $F$11)</f>
        <v>40.4602</v>
      </c>
      <c r="K1050" s="4"/>
      <c r="L1050" s="9">
        <v>26.469899999999999</v>
      </c>
      <c r="M1050" s="9">
        <v>10.8962</v>
      </c>
      <c r="N1050" s="9">
        <v>4.4660000000000002</v>
      </c>
      <c r="O1050" s="9">
        <v>0.33789999999999998</v>
      </c>
      <c r="P1050" s="9">
        <v>1.1676</v>
      </c>
      <c r="Q1050" s="9">
        <v>17.782800000000002</v>
      </c>
      <c r="R1050" s="9"/>
      <c r="S1050" s="11"/>
    </row>
    <row r="1051" spans="1:19" ht="15.75">
      <c r="A1051" s="13">
        <v>73140</v>
      </c>
      <c r="B1051" s="8">
        <f>CHOOSE( CONTROL!$C$32, 40.8116, 40.8113) * CHOOSE(CONTROL!$C$15, $D$11, 100%, $F$11)</f>
        <v>40.811599999999999</v>
      </c>
      <c r="C1051" s="8">
        <f>CHOOSE( CONTROL!$C$32, 40.8167, 40.8164) * CHOOSE(CONTROL!$C$15, $D$11, 100%, $F$11)</f>
        <v>40.816699999999997</v>
      </c>
      <c r="D1051" s="8">
        <f>CHOOSE( CONTROL!$C$32, 40.7867, 40.7864) * CHOOSE( CONTROL!$C$15, $D$11, 100%, $F$11)</f>
        <v>40.786700000000003</v>
      </c>
      <c r="E1051" s="12">
        <f>CHOOSE( CONTROL!$C$32, 40.7971, 40.7968) * CHOOSE( CONTROL!$C$15, $D$11, 100%, $F$11)</f>
        <v>40.7971</v>
      </c>
      <c r="F1051" s="4">
        <f>CHOOSE( CONTROL!$C$32, 41.4769, 41.4766) * CHOOSE(CONTROL!$C$15, $D$11, 100%, $F$11)</f>
        <v>41.476900000000001</v>
      </c>
      <c r="G1051" s="8">
        <f>CHOOSE( CONTROL!$C$32, 40.3241, 40.3238) * CHOOSE( CONTROL!$C$15, $D$11, 100%, $F$11)</f>
        <v>40.324100000000001</v>
      </c>
      <c r="H1051" s="4">
        <f>CHOOSE( CONTROL!$C$32, 41.2378, 41.2375) * CHOOSE(CONTROL!$C$15, $D$11, 100%, $F$11)</f>
        <v>41.2378</v>
      </c>
      <c r="I1051" s="8">
        <f>CHOOSE( CONTROL!$C$32, 39.6975, 39.6973) * CHOOSE(CONTROL!$C$15, $D$11, 100%, $F$11)</f>
        <v>39.697499999999998</v>
      </c>
      <c r="J1051" s="4">
        <f>CHOOSE( CONTROL!$C$32, 39.5989, 39.5986) * CHOOSE(CONTROL!$C$15, $D$11, 100%, $F$11)</f>
        <v>39.5989</v>
      </c>
      <c r="K1051" s="4"/>
      <c r="L1051" s="9">
        <v>29.306000000000001</v>
      </c>
      <c r="M1051" s="9">
        <v>12.063700000000001</v>
      </c>
      <c r="N1051" s="9">
        <v>4.9444999999999997</v>
      </c>
      <c r="O1051" s="9">
        <v>0.37409999999999999</v>
      </c>
      <c r="P1051" s="9">
        <v>1.2927</v>
      </c>
      <c r="Q1051" s="9">
        <v>19.688099999999999</v>
      </c>
      <c r="R1051" s="9"/>
      <c r="S1051" s="11"/>
    </row>
    <row r="1052" spans="1:19" ht="15.75">
      <c r="A1052" s="13">
        <v>73170</v>
      </c>
      <c r="B1052" s="8">
        <f>CHOOSE( CONTROL!$C$32, 41.4325, 41.4322) * CHOOSE(CONTROL!$C$15, $D$11, 100%, $F$11)</f>
        <v>41.432499999999997</v>
      </c>
      <c r="C1052" s="8">
        <f>CHOOSE( CONTROL!$C$32, 41.437, 41.4367) * CHOOSE(CONTROL!$C$15, $D$11, 100%, $F$11)</f>
        <v>41.436999999999998</v>
      </c>
      <c r="D1052" s="8">
        <f>CHOOSE( CONTROL!$C$32, 41.4365, 41.4362) * CHOOSE( CONTROL!$C$15, $D$11, 100%, $F$11)</f>
        <v>41.436500000000002</v>
      </c>
      <c r="E1052" s="12">
        <f>CHOOSE( CONTROL!$C$32, 41.4362, 41.4359) * CHOOSE( CONTROL!$C$15, $D$11, 100%, $F$11)</f>
        <v>41.436199999999999</v>
      </c>
      <c r="F1052" s="4">
        <f>CHOOSE( CONTROL!$C$32, 42.1408, 42.1406) * CHOOSE(CONTROL!$C$15, $D$11, 100%, $F$11)</f>
        <v>42.140799999999999</v>
      </c>
      <c r="G1052" s="8">
        <f>CHOOSE( CONTROL!$C$32, 40.954, 40.9537) * CHOOSE( CONTROL!$C$15, $D$11, 100%, $F$11)</f>
        <v>40.954000000000001</v>
      </c>
      <c r="H1052" s="4">
        <f>CHOOSE( CONTROL!$C$32, 41.894, 41.8937) * CHOOSE(CONTROL!$C$15, $D$11, 100%, $F$11)</f>
        <v>41.893999999999998</v>
      </c>
      <c r="I1052" s="8">
        <f>CHOOSE( CONTROL!$C$32, 40.3002, 40.3) * CHOOSE(CONTROL!$C$15, $D$11, 100%, $F$11)</f>
        <v>40.300199999999997</v>
      </c>
      <c r="J1052" s="4">
        <f>CHOOSE( CONTROL!$C$32, 40.2008, 40.2005) * CHOOSE(CONTROL!$C$15, $D$11, 100%, $F$11)</f>
        <v>40.200800000000001</v>
      </c>
      <c r="K1052" s="4"/>
      <c r="L1052" s="9">
        <v>30.092199999999998</v>
      </c>
      <c r="M1052" s="9">
        <v>11.6745</v>
      </c>
      <c r="N1052" s="9">
        <v>4.7850000000000001</v>
      </c>
      <c r="O1052" s="9">
        <v>0.36199999999999999</v>
      </c>
      <c r="P1052" s="9">
        <v>1.2509999999999999</v>
      </c>
      <c r="Q1052" s="9">
        <v>19.053000000000001</v>
      </c>
      <c r="R1052" s="9"/>
      <c r="S1052" s="11"/>
    </row>
    <row r="1053" spans="1:19" ht="15.75">
      <c r="A1053" s="13">
        <v>73201</v>
      </c>
      <c r="B1053" s="8">
        <f>CHOOSE( CONTROL!$C$32, 42.5378, 42.5373) * CHOOSE(CONTROL!$C$15, $D$11, 100%, $F$11)</f>
        <v>42.537799999999997</v>
      </c>
      <c r="C1053" s="8">
        <f>CHOOSE( CONTROL!$C$32, 42.5458, 42.5453) * CHOOSE(CONTROL!$C$15, $D$11, 100%, $F$11)</f>
        <v>42.5458</v>
      </c>
      <c r="D1053" s="8">
        <f>CHOOSE( CONTROL!$C$32, 42.5401, 42.5396) * CHOOSE( CONTROL!$C$15, $D$11, 100%, $F$11)</f>
        <v>42.540100000000002</v>
      </c>
      <c r="E1053" s="12">
        <f>CHOOSE( CONTROL!$C$32, 42.5409, 42.5404) * CHOOSE( CONTROL!$C$15, $D$11, 100%, $F$11)</f>
        <v>42.540900000000001</v>
      </c>
      <c r="F1053" s="4">
        <f>CHOOSE( CONTROL!$C$32, 43.2447, 43.2443) * CHOOSE(CONTROL!$C$15, $D$11, 100%, $F$11)</f>
        <v>43.244700000000002</v>
      </c>
      <c r="G1053" s="8">
        <f>CHOOSE( CONTROL!$C$32, 42.0453, 42.0449) * CHOOSE( CONTROL!$C$15, $D$11, 100%, $F$11)</f>
        <v>42.045299999999997</v>
      </c>
      <c r="H1053" s="4">
        <f>CHOOSE( CONTROL!$C$32, 42.9849, 42.9845) * CHOOSE(CONTROL!$C$15, $D$11, 100%, $F$11)</f>
        <v>42.984900000000003</v>
      </c>
      <c r="I1053" s="8">
        <f>CHOOSE( CONTROL!$C$32, 41.3727, 41.3722) * CHOOSE(CONTROL!$C$15, $D$11, 100%, $F$11)</f>
        <v>41.372700000000002</v>
      </c>
      <c r="J1053" s="4">
        <f>CHOOSE( CONTROL!$C$32, 41.2721, 41.2717) * CHOOSE(CONTROL!$C$15, $D$11, 100%, $F$11)</f>
        <v>41.272100000000002</v>
      </c>
      <c r="K1053" s="4"/>
      <c r="L1053" s="9">
        <v>30.7165</v>
      </c>
      <c r="M1053" s="9">
        <v>12.063700000000001</v>
      </c>
      <c r="N1053" s="9">
        <v>4.9444999999999997</v>
      </c>
      <c r="O1053" s="9">
        <v>0.37409999999999999</v>
      </c>
      <c r="P1053" s="9">
        <v>1.2927</v>
      </c>
      <c r="Q1053" s="9">
        <v>19.688099999999999</v>
      </c>
      <c r="R1053" s="9"/>
      <c r="S1053" s="11"/>
    </row>
    <row r="1054" spans="1:19" ht="15.75">
      <c r="A1054" s="13">
        <v>73231</v>
      </c>
      <c r="B1054" s="8">
        <f>CHOOSE( CONTROL!$C$32, 41.8541, 41.8536) * CHOOSE(CONTROL!$C$15, $D$11, 100%, $F$11)</f>
        <v>41.854100000000003</v>
      </c>
      <c r="C1054" s="8">
        <f>CHOOSE( CONTROL!$C$32, 41.862, 41.8616) * CHOOSE(CONTROL!$C$15, $D$11, 100%, $F$11)</f>
        <v>41.862000000000002</v>
      </c>
      <c r="D1054" s="8">
        <f>CHOOSE( CONTROL!$C$32, 41.8567, 41.8563) * CHOOSE( CONTROL!$C$15, $D$11, 100%, $F$11)</f>
        <v>41.856699999999996</v>
      </c>
      <c r="E1054" s="12">
        <f>CHOOSE( CONTROL!$C$32, 41.8574, 41.857) * CHOOSE( CONTROL!$C$15, $D$11, 100%, $F$11)</f>
        <v>41.857399999999998</v>
      </c>
      <c r="F1054" s="4">
        <f>CHOOSE( CONTROL!$C$32, 42.561, 42.5606) * CHOOSE(CONTROL!$C$15, $D$11, 100%, $F$11)</f>
        <v>42.561</v>
      </c>
      <c r="G1054" s="8">
        <f>CHOOSE( CONTROL!$C$32, 41.3699, 41.3695) * CHOOSE( CONTROL!$C$15, $D$11, 100%, $F$11)</f>
        <v>41.369900000000001</v>
      </c>
      <c r="H1054" s="4">
        <f>CHOOSE( CONTROL!$C$32, 42.3092, 42.3088) * CHOOSE(CONTROL!$C$15, $D$11, 100%, $F$11)</f>
        <v>42.309199999999997</v>
      </c>
      <c r="I1054" s="8">
        <f>CHOOSE( CONTROL!$C$32, 40.7102, 40.7098) * CHOOSE(CONTROL!$C$15, $D$11, 100%, $F$11)</f>
        <v>40.7102</v>
      </c>
      <c r="J1054" s="4">
        <f>CHOOSE( CONTROL!$C$32, 40.6086, 40.6081) * CHOOSE(CONTROL!$C$15, $D$11, 100%, $F$11)</f>
        <v>40.608600000000003</v>
      </c>
      <c r="K1054" s="4"/>
      <c r="L1054" s="9">
        <v>29.7257</v>
      </c>
      <c r="M1054" s="9">
        <v>11.6745</v>
      </c>
      <c r="N1054" s="9">
        <v>4.7850000000000001</v>
      </c>
      <c r="O1054" s="9">
        <v>0.36199999999999999</v>
      </c>
      <c r="P1054" s="9">
        <v>1.2509999999999999</v>
      </c>
      <c r="Q1054" s="9">
        <v>19.053000000000001</v>
      </c>
      <c r="R1054" s="9"/>
      <c r="S1054" s="11"/>
    </row>
    <row r="1055" spans="1:19" ht="15.75">
      <c r="A1055" s="13">
        <v>73262</v>
      </c>
      <c r="B1055" s="8">
        <f>CHOOSE( CONTROL!$C$32, 43.6546, 43.6541) * CHOOSE(CONTROL!$C$15, $D$11, 100%, $F$11)</f>
        <v>43.654600000000002</v>
      </c>
      <c r="C1055" s="8">
        <f>CHOOSE( CONTROL!$C$32, 43.6625, 43.6621) * CHOOSE(CONTROL!$C$15, $D$11, 100%, $F$11)</f>
        <v>43.662500000000001</v>
      </c>
      <c r="D1055" s="8">
        <f>CHOOSE( CONTROL!$C$32, 43.6577, 43.6572) * CHOOSE( CONTROL!$C$15, $D$11, 100%, $F$11)</f>
        <v>43.657699999999998</v>
      </c>
      <c r="E1055" s="12">
        <f>CHOOSE( CONTROL!$C$32, 43.6582, 43.6578) * CHOOSE( CONTROL!$C$15, $D$11, 100%, $F$11)</f>
        <v>43.658200000000001</v>
      </c>
      <c r="F1055" s="4">
        <f>CHOOSE( CONTROL!$C$32, 44.3615, 44.361) * CHOOSE(CONTROL!$C$15, $D$11, 100%, $F$11)</f>
        <v>44.361499999999999</v>
      </c>
      <c r="G1055" s="8">
        <f>CHOOSE( CONTROL!$C$32, 43.1497, 43.1493) * CHOOSE( CONTROL!$C$15, $D$11, 100%, $F$11)</f>
        <v>43.149700000000003</v>
      </c>
      <c r="H1055" s="4">
        <f>CHOOSE( CONTROL!$C$32, 44.0886, 44.0882) * CHOOSE(CONTROL!$C$15, $D$11, 100%, $F$11)</f>
        <v>44.0886</v>
      </c>
      <c r="I1055" s="8">
        <f>CHOOSE( CONTROL!$C$32, 42.46, 42.4596) * CHOOSE(CONTROL!$C$15, $D$11, 100%, $F$11)</f>
        <v>42.46</v>
      </c>
      <c r="J1055" s="4">
        <f>CHOOSE( CONTROL!$C$32, 42.3559, 42.3555) * CHOOSE(CONTROL!$C$15, $D$11, 100%, $F$11)</f>
        <v>42.355899999999998</v>
      </c>
      <c r="K1055" s="4"/>
      <c r="L1055" s="9">
        <v>30.7165</v>
      </c>
      <c r="M1055" s="9">
        <v>12.063700000000001</v>
      </c>
      <c r="N1055" s="9">
        <v>4.9444999999999997</v>
      </c>
      <c r="O1055" s="9">
        <v>0.37409999999999999</v>
      </c>
      <c r="P1055" s="9">
        <v>1.2927</v>
      </c>
      <c r="Q1055" s="9">
        <v>19.688099999999999</v>
      </c>
      <c r="R1055" s="9"/>
      <c r="S1055" s="11"/>
    </row>
    <row r="1056" spans="1:19" ht="15.75">
      <c r="A1056" s="13">
        <v>73293</v>
      </c>
      <c r="B1056" s="8">
        <f>CHOOSE( CONTROL!$C$32, 40.2856, 40.2852) * CHOOSE(CONTROL!$C$15, $D$11, 100%, $F$11)</f>
        <v>40.285600000000002</v>
      </c>
      <c r="C1056" s="8">
        <f>CHOOSE( CONTROL!$C$32, 40.2936, 40.2932) * CHOOSE(CONTROL!$C$15, $D$11, 100%, $F$11)</f>
        <v>40.293599999999998</v>
      </c>
      <c r="D1056" s="8">
        <f>CHOOSE( CONTROL!$C$32, 40.2889, 40.2885) * CHOOSE( CONTROL!$C$15, $D$11, 100%, $F$11)</f>
        <v>40.288899999999998</v>
      </c>
      <c r="E1056" s="12">
        <f>CHOOSE( CONTROL!$C$32, 40.2894, 40.289) * CHOOSE( CONTROL!$C$15, $D$11, 100%, $F$11)</f>
        <v>40.289400000000001</v>
      </c>
      <c r="F1056" s="4">
        <f>CHOOSE( CONTROL!$C$32, 40.9926, 40.9921) * CHOOSE(CONTROL!$C$15, $D$11, 100%, $F$11)</f>
        <v>40.992600000000003</v>
      </c>
      <c r="G1056" s="8">
        <f>CHOOSE( CONTROL!$C$32, 39.8204, 39.8199) * CHOOSE( CONTROL!$C$15, $D$11, 100%, $F$11)</f>
        <v>39.820399999999999</v>
      </c>
      <c r="H1056" s="4">
        <f>CHOOSE( CONTROL!$C$32, 40.7592, 40.7587) * CHOOSE(CONTROL!$C$15, $D$11, 100%, $F$11)</f>
        <v>40.7592</v>
      </c>
      <c r="I1056" s="8">
        <f>CHOOSE( CONTROL!$C$32, 39.1893, 39.1889) * CHOOSE(CONTROL!$C$15, $D$11, 100%, $F$11)</f>
        <v>39.189300000000003</v>
      </c>
      <c r="J1056" s="4">
        <f>CHOOSE( CONTROL!$C$32, 39.0864, 39.086) * CHOOSE(CONTROL!$C$15, $D$11, 100%, $F$11)</f>
        <v>39.086399999999998</v>
      </c>
      <c r="K1056" s="4"/>
      <c r="L1056" s="9">
        <v>30.7165</v>
      </c>
      <c r="M1056" s="9">
        <v>12.063700000000001</v>
      </c>
      <c r="N1056" s="9">
        <v>4.9444999999999997</v>
      </c>
      <c r="O1056" s="9">
        <v>0.37409999999999999</v>
      </c>
      <c r="P1056" s="9">
        <v>1.2927</v>
      </c>
      <c r="Q1056" s="9">
        <v>19.688099999999999</v>
      </c>
      <c r="R1056" s="9"/>
      <c r="S1056" s="11"/>
    </row>
    <row r="1057" spans="1:19" ht="15.75">
      <c r="A1057" s="13">
        <v>73323</v>
      </c>
      <c r="B1057" s="8">
        <f>CHOOSE( CONTROL!$C$32, 39.442, 39.4416) * CHOOSE(CONTROL!$C$15, $D$11, 100%, $F$11)</f>
        <v>39.442</v>
      </c>
      <c r="C1057" s="8">
        <f>CHOOSE( CONTROL!$C$32, 39.45, 39.4495) * CHOOSE(CONTROL!$C$15, $D$11, 100%, $F$11)</f>
        <v>39.450000000000003</v>
      </c>
      <c r="D1057" s="8">
        <f>CHOOSE( CONTROL!$C$32, 39.4451, 39.4447) * CHOOSE( CONTROL!$C$15, $D$11, 100%, $F$11)</f>
        <v>39.445099999999996</v>
      </c>
      <c r="E1057" s="12">
        <f>CHOOSE( CONTROL!$C$32, 39.4457, 39.4452) * CHOOSE( CONTROL!$C$15, $D$11, 100%, $F$11)</f>
        <v>39.445700000000002</v>
      </c>
      <c r="F1057" s="4">
        <f>CHOOSE( CONTROL!$C$32, 40.149, 40.1485) * CHOOSE(CONTROL!$C$15, $D$11, 100%, $F$11)</f>
        <v>40.149000000000001</v>
      </c>
      <c r="G1057" s="8">
        <f>CHOOSE( CONTROL!$C$32, 38.9865, 38.986) * CHOOSE( CONTROL!$C$15, $D$11, 100%, $F$11)</f>
        <v>38.986499999999999</v>
      </c>
      <c r="H1057" s="4">
        <f>CHOOSE( CONTROL!$C$32, 39.9254, 39.925) * CHOOSE(CONTROL!$C$15, $D$11, 100%, $F$11)</f>
        <v>39.925400000000003</v>
      </c>
      <c r="I1057" s="8">
        <f>CHOOSE( CONTROL!$C$32, 38.3697, 38.3692) * CHOOSE(CONTROL!$C$15, $D$11, 100%, $F$11)</f>
        <v>38.369700000000002</v>
      </c>
      <c r="J1057" s="4">
        <f>CHOOSE( CONTROL!$C$32, 38.2677, 38.2672) * CHOOSE(CONTROL!$C$15, $D$11, 100%, $F$11)</f>
        <v>38.267699999999998</v>
      </c>
      <c r="K1057" s="4"/>
      <c r="L1057" s="9">
        <v>29.7257</v>
      </c>
      <c r="M1057" s="9">
        <v>11.6745</v>
      </c>
      <c r="N1057" s="9">
        <v>4.7850000000000001</v>
      </c>
      <c r="O1057" s="9">
        <v>0.36199999999999999</v>
      </c>
      <c r="P1057" s="9">
        <v>1.2509999999999999</v>
      </c>
      <c r="Q1057" s="9">
        <v>19.053000000000001</v>
      </c>
      <c r="R1057" s="9"/>
      <c r="S1057" s="11"/>
    </row>
    <row r="1058" spans="1:19" ht="15.75">
      <c r="A1058" s="13">
        <v>73354</v>
      </c>
      <c r="B1058" s="8">
        <f>CHOOSE( CONTROL!$C$32, 41.1918, 41.1915) * CHOOSE(CONTROL!$C$15, $D$11, 100%, $F$11)</f>
        <v>41.191800000000001</v>
      </c>
      <c r="C1058" s="8">
        <f>CHOOSE( CONTROL!$C$32, 41.1971, 41.1968) * CHOOSE(CONTROL!$C$15, $D$11, 100%, $F$11)</f>
        <v>41.197099999999999</v>
      </c>
      <c r="D1058" s="8">
        <f>CHOOSE( CONTROL!$C$32, 41.1973, 41.197) * CHOOSE( CONTROL!$C$15, $D$11, 100%, $F$11)</f>
        <v>41.197299999999998</v>
      </c>
      <c r="E1058" s="12">
        <f>CHOOSE( CONTROL!$C$32, 41.1967, 41.1964) * CHOOSE( CONTROL!$C$15, $D$11, 100%, $F$11)</f>
        <v>41.1967</v>
      </c>
      <c r="F1058" s="4">
        <f>CHOOSE( CONTROL!$C$32, 41.9004, 41.9002) * CHOOSE(CONTROL!$C$15, $D$11, 100%, $F$11)</f>
        <v>41.900399999999998</v>
      </c>
      <c r="G1058" s="8">
        <f>CHOOSE( CONTROL!$C$32, 40.7174, 40.7171) * CHOOSE( CONTROL!$C$15, $D$11, 100%, $F$11)</f>
        <v>40.717399999999998</v>
      </c>
      <c r="H1058" s="4">
        <f>CHOOSE( CONTROL!$C$32, 41.6564, 41.6561) * CHOOSE(CONTROL!$C$15, $D$11, 100%, $F$11)</f>
        <v>41.656399999999998</v>
      </c>
      <c r="I1058" s="8">
        <f>CHOOSE( CONTROL!$C$32, 40.071, 40.0707) * CHOOSE(CONTROL!$C$15, $D$11, 100%, $F$11)</f>
        <v>40.070999999999998</v>
      </c>
      <c r="J1058" s="4">
        <f>CHOOSE( CONTROL!$C$32, 39.9675, 39.9672) * CHOOSE(CONTROL!$C$15, $D$11, 100%, $F$11)</f>
        <v>39.967500000000001</v>
      </c>
      <c r="K1058" s="4"/>
      <c r="L1058" s="9">
        <v>31.095300000000002</v>
      </c>
      <c r="M1058" s="9">
        <v>12.063700000000001</v>
      </c>
      <c r="N1058" s="9">
        <v>4.9444999999999997</v>
      </c>
      <c r="O1058" s="9">
        <v>0.37409999999999999</v>
      </c>
      <c r="P1058" s="9">
        <v>1.2927</v>
      </c>
      <c r="Q1058" s="9">
        <v>19.688099999999999</v>
      </c>
      <c r="R1058" s="9"/>
      <c r="S1058" s="11"/>
    </row>
    <row r="1059" spans="1:19" ht="15.75">
      <c r="A1059" s="13">
        <v>73384</v>
      </c>
      <c r="B1059" s="8">
        <f>CHOOSE( CONTROL!$C$32, 44.4245, 44.4243) * CHOOSE(CONTROL!$C$15, $D$11, 100%, $F$11)</f>
        <v>44.424500000000002</v>
      </c>
      <c r="C1059" s="8">
        <f>CHOOSE( CONTROL!$C$32, 44.4296, 44.4293) * CHOOSE(CONTROL!$C$15, $D$11, 100%, $F$11)</f>
        <v>44.429600000000001</v>
      </c>
      <c r="D1059" s="8">
        <f>CHOOSE( CONTROL!$C$32, 44.3975, 44.3972) * CHOOSE( CONTROL!$C$15, $D$11, 100%, $F$11)</f>
        <v>44.397500000000001</v>
      </c>
      <c r="E1059" s="12">
        <f>CHOOSE( CONTROL!$C$32, 44.4087, 44.4084) * CHOOSE( CONTROL!$C$15, $D$11, 100%, $F$11)</f>
        <v>44.408700000000003</v>
      </c>
      <c r="F1059" s="4">
        <f>CHOOSE( CONTROL!$C$32, 45.0898, 45.0895) * CHOOSE(CONTROL!$C$15, $D$11, 100%, $F$11)</f>
        <v>45.089799999999997</v>
      </c>
      <c r="G1059" s="8">
        <f>CHOOSE( CONTROL!$C$32, 43.9016, 43.9014) * CHOOSE( CONTROL!$C$15, $D$11, 100%, $F$11)</f>
        <v>43.901600000000002</v>
      </c>
      <c r="H1059" s="4">
        <f>CHOOSE( CONTROL!$C$32, 44.8084, 44.8081) * CHOOSE(CONTROL!$C$15, $D$11, 100%, $F$11)</f>
        <v>44.808399999999999</v>
      </c>
      <c r="I1059" s="8">
        <f>CHOOSE( CONTROL!$C$32, 43.2612, 43.2609) * CHOOSE(CONTROL!$C$15, $D$11, 100%, $F$11)</f>
        <v>43.261200000000002</v>
      </c>
      <c r="J1059" s="4">
        <f>CHOOSE( CONTROL!$C$32, 43.1052, 43.105) * CHOOSE(CONTROL!$C$15, $D$11, 100%, $F$11)</f>
        <v>43.105200000000004</v>
      </c>
      <c r="K1059" s="4"/>
      <c r="L1059" s="9">
        <v>28.360600000000002</v>
      </c>
      <c r="M1059" s="9">
        <v>11.6745</v>
      </c>
      <c r="N1059" s="9">
        <v>4.7850000000000001</v>
      </c>
      <c r="O1059" s="9">
        <v>0.36199999999999999</v>
      </c>
      <c r="P1059" s="9">
        <v>1.2509999999999999</v>
      </c>
      <c r="Q1059" s="9">
        <v>19.053000000000001</v>
      </c>
      <c r="R1059" s="9"/>
      <c r="S1059" s="11"/>
    </row>
    <row r="1060" spans="1:19" ht="15.75">
      <c r="A1060" s="13">
        <v>73415</v>
      </c>
      <c r="B1060" s="8">
        <f>CHOOSE( CONTROL!$C$32, 44.3437, 44.3435) * CHOOSE(CONTROL!$C$15, $D$11, 100%, $F$11)</f>
        <v>44.343699999999998</v>
      </c>
      <c r="C1060" s="8">
        <f>CHOOSE( CONTROL!$C$32, 44.3488, 44.3485) * CHOOSE(CONTROL!$C$15, $D$11, 100%, $F$11)</f>
        <v>44.348799999999997</v>
      </c>
      <c r="D1060" s="8">
        <f>CHOOSE( CONTROL!$C$32, 44.3185, 44.3182) * CHOOSE( CONTROL!$C$15, $D$11, 100%, $F$11)</f>
        <v>44.3185</v>
      </c>
      <c r="E1060" s="12">
        <f>CHOOSE( CONTROL!$C$32, 44.329, 44.3287) * CHOOSE( CONTROL!$C$15, $D$11, 100%, $F$11)</f>
        <v>44.329000000000001</v>
      </c>
      <c r="F1060" s="4">
        <f>CHOOSE( CONTROL!$C$32, 45.009, 45.0088) * CHOOSE(CONTROL!$C$15, $D$11, 100%, $F$11)</f>
        <v>45.009</v>
      </c>
      <c r="G1060" s="8">
        <f>CHOOSE( CONTROL!$C$32, 43.8231, 43.8229) * CHOOSE( CONTROL!$C$15, $D$11, 100%, $F$11)</f>
        <v>43.823099999999997</v>
      </c>
      <c r="H1060" s="4">
        <f>CHOOSE( CONTROL!$C$32, 44.7286, 44.7283) * CHOOSE(CONTROL!$C$15, $D$11, 100%, $F$11)</f>
        <v>44.7286</v>
      </c>
      <c r="I1060" s="8">
        <f>CHOOSE( CONTROL!$C$32, 43.1885, 43.1882) * CHOOSE(CONTROL!$C$15, $D$11, 100%, $F$11)</f>
        <v>43.188499999999998</v>
      </c>
      <c r="J1060" s="4">
        <f>CHOOSE( CONTROL!$C$32, 43.0269, 43.0266) * CHOOSE(CONTROL!$C$15, $D$11, 100%, $F$11)</f>
        <v>43.026899999999998</v>
      </c>
      <c r="K1060" s="4"/>
      <c r="L1060" s="9">
        <v>29.306000000000001</v>
      </c>
      <c r="M1060" s="9">
        <v>12.063700000000001</v>
      </c>
      <c r="N1060" s="9">
        <v>4.9444999999999997</v>
      </c>
      <c r="O1060" s="9">
        <v>0.37409999999999999</v>
      </c>
      <c r="P1060" s="9">
        <v>1.2927</v>
      </c>
      <c r="Q1060" s="9">
        <v>19.688099999999999</v>
      </c>
      <c r="R1060" s="9"/>
      <c r="S1060" s="11"/>
    </row>
    <row r="1061" spans="1:19">
      <c r="A1061" s="10"/>
      <c r="F1061" s="1"/>
      <c r="H1061" s="1"/>
      <c r="Q1061" s="9"/>
    </row>
    <row r="1062" spans="1:19" ht="15" customHeight="1">
      <c r="A1062" s="3">
        <v>2014</v>
      </c>
      <c r="B1062" s="8">
        <f t="shared" ref="B1062:H1062" si="1">AVERAGE(B17:B28)</f>
        <v>4.5548486952413842</v>
      </c>
      <c r="C1062" s="8">
        <f t="shared" si="1"/>
        <v>4.5610514770891291</v>
      </c>
      <c r="D1062" s="8">
        <f t="shared" si="1"/>
        <v>4.5884379200117626</v>
      </c>
      <c r="E1062" s="8">
        <f t="shared" si="1"/>
        <v>4.5792702664601812</v>
      </c>
      <c r="F1062" s="4">
        <f t="shared" si="1"/>
        <v>5.2555833824796379</v>
      </c>
      <c r="G1062" s="8">
        <f t="shared" si="1"/>
        <v>4.5492030047081569</v>
      </c>
      <c r="H1062" s="4">
        <f t="shared" si="1"/>
        <v>5.3740238437301926</v>
      </c>
      <c r="I1062" s="8"/>
      <c r="J1062" s="4">
        <f>AVERAGE(J17:J28)</f>
        <v>4.4151717793054299</v>
      </c>
      <c r="K1062" s="4">
        <f>AVERAGE(K17:K28)</f>
        <v>4.5161421146080842</v>
      </c>
      <c r="L1062" s="5">
        <f>SUM(L17:L28)</f>
        <v>360.57927420000004</v>
      </c>
      <c r="M1062" s="5">
        <f>SUM(M17:M28)</f>
        <v>142.03995</v>
      </c>
      <c r="N1062" s="5">
        <f>SUM(N17:N28)</f>
        <v>56.540100000000002</v>
      </c>
      <c r="O1062" s="5">
        <f>SUM(O17:O28)</f>
        <v>7.7105140000000025</v>
      </c>
      <c r="P1062" s="5">
        <f>SUM(P17:P28)</f>
        <v>7.914449276</v>
      </c>
      <c r="Q1062" s="5"/>
      <c r="R1062" s="5">
        <f>SUM(R17:R28)</f>
        <v>3.899999999999999</v>
      </c>
      <c r="S1062" s="5">
        <f>SUM(S17:S28)</f>
        <v>12.630875000000003</v>
      </c>
    </row>
    <row r="1063" spans="1:19" ht="15" customHeight="1">
      <c r="A1063" s="3">
        <v>2015</v>
      </c>
      <c r="B1063" s="8">
        <f t="shared" ref="B1063:H1063" si="2">AVERAGE(B29:B40)</f>
        <v>3.0889166666666661</v>
      </c>
      <c r="C1063" s="8">
        <f t="shared" si="2"/>
        <v>3.095183333333333</v>
      </c>
      <c r="D1063" s="8">
        <f t="shared" si="2"/>
        <v>3.0698166666666666</v>
      </c>
      <c r="E1063" s="8">
        <f t="shared" si="2"/>
        <v>3.0779166666666664</v>
      </c>
      <c r="F1063" s="4">
        <f t="shared" si="2"/>
        <v>3.7734000000000001</v>
      </c>
      <c r="G1063" s="8">
        <f t="shared" si="2"/>
        <v>3.0520333333333327</v>
      </c>
      <c r="H1063" s="4">
        <f t="shared" si="2"/>
        <v>3.9758499999999999</v>
      </c>
      <c r="I1063" s="8"/>
      <c r="J1063" s="4">
        <f>AVERAGE(J29:J40)</f>
        <v>2.9880916666666661</v>
      </c>
      <c r="K1063" s="4">
        <f>AVERAGE(K29:K40)</f>
        <v>3.0524666666666658</v>
      </c>
      <c r="L1063" s="5">
        <f>SUM(L29:L40)</f>
        <v>361.77389999999997</v>
      </c>
      <c r="M1063" s="5">
        <f>SUM(M29:M40)</f>
        <v>142.0401</v>
      </c>
      <c r="N1063" s="5">
        <f>SUM(N29:N40)</f>
        <v>56.113899999999994</v>
      </c>
      <c r="O1063" s="5">
        <f>SUM(O29:O40)</f>
        <v>7.2496000000000018</v>
      </c>
      <c r="P1063" s="5">
        <f>SUM(P29:P40)</f>
        <v>16.906700000000001</v>
      </c>
      <c r="Q1063" s="5"/>
      <c r="R1063" s="5">
        <f>SUM(R29:R40)</f>
        <v>3.5999999999999992</v>
      </c>
      <c r="S1063" s="5">
        <f>SUM(S29:S40)</f>
        <v>12.811500000000002</v>
      </c>
    </row>
    <row r="1064" spans="1:19" ht="15" customHeight="1">
      <c r="A1064" s="3">
        <v>2016</v>
      </c>
      <c r="B1064" s="8">
        <f t="shared" ref="B1064:H1064" si="3">AVERAGE(B41:B52)</f>
        <v>3.5008416666666666</v>
      </c>
      <c r="C1064" s="8">
        <f t="shared" si="3"/>
        <v>3.5070583333333336</v>
      </c>
      <c r="D1064" s="8">
        <f t="shared" si="3"/>
        <v>3.4874749999999994</v>
      </c>
      <c r="E1064" s="8">
        <f t="shared" si="3"/>
        <v>3.4936666666666665</v>
      </c>
      <c r="F1064" s="4">
        <f t="shared" si="3"/>
        <v>4.1906583333333325</v>
      </c>
      <c r="G1064" s="8">
        <f t="shared" si="3"/>
        <v>3.453183333333333</v>
      </c>
      <c r="H1064" s="4">
        <f t="shared" si="3"/>
        <v>4.3882416666666666</v>
      </c>
      <c r="I1064" s="8"/>
      <c r="J1064" s="4">
        <f>AVERAGE(J41:J52)</f>
        <v>3.3878416666666666</v>
      </c>
      <c r="K1064" s="5"/>
      <c r="L1064" s="5">
        <f>SUM(L41:L52)</f>
        <v>356.48229999999995</v>
      </c>
      <c r="M1064" s="5">
        <f>SUM(M41:M52)</f>
        <v>142.42920000000001</v>
      </c>
      <c r="N1064" s="5">
        <f>SUM(N41:N52)</f>
        <v>58.377000000000002</v>
      </c>
      <c r="O1064" s="5">
        <f>SUM(O41:O52)</f>
        <v>5.3597999999999999</v>
      </c>
      <c r="P1064" s="5">
        <f>SUM(P41:P52)</f>
        <v>20.483299999999996</v>
      </c>
      <c r="Q1064" s="5"/>
      <c r="R1064" s="5">
        <f>SUM(R41:R52)</f>
        <v>3.5999999999999992</v>
      </c>
      <c r="S1064" s="5"/>
    </row>
    <row r="1065" spans="1:19" ht="15" customHeight="1">
      <c r="A1065" s="3">
        <v>2017</v>
      </c>
      <c r="B1065" s="8">
        <f t="shared" ref="B1065:J1065" si="4">AVERAGE(B53:B64)</f>
        <v>3.8304499999999995</v>
      </c>
      <c r="C1065" s="8">
        <f t="shared" si="4"/>
        <v>3.8367249999999999</v>
      </c>
      <c r="D1065" s="8">
        <f t="shared" si="4"/>
        <v>3.8195166666666673</v>
      </c>
      <c r="E1065" s="8">
        <f t="shared" si="4"/>
        <v>3.8248583333333328</v>
      </c>
      <c r="F1065" s="4">
        <f t="shared" si="4"/>
        <v>4.5203083333333325</v>
      </c>
      <c r="G1065" s="8">
        <f t="shared" si="4"/>
        <v>3.7782166666666668</v>
      </c>
      <c r="H1065" s="4">
        <f t="shared" si="4"/>
        <v>4.7140083333333331</v>
      </c>
      <c r="I1065" s="8">
        <f t="shared" si="4"/>
        <v>3.8057916666666665</v>
      </c>
      <c r="J1065" s="4">
        <f t="shared" si="4"/>
        <v>3.7077583333333339</v>
      </c>
      <c r="K1065" s="4"/>
      <c r="L1065" s="5">
        <f t="shared" ref="L1065:Q1065" si="5">SUM(L53:L64)</f>
        <v>355.53689999999995</v>
      </c>
      <c r="M1065" s="5">
        <f t="shared" si="5"/>
        <v>142.0401</v>
      </c>
      <c r="N1065" s="5">
        <f t="shared" si="5"/>
        <v>58.217499999999994</v>
      </c>
      <c r="O1065" s="5">
        <f t="shared" si="5"/>
        <v>4.4046000000000003</v>
      </c>
      <c r="P1065" s="5">
        <f t="shared" si="5"/>
        <v>20.590200000000003</v>
      </c>
      <c r="Q1065" s="5">
        <f t="shared" si="5"/>
        <v>198.18529999999998</v>
      </c>
      <c r="R1065" s="5"/>
      <c r="S1065" s="4"/>
    </row>
    <row r="1066" spans="1:19" ht="15" customHeight="1">
      <c r="A1066" s="3">
        <v>2018</v>
      </c>
      <c r="B1066" s="8">
        <f t="shared" ref="B1066:J1066" si="6">AVERAGE(B65:B76)</f>
        <v>4.2514416666666666</v>
      </c>
      <c r="C1066" s="8">
        <f t="shared" si="6"/>
        <v>4.2576833333333335</v>
      </c>
      <c r="D1066" s="8">
        <f t="shared" si="6"/>
        <v>4.2459833333333332</v>
      </c>
      <c r="E1066" s="8">
        <f t="shared" si="6"/>
        <v>4.2494416666666668</v>
      </c>
      <c r="F1066" s="4">
        <f t="shared" si="6"/>
        <v>4.9412833333333328</v>
      </c>
      <c r="G1066" s="8">
        <f t="shared" si="6"/>
        <v>4.2058833333333334</v>
      </c>
      <c r="H1066" s="4">
        <f t="shared" si="6"/>
        <v>5.1300666666666661</v>
      </c>
      <c r="I1066" s="8">
        <f t="shared" si="6"/>
        <v>4.21455</v>
      </c>
      <c r="J1066" s="4">
        <f t="shared" si="6"/>
        <v>4.1163083333333343</v>
      </c>
      <c r="K1066" s="4"/>
      <c r="L1066" s="5">
        <f t="shared" ref="L1066:Q1066" si="7">SUM(L65:L76)</f>
        <v>355.53689999999995</v>
      </c>
      <c r="M1066" s="5">
        <f t="shared" si="7"/>
        <v>142.0401</v>
      </c>
      <c r="N1066" s="5">
        <f t="shared" si="7"/>
        <v>58.217499999999994</v>
      </c>
      <c r="O1066" s="5">
        <f t="shared" si="7"/>
        <v>4.4046000000000003</v>
      </c>
      <c r="P1066" s="5">
        <f t="shared" si="7"/>
        <v>15.220499999999998</v>
      </c>
      <c r="Q1066" s="5">
        <f t="shared" si="7"/>
        <v>293.19730000000004</v>
      </c>
      <c r="R1066" s="5"/>
      <c r="S1066" s="4"/>
    </row>
    <row r="1067" spans="1:19" ht="15" customHeight="1">
      <c r="A1067" s="3">
        <v>2019</v>
      </c>
      <c r="B1067" s="8">
        <f t="shared" ref="B1067:J1067" si="8">AVERAGE(B77:B88)</f>
        <v>4.5321749999999996</v>
      </c>
      <c r="C1067" s="8">
        <f t="shared" si="8"/>
        <v>4.5384166666666674</v>
      </c>
      <c r="D1067" s="8">
        <f t="shared" si="8"/>
        <v>4.5266999999999991</v>
      </c>
      <c r="E1067" s="8">
        <f t="shared" si="8"/>
        <v>4.5301583333333335</v>
      </c>
      <c r="F1067" s="4">
        <f t="shared" si="8"/>
        <v>5.2220083333333331</v>
      </c>
      <c r="G1067" s="8">
        <f t="shared" si="8"/>
        <v>4.4833166666666662</v>
      </c>
      <c r="H1067" s="4">
        <f t="shared" si="8"/>
        <v>5.4074833333333325</v>
      </c>
      <c r="I1067" s="8">
        <f t="shared" si="8"/>
        <v>4.487141666666667</v>
      </c>
      <c r="J1067" s="4">
        <f t="shared" si="8"/>
        <v>4.3887666666666671</v>
      </c>
      <c r="K1067" s="4"/>
      <c r="L1067" s="5">
        <f t="shared" ref="L1067:Q1067" si="9">SUM(L77:L88)</f>
        <v>355.53689999999995</v>
      </c>
      <c r="M1067" s="5">
        <f t="shared" si="9"/>
        <v>142.0401</v>
      </c>
      <c r="N1067" s="5">
        <f t="shared" si="9"/>
        <v>58.217499999999994</v>
      </c>
      <c r="O1067" s="5">
        <f t="shared" si="9"/>
        <v>4.4046000000000003</v>
      </c>
      <c r="P1067" s="5">
        <f t="shared" si="9"/>
        <v>15.220499999999998</v>
      </c>
      <c r="Q1067" s="5">
        <f t="shared" si="9"/>
        <v>290.24799999999999</v>
      </c>
      <c r="R1067" s="5"/>
      <c r="S1067" s="4"/>
    </row>
    <row r="1068" spans="1:19" ht="15" customHeight="1">
      <c r="A1068" s="3">
        <v>2020</v>
      </c>
      <c r="B1068" s="8">
        <f t="shared" ref="B1068:J1068" si="10">AVERAGE(B89:B100)</f>
        <v>5.3909416666666674</v>
      </c>
      <c r="C1068" s="8">
        <f t="shared" si="10"/>
        <v>5.3972083333333343</v>
      </c>
      <c r="D1068" s="8">
        <f t="shared" si="10"/>
        <v>5.3854916666666668</v>
      </c>
      <c r="E1068" s="8">
        <f t="shared" si="10"/>
        <v>5.388958333333334</v>
      </c>
      <c r="F1068" s="4">
        <f t="shared" si="10"/>
        <v>6.0807999999999991</v>
      </c>
      <c r="G1068" s="8">
        <f t="shared" si="10"/>
        <v>5.3320499999999997</v>
      </c>
      <c r="H1068" s="4">
        <f t="shared" si="10"/>
        <v>6.2562499999999988</v>
      </c>
      <c r="I1068" s="8">
        <f t="shared" si="10"/>
        <v>5.3210083333333333</v>
      </c>
      <c r="J1068" s="4">
        <f t="shared" si="10"/>
        <v>5.2222166666666672</v>
      </c>
      <c r="K1068" s="4"/>
      <c r="L1068" s="5">
        <f t="shared" ref="L1068:Q1068" si="11">SUM(L89:L100)</f>
        <v>356.48229999999995</v>
      </c>
      <c r="M1068" s="5">
        <f t="shared" si="11"/>
        <v>142.42920000000001</v>
      </c>
      <c r="N1068" s="5">
        <f t="shared" si="11"/>
        <v>58.377000000000002</v>
      </c>
      <c r="O1068" s="5">
        <f t="shared" si="11"/>
        <v>4.4165999999999999</v>
      </c>
      <c r="P1068" s="5">
        <f t="shared" si="11"/>
        <v>15.262199999999998</v>
      </c>
      <c r="Q1068" s="5">
        <f t="shared" si="11"/>
        <v>349.04309999999998</v>
      </c>
      <c r="R1068" s="5"/>
      <c r="S1068" s="4"/>
    </row>
    <row r="1069" spans="1:19" ht="15" customHeight="1">
      <c r="A1069" s="3">
        <v>2021</v>
      </c>
      <c r="B1069" s="8">
        <f t="shared" ref="B1069:J1069" si="12">AVERAGE(B101:B112)</f>
        <v>5.9108583333333335</v>
      </c>
      <c r="C1069" s="8">
        <f t="shared" si="12"/>
        <v>5.9171166666666659</v>
      </c>
      <c r="D1069" s="8">
        <f t="shared" si="12"/>
        <v>5.9054083333333338</v>
      </c>
      <c r="E1069" s="8">
        <f t="shared" si="12"/>
        <v>5.908858333333332</v>
      </c>
      <c r="F1069" s="4">
        <f t="shared" si="12"/>
        <v>6.6006999999999998</v>
      </c>
      <c r="G1069" s="8">
        <f t="shared" si="12"/>
        <v>5.8458583333333332</v>
      </c>
      <c r="H1069" s="4">
        <f t="shared" si="12"/>
        <v>6.7700500000000003</v>
      </c>
      <c r="I1069" s="8">
        <f t="shared" si="12"/>
        <v>5.8258249999999991</v>
      </c>
      <c r="J1069" s="4">
        <f t="shared" si="12"/>
        <v>5.7267916666666672</v>
      </c>
      <c r="K1069" s="4"/>
      <c r="L1069" s="5">
        <f t="shared" ref="L1069:Q1069" si="13">SUM(L101:L112)</f>
        <v>355.53689999999995</v>
      </c>
      <c r="M1069" s="5">
        <f t="shared" si="13"/>
        <v>142.0401</v>
      </c>
      <c r="N1069" s="5">
        <f t="shared" si="13"/>
        <v>58.217499999999994</v>
      </c>
      <c r="O1069" s="5">
        <f t="shared" si="13"/>
        <v>4.4046000000000003</v>
      </c>
      <c r="P1069" s="5">
        <f t="shared" si="13"/>
        <v>15.220499999999998</v>
      </c>
      <c r="Q1069" s="5">
        <f t="shared" si="13"/>
        <v>388.68129999999996</v>
      </c>
      <c r="R1069" s="5"/>
      <c r="S1069" s="4"/>
    </row>
    <row r="1070" spans="1:19" ht="15" customHeight="1">
      <c r="A1070" s="3">
        <v>2022</v>
      </c>
      <c r="B1070" s="8">
        <f t="shared" ref="B1070:J1070" si="14">AVERAGE(B113:B124)</f>
        <v>6.2310833333333333</v>
      </c>
      <c r="C1070" s="8">
        <f t="shared" si="14"/>
        <v>6.237333333333333</v>
      </c>
      <c r="D1070" s="8">
        <f t="shared" si="14"/>
        <v>6.2256333333333318</v>
      </c>
      <c r="E1070" s="8">
        <f t="shared" si="14"/>
        <v>6.2290833333333344</v>
      </c>
      <c r="F1070" s="4">
        <f t="shared" si="14"/>
        <v>6.9209250000000013</v>
      </c>
      <c r="G1070" s="8">
        <f t="shared" si="14"/>
        <v>6.1623333333333337</v>
      </c>
      <c r="H1070" s="4">
        <f t="shared" si="14"/>
        <v>7.0865249999999991</v>
      </c>
      <c r="I1070" s="8">
        <f t="shared" si="14"/>
        <v>6.1367500000000001</v>
      </c>
      <c r="J1070" s="4">
        <f t="shared" si="14"/>
        <v>6.0375666666666659</v>
      </c>
      <c r="K1070" s="4"/>
      <c r="L1070" s="5">
        <f t="shared" ref="L1070:Q1070" si="15">SUM(L113:L124)</f>
        <v>355.53689999999995</v>
      </c>
      <c r="M1070" s="5">
        <f t="shared" si="15"/>
        <v>142.0401</v>
      </c>
      <c r="N1070" s="5">
        <f t="shared" si="15"/>
        <v>58.217499999999994</v>
      </c>
      <c r="O1070" s="5">
        <f t="shared" si="15"/>
        <v>4.4046000000000003</v>
      </c>
      <c r="P1070" s="5">
        <f t="shared" si="15"/>
        <v>15.220499999999998</v>
      </c>
      <c r="Q1070" s="5">
        <f t="shared" si="15"/>
        <v>386.33820000000003</v>
      </c>
      <c r="R1070" s="5"/>
      <c r="S1070" s="4"/>
    </row>
    <row r="1071" spans="1:19" ht="15" customHeight="1">
      <c r="A1071" s="3">
        <v>2023</v>
      </c>
      <c r="B1071" s="8">
        <f t="shared" ref="B1071:J1071" si="16">AVERAGE(B125:B136)</f>
        <v>6.4718666666666662</v>
      </c>
      <c r="C1071" s="8">
        <f t="shared" si="16"/>
        <v>6.4781166666666676</v>
      </c>
      <c r="D1071" s="8">
        <f t="shared" si="16"/>
        <v>6.4664166666666665</v>
      </c>
      <c r="E1071" s="8">
        <f t="shared" si="16"/>
        <v>6.4698583333333346</v>
      </c>
      <c r="F1071" s="4">
        <f t="shared" si="16"/>
        <v>7.1616999999999988</v>
      </c>
      <c r="G1071" s="8">
        <f t="shared" si="16"/>
        <v>6.4002833333333342</v>
      </c>
      <c r="H1071" s="4">
        <f t="shared" si="16"/>
        <v>7.3244833333333332</v>
      </c>
      <c r="I1071" s="8">
        <f t="shared" si="16"/>
        <v>6.3705333333333343</v>
      </c>
      <c r="J1071" s="4">
        <f t="shared" si="16"/>
        <v>6.2712416666666675</v>
      </c>
      <c r="K1071" s="4"/>
      <c r="L1071" s="5">
        <f t="shared" ref="L1071:Q1071" si="17">SUM(L125:L136)</f>
        <v>355.53689999999995</v>
      </c>
      <c r="M1071" s="5">
        <f t="shared" si="17"/>
        <v>142.0401</v>
      </c>
      <c r="N1071" s="5">
        <f t="shared" si="17"/>
        <v>58.217499999999994</v>
      </c>
      <c r="O1071" s="5">
        <f t="shared" si="17"/>
        <v>4.4046000000000003</v>
      </c>
      <c r="P1071" s="5">
        <f t="shared" si="17"/>
        <v>15.220499999999998</v>
      </c>
      <c r="Q1071" s="5">
        <f t="shared" si="17"/>
        <v>384.12599999999998</v>
      </c>
      <c r="R1071" s="5"/>
      <c r="S1071" s="4"/>
    </row>
    <row r="1072" spans="1:19" ht="15" customHeight="1">
      <c r="A1072" s="3">
        <v>2024</v>
      </c>
      <c r="B1072" s="8">
        <f t="shared" ref="B1072:J1072" si="18">AVERAGE(B137:B148)</f>
        <v>6.6414416666666662</v>
      </c>
      <c r="C1072" s="8">
        <f t="shared" si="18"/>
        <v>6.6476833333333332</v>
      </c>
      <c r="D1072" s="8">
        <f t="shared" si="18"/>
        <v>6.635983333333332</v>
      </c>
      <c r="E1072" s="8">
        <f t="shared" si="18"/>
        <v>6.639433333333332</v>
      </c>
      <c r="F1072" s="4">
        <f t="shared" si="18"/>
        <v>7.3312666666666653</v>
      </c>
      <c r="G1072" s="8">
        <f t="shared" si="18"/>
        <v>6.5678749999999999</v>
      </c>
      <c r="H1072" s="4">
        <f t="shared" si="18"/>
        <v>7.4920583333333335</v>
      </c>
      <c r="I1072" s="8">
        <f t="shared" si="18"/>
        <v>6.5352166666666669</v>
      </c>
      <c r="J1072" s="4">
        <f t="shared" si="18"/>
        <v>6.4358083333333331</v>
      </c>
      <c r="K1072" s="4"/>
      <c r="L1072" s="5">
        <f t="shared" ref="L1072:Q1072" si="19">SUM(L137:L148)</f>
        <v>356.48229999999995</v>
      </c>
      <c r="M1072" s="5">
        <f t="shared" si="19"/>
        <v>142.42920000000001</v>
      </c>
      <c r="N1072" s="5">
        <f t="shared" si="19"/>
        <v>58.377000000000002</v>
      </c>
      <c r="O1072" s="5">
        <f t="shared" si="19"/>
        <v>4.4165999999999999</v>
      </c>
      <c r="P1072" s="5">
        <f t="shared" si="19"/>
        <v>15.262199999999998</v>
      </c>
      <c r="Q1072" s="5">
        <f t="shared" si="19"/>
        <v>383.00459999999998</v>
      </c>
      <c r="R1072" s="5"/>
      <c r="S1072" s="4"/>
    </row>
    <row r="1073" spans="1:19" ht="15" customHeight="1">
      <c r="A1073" s="3">
        <v>2025</v>
      </c>
      <c r="B1073" s="8">
        <f t="shared" ref="B1073:J1073" si="20">AVERAGE(B149:B160)</f>
        <v>6.8696583333333345</v>
      </c>
      <c r="C1073" s="8">
        <f t="shared" si="20"/>
        <v>6.875916666666666</v>
      </c>
      <c r="D1073" s="8">
        <f t="shared" si="20"/>
        <v>6.864208333333333</v>
      </c>
      <c r="E1073" s="8">
        <f t="shared" si="20"/>
        <v>6.8676749999999993</v>
      </c>
      <c r="F1073" s="4">
        <f t="shared" si="20"/>
        <v>7.5595000000000008</v>
      </c>
      <c r="G1073" s="8">
        <f t="shared" si="20"/>
        <v>6.7934249999999992</v>
      </c>
      <c r="H1073" s="4">
        <f t="shared" si="20"/>
        <v>7.7176250000000008</v>
      </c>
      <c r="I1073" s="8">
        <f t="shared" si="20"/>
        <v>6.7568083333333329</v>
      </c>
      <c r="J1073" s="4">
        <f t="shared" si="20"/>
        <v>6.6573083333333338</v>
      </c>
      <c r="K1073" s="4"/>
      <c r="L1073" s="5">
        <f t="shared" ref="L1073:Q1073" si="21">SUM(L149:L160)</f>
        <v>355.53689999999995</v>
      </c>
      <c r="M1073" s="5">
        <f t="shared" si="21"/>
        <v>142.0401</v>
      </c>
      <c r="N1073" s="5">
        <f t="shared" si="21"/>
        <v>58.217499999999994</v>
      </c>
      <c r="O1073" s="5">
        <f t="shared" si="21"/>
        <v>4.4046000000000003</v>
      </c>
      <c r="P1073" s="5">
        <f t="shared" si="21"/>
        <v>15.220499999999998</v>
      </c>
      <c r="Q1073" s="5">
        <f t="shared" si="21"/>
        <v>379.76819999999998</v>
      </c>
      <c r="R1073" s="5"/>
      <c r="S1073" s="4"/>
    </row>
    <row r="1074" spans="1:19" ht="15" customHeight="1">
      <c r="A1074" s="3">
        <v>2026</v>
      </c>
      <c r="B1074" s="8">
        <f t="shared" ref="B1074:J1074" si="22">AVERAGE(B161:B172)</f>
        <v>7.0928666666666658</v>
      </c>
      <c r="C1074" s="8">
        <f t="shared" si="22"/>
        <v>7.0991166666666672</v>
      </c>
      <c r="D1074" s="8">
        <f t="shared" si="22"/>
        <v>7.0874083333333333</v>
      </c>
      <c r="E1074" s="8">
        <f t="shared" si="22"/>
        <v>7.0908583333333333</v>
      </c>
      <c r="F1074" s="4">
        <f t="shared" si="22"/>
        <v>7.7827083333333347</v>
      </c>
      <c r="G1074" s="8">
        <f t="shared" si="22"/>
        <v>7.0140416666666647</v>
      </c>
      <c r="H1074" s="4">
        <f t="shared" si="22"/>
        <v>7.938208333333332</v>
      </c>
      <c r="I1074" s="8">
        <f t="shared" si="22"/>
        <v>6.9735416666666667</v>
      </c>
      <c r="J1074" s="4">
        <f t="shared" si="22"/>
        <v>6.8739333333333335</v>
      </c>
      <c r="K1074" s="4"/>
      <c r="L1074" s="5">
        <f t="shared" ref="L1074:Q1074" si="23">SUM(L161:L172)</f>
        <v>355.53689999999995</v>
      </c>
      <c r="M1074" s="5">
        <f t="shared" si="23"/>
        <v>142.0401</v>
      </c>
      <c r="N1074" s="5">
        <f t="shared" si="23"/>
        <v>58.217499999999994</v>
      </c>
      <c r="O1074" s="5">
        <f t="shared" si="23"/>
        <v>4.4046000000000003</v>
      </c>
      <c r="P1074" s="5">
        <f t="shared" si="23"/>
        <v>15.220499999999998</v>
      </c>
      <c r="Q1074" s="5">
        <f t="shared" si="23"/>
        <v>377.59969999999987</v>
      </c>
      <c r="R1074" s="5"/>
      <c r="S1074" s="4"/>
    </row>
    <row r="1075" spans="1:19" ht="15" customHeight="1">
      <c r="A1075" s="3">
        <v>2027</v>
      </c>
      <c r="B1075" s="8">
        <f t="shared" ref="B1075:J1075" si="24">AVERAGE(B173:B184)</f>
        <v>7.3200666666666665</v>
      </c>
      <c r="C1075" s="8">
        <f t="shared" si="24"/>
        <v>7.3263333333333316</v>
      </c>
      <c r="D1075" s="8">
        <f t="shared" si="24"/>
        <v>7.3146166666666668</v>
      </c>
      <c r="E1075" s="8">
        <f t="shared" si="24"/>
        <v>7.3180666666666658</v>
      </c>
      <c r="F1075" s="4">
        <f t="shared" si="24"/>
        <v>8.0098916666666664</v>
      </c>
      <c r="G1075" s="8">
        <f t="shared" si="24"/>
        <v>7.2385833333333336</v>
      </c>
      <c r="H1075" s="4">
        <f t="shared" si="24"/>
        <v>8.1627416666666672</v>
      </c>
      <c r="I1075" s="8">
        <f t="shared" si="24"/>
        <v>7.1941500000000005</v>
      </c>
      <c r="J1075" s="4">
        <f t="shared" si="24"/>
        <v>7.0944249999999984</v>
      </c>
      <c r="K1075" s="4"/>
      <c r="L1075" s="5">
        <f t="shared" ref="L1075:Q1075" si="25">SUM(L173:L184)</f>
        <v>355.53689999999995</v>
      </c>
      <c r="M1075" s="5">
        <f t="shared" si="25"/>
        <v>142.0401</v>
      </c>
      <c r="N1075" s="5">
        <f t="shared" si="25"/>
        <v>58.217499999999994</v>
      </c>
      <c r="O1075" s="5">
        <f t="shared" si="25"/>
        <v>4.4046000000000003</v>
      </c>
      <c r="P1075" s="5">
        <f t="shared" si="25"/>
        <v>15.220499999999998</v>
      </c>
      <c r="Q1075" s="5">
        <f t="shared" si="25"/>
        <v>375.43180000000001</v>
      </c>
      <c r="R1075" s="5"/>
      <c r="S1075" s="4"/>
    </row>
    <row r="1076" spans="1:19" ht="15" customHeight="1">
      <c r="A1076" s="3">
        <v>2028</v>
      </c>
      <c r="B1076" s="8">
        <f t="shared" ref="B1076:J1076" si="26">AVERAGE(B185:B196)</f>
        <v>7.5394833333333322</v>
      </c>
      <c r="C1076" s="8">
        <f t="shared" si="26"/>
        <v>7.545725</v>
      </c>
      <c r="D1076" s="8">
        <f t="shared" si="26"/>
        <v>7.5340083333333334</v>
      </c>
      <c r="E1076" s="8">
        <f t="shared" si="26"/>
        <v>7.5374583333333325</v>
      </c>
      <c r="F1076" s="4">
        <f t="shared" si="26"/>
        <v>8.2292916666666667</v>
      </c>
      <c r="G1076" s="8">
        <f t="shared" si="26"/>
        <v>7.4554000000000009</v>
      </c>
      <c r="H1076" s="4">
        <f t="shared" si="26"/>
        <v>8.3795916666666663</v>
      </c>
      <c r="I1076" s="8">
        <f t="shared" si="26"/>
        <v>7.4071833333333332</v>
      </c>
      <c r="J1076" s="4">
        <f t="shared" si="26"/>
        <v>7.3073416666666668</v>
      </c>
      <c r="K1076" s="4"/>
      <c r="L1076" s="5">
        <f t="shared" ref="L1076:Q1076" si="27">SUM(L185:L196)</f>
        <v>356.48229999999995</v>
      </c>
      <c r="M1076" s="5">
        <f t="shared" si="27"/>
        <v>142.42920000000001</v>
      </c>
      <c r="N1076" s="5">
        <f t="shared" si="27"/>
        <v>58.377000000000002</v>
      </c>
      <c r="O1076" s="5">
        <f t="shared" si="27"/>
        <v>4.4165999999999999</v>
      </c>
      <c r="P1076" s="5">
        <f t="shared" si="27"/>
        <v>15.262199999999998</v>
      </c>
      <c r="Q1076" s="5">
        <f t="shared" si="27"/>
        <v>374.28599999999994</v>
      </c>
      <c r="R1076" s="5"/>
      <c r="S1076" s="4"/>
    </row>
    <row r="1077" spans="1:19" ht="15" customHeight="1">
      <c r="A1077" s="3">
        <v>2029</v>
      </c>
      <c r="B1077" s="8">
        <f t="shared" ref="B1077:J1077" si="28">AVERAGE(B197:B208)</f>
        <v>7.7692500000000004</v>
      </c>
      <c r="C1077" s="8">
        <f t="shared" si="28"/>
        <v>7.7755250000000009</v>
      </c>
      <c r="D1077" s="8">
        <f t="shared" si="28"/>
        <v>7.7638166666666661</v>
      </c>
      <c r="E1077" s="8">
        <f t="shared" si="28"/>
        <v>7.7672666666666679</v>
      </c>
      <c r="F1077" s="4">
        <f t="shared" si="28"/>
        <v>8.4590916666666676</v>
      </c>
      <c r="G1077" s="8">
        <f t="shared" si="28"/>
        <v>7.6825083333333337</v>
      </c>
      <c r="H1077" s="4">
        <f t="shared" si="28"/>
        <v>8.6066583333333337</v>
      </c>
      <c r="I1077" s="8">
        <f t="shared" si="28"/>
        <v>7.630300000000001</v>
      </c>
      <c r="J1077" s="4">
        <f t="shared" si="28"/>
        <v>7.5303583333333348</v>
      </c>
      <c r="K1077" s="4"/>
      <c r="L1077" s="5">
        <f t="shared" ref="L1077:Q1077" si="29">SUM(L197:L208)</f>
        <v>355.53689999999995</v>
      </c>
      <c r="M1077" s="5">
        <f t="shared" si="29"/>
        <v>142.0401</v>
      </c>
      <c r="N1077" s="5">
        <f t="shared" si="29"/>
        <v>58.217499999999994</v>
      </c>
      <c r="O1077" s="5">
        <f t="shared" si="29"/>
        <v>4.4046000000000003</v>
      </c>
      <c r="P1077" s="5">
        <f t="shared" si="29"/>
        <v>15.220499999999998</v>
      </c>
      <c r="Q1077" s="5">
        <f t="shared" si="29"/>
        <v>371.09549999999996</v>
      </c>
      <c r="R1077" s="5"/>
      <c r="S1077" s="4"/>
    </row>
    <row r="1078" spans="1:19" ht="15" customHeight="1">
      <c r="A1078" s="3">
        <v>2030</v>
      </c>
      <c r="B1078" s="8">
        <f t="shared" ref="B1078:J1078" si="30">AVERAGE(B209:B220)</f>
        <v>8.0042416666666671</v>
      </c>
      <c r="C1078" s="8">
        <f t="shared" si="30"/>
        <v>8.0105166666666658</v>
      </c>
      <c r="D1078" s="8">
        <f t="shared" si="30"/>
        <v>7.9987833333333347</v>
      </c>
      <c r="E1078" s="8">
        <f t="shared" si="30"/>
        <v>8.0022416666666665</v>
      </c>
      <c r="F1078" s="4">
        <f t="shared" si="30"/>
        <v>8.6940833333333334</v>
      </c>
      <c r="G1078" s="8">
        <f t="shared" si="30"/>
        <v>7.9147249999999998</v>
      </c>
      <c r="H1078" s="4">
        <f t="shared" si="30"/>
        <v>8.8389083333333343</v>
      </c>
      <c r="I1078" s="8">
        <f t="shared" si="30"/>
        <v>7.8584583333333322</v>
      </c>
      <c r="J1078" s="4">
        <f t="shared" si="30"/>
        <v>7.7584083333333327</v>
      </c>
      <c r="K1078" s="4"/>
      <c r="L1078" s="5">
        <f t="shared" ref="L1078:Q1078" si="31">SUM(L209:L220)</f>
        <v>355.53689999999995</v>
      </c>
      <c r="M1078" s="5">
        <f t="shared" si="31"/>
        <v>142.0401</v>
      </c>
      <c r="N1078" s="5">
        <f t="shared" si="31"/>
        <v>58.217499999999994</v>
      </c>
      <c r="O1078" s="5">
        <f t="shared" si="31"/>
        <v>4.4046000000000003</v>
      </c>
      <c r="P1078" s="5">
        <f t="shared" si="31"/>
        <v>15.220499999999998</v>
      </c>
      <c r="Q1078" s="5">
        <f t="shared" si="31"/>
        <v>368.9276999999999</v>
      </c>
      <c r="R1078" s="5"/>
      <c r="S1078" s="4"/>
    </row>
    <row r="1079" spans="1:19" ht="15" customHeight="1">
      <c r="A1079" s="3">
        <v>2031</v>
      </c>
      <c r="B1079" s="8">
        <f t="shared" ref="B1079:J1079" si="32">AVERAGE(B221:B232)</f>
        <v>8.2268583333333325</v>
      </c>
      <c r="C1079" s="8">
        <f t="shared" si="32"/>
        <v>8.2331166666666675</v>
      </c>
      <c r="D1079" s="8">
        <f t="shared" si="32"/>
        <v>8.2214166666666681</v>
      </c>
      <c r="E1079" s="8">
        <f t="shared" si="32"/>
        <v>8.224866666666669</v>
      </c>
      <c r="F1079" s="4">
        <f t="shared" si="32"/>
        <v>8.9166916666666669</v>
      </c>
      <c r="G1079" s="8">
        <f t="shared" si="32"/>
        <v>8.1347416666666685</v>
      </c>
      <c r="H1079" s="4">
        <f t="shared" si="32"/>
        <v>9.0589166666666667</v>
      </c>
      <c r="I1079" s="8">
        <f t="shared" si="32"/>
        <v>8.0746416666666665</v>
      </c>
      <c r="J1079" s="4">
        <f t="shared" si="32"/>
        <v>7.97445</v>
      </c>
      <c r="K1079" s="4"/>
      <c r="L1079" s="5">
        <f t="shared" ref="L1079:Q1079" si="33">SUM(L221:L232)</f>
        <v>355.53689999999995</v>
      </c>
      <c r="M1079" s="5">
        <f t="shared" si="33"/>
        <v>142.0401</v>
      </c>
      <c r="N1079" s="5">
        <f t="shared" si="33"/>
        <v>58.217499999999994</v>
      </c>
      <c r="O1079" s="5">
        <f t="shared" si="33"/>
        <v>4.4046000000000003</v>
      </c>
      <c r="P1079" s="5">
        <f t="shared" si="33"/>
        <v>15.220499999999998</v>
      </c>
      <c r="Q1079" s="5">
        <f t="shared" si="33"/>
        <v>365.31420000000003</v>
      </c>
      <c r="R1079" s="5"/>
      <c r="S1079" s="4"/>
    </row>
    <row r="1080" spans="1:19" ht="15" customHeight="1">
      <c r="A1080" s="3">
        <v>2032</v>
      </c>
      <c r="B1080" s="8">
        <f t="shared" ref="B1080:J1080" si="34">AVERAGE(B233:B244)</f>
        <v>8.457508333333335</v>
      </c>
      <c r="C1080" s="8">
        <f t="shared" si="34"/>
        <v>8.4637916666666673</v>
      </c>
      <c r="D1080" s="8">
        <f t="shared" si="34"/>
        <v>8.4520833333333343</v>
      </c>
      <c r="E1080" s="8">
        <f t="shared" si="34"/>
        <v>8.4555249999999997</v>
      </c>
      <c r="F1080" s="4">
        <f t="shared" si="34"/>
        <v>9.1473666666666649</v>
      </c>
      <c r="G1080" s="8">
        <f t="shared" si="34"/>
        <v>8.3627083333333356</v>
      </c>
      <c r="H1080" s="4">
        <f t="shared" si="34"/>
        <v>9.2868750000000002</v>
      </c>
      <c r="I1080" s="8">
        <f t="shared" si="34"/>
        <v>8.2985999999999986</v>
      </c>
      <c r="J1080" s="4">
        <f t="shared" si="34"/>
        <v>8.1983000000000015</v>
      </c>
      <c r="K1080" s="4"/>
      <c r="L1080" s="5">
        <f t="shared" ref="L1080:Q1080" si="35">SUM(L233:L244)</f>
        <v>356.48229999999995</v>
      </c>
      <c r="M1080" s="5">
        <f t="shared" si="35"/>
        <v>142.42920000000001</v>
      </c>
      <c r="N1080" s="5">
        <f t="shared" si="35"/>
        <v>58.377000000000002</v>
      </c>
      <c r="O1080" s="5">
        <f t="shared" si="35"/>
        <v>4.4165999999999999</v>
      </c>
      <c r="P1080" s="5">
        <f t="shared" si="35"/>
        <v>15.262199999999998</v>
      </c>
      <c r="Q1080" s="5">
        <f t="shared" si="35"/>
        <v>364.46999999999997</v>
      </c>
      <c r="R1080" s="5"/>
      <c r="S1080" s="4"/>
    </row>
    <row r="1081" spans="1:19" ht="15" customHeight="1">
      <c r="A1081" s="3">
        <v>2033</v>
      </c>
      <c r="B1081" s="8">
        <f t="shared" ref="B1081:J1081" si="36">AVERAGE(B245:B256)</f>
        <v>8.6896333333333349</v>
      </c>
      <c r="C1081" s="8">
        <f t="shared" si="36"/>
        <v>8.6958916666666664</v>
      </c>
      <c r="D1081" s="8">
        <f t="shared" si="36"/>
        <v>8.6841666666666679</v>
      </c>
      <c r="E1081" s="8">
        <f t="shared" si="36"/>
        <v>8.6876333333333324</v>
      </c>
      <c r="F1081" s="4">
        <f t="shared" si="36"/>
        <v>9.3794666666666675</v>
      </c>
      <c r="G1081" s="8">
        <f t="shared" si="36"/>
        <v>8.5920833333333331</v>
      </c>
      <c r="H1081" s="4">
        <f t="shared" si="36"/>
        <v>9.5162666666666667</v>
      </c>
      <c r="I1081" s="8">
        <f t="shared" si="36"/>
        <v>8.5239666666666665</v>
      </c>
      <c r="J1081" s="4">
        <f t="shared" si="36"/>
        <v>8.4235749999999996</v>
      </c>
      <c r="K1081" s="4"/>
      <c r="L1081" s="5">
        <f t="shared" ref="L1081:Q1081" si="37">SUM(L245:L256)</f>
        <v>355.53689999999995</v>
      </c>
      <c r="M1081" s="5">
        <f t="shared" si="37"/>
        <v>142.0401</v>
      </c>
      <c r="N1081" s="5">
        <f t="shared" si="37"/>
        <v>58.217499999999994</v>
      </c>
      <c r="O1081" s="5">
        <f t="shared" si="37"/>
        <v>4.4046000000000003</v>
      </c>
      <c r="P1081" s="5">
        <f t="shared" si="37"/>
        <v>15.220499999999998</v>
      </c>
      <c r="Q1081" s="5">
        <f t="shared" si="37"/>
        <v>362.33550000000002</v>
      </c>
      <c r="R1081" s="5"/>
      <c r="S1081" s="4"/>
    </row>
    <row r="1082" spans="1:19" ht="15" customHeight="1">
      <c r="A1082" s="3">
        <v>2034</v>
      </c>
      <c r="B1082" s="8">
        <f t="shared" ref="B1082:J1082" si="38">AVERAGE(B257:B268)</f>
        <v>8.8480500000000006</v>
      </c>
      <c r="C1082" s="8">
        <f t="shared" si="38"/>
        <v>8.8543249999999993</v>
      </c>
      <c r="D1082" s="8">
        <f t="shared" si="38"/>
        <v>8.8426166666666663</v>
      </c>
      <c r="E1082" s="8">
        <f t="shared" si="38"/>
        <v>8.8460666666666654</v>
      </c>
      <c r="F1082" s="4">
        <f t="shared" si="38"/>
        <v>9.5379083333333341</v>
      </c>
      <c r="G1082" s="8">
        <f t="shared" si="38"/>
        <v>8.7486583333333332</v>
      </c>
      <c r="H1082" s="4">
        <f t="shared" si="38"/>
        <v>9.672858333333334</v>
      </c>
      <c r="I1082" s="8">
        <f t="shared" si="38"/>
        <v>8.6777916666666659</v>
      </c>
      <c r="J1082" s="4">
        <f t="shared" si="38"/>
        <v>8.5773250000000001</v>
      </c>
      <c r="K1082" s="4"/>
      <c r="L1082" s="5">
        <f t="shared" ref="L1082:Q1082" si="39">SUM(L257:L268)</f>
        <v>355.53689999999995</v>
      </c>
      <c r="M1082" s="5">
        <f t="shared" si="39"/>
        <v>142.0401</v>
      </c>
      <c r="N1082" s="5">
        <f t="shared" si="39"/>
        <v>58.217499999999994</v>
      </c>
      <c r="O1082" s="5">
        <f t="shared" si="39"/>
        <v>4.4046000000000003</v>
      </c>
      <c r="P1082" s="5">
        <f t="shared" si="39"/>
        <v>15.220499999999998</v>
      </c>
      <c r="Q1082" s="5">
        <f t="shared" si="39"/>
        <v>361.59120000000007</v>
      </c>
      <c r="R1082" s="5"/>
      <c r="S1082" s="4"/>
    </row>
    <row r="1083" spans="1:19" ht="15" customHeight="1">
      <c r="A1083" s="3">
        <v>2035</v>
      </c>
      <c r="B1083" s="8">
        <f t="shared" ref="B1083:J1083" si="40">AVERAGE(B269:B280)</f>
        <v>9.0225166666666663</v>
      </c>
      <c r="C1083" s="8">
        <f t="shared" si="40"/>
        <v>9.0287833333333314</v>
      </c>
      <c r="D1083" s="8">
        <f t="shared" si="40"/>
        <v>9.0170916666666656</v>
      </c>
      <c r="E1083" s="8">
        <f t="shared" si="40"/>
        <v>9.0205249999999992</v>
      </c>
      <c r="F1083" s="4">
        <f t="shared" si="40"/>
        <v>9.7123833333333316</v>
      </c>
      <c r="G1083" s="8">
        <f t="shared" si="40"/>
        <v>8.9211083333333345</v>
      </c>
      <c r="H1083" s="4">
        <f t="shared" si="40"/>
        <v>9.8452833333333327</v>
      </c>
      <c r="I1083" s="8">
        <f t="shared" si="40"/>
        <v>8.8472083333333327</v>
      </c>
      <c r="J1083" s="4">
        <f t="shared" si="40"/>
        <v>8.7466666666666661</v>
      </c>
      <c r="K1083" s="4"/>
      <c r="L1083" s="5">
        <f t="shared" ref="L1083:Q1083" si="41">SUM(L269:L280)</f>
        <v>355.53689999999995</v>
      </c>
      <c r="M1083" s="5">
        <f t="shared" si="41"/>
        <v>142.0401</v>
      </c>
      <c r="N1083" s="5">
        <f t="shared" si="41"/>
        <v>58.217499999999994</v>
      </c>
      <c r="O1083" s="5">
        <f t="shared" si="41"/>
        <v>4.4046000000000003</v>
      </c>
      <c r="P1083" s="5">
        <f t="shared" si="41"/>
        <v>15.220499999999998</v>
      </c>
      <c r="Q1083" s="5">
        <f t="shared" si="41"/>
        <v>360.82469999999995</v>
      </c>
      <c r="R1083" s="5"/>
      <c r="S1083" s="4"/>
    </row>
    <row r="1084" spans="1:19" ht="15" customHeight="1">
      <c r="A1084" s="3">
        <v>2036</v>
      </c>
      <c r="B1084" s="8">
        <f t="shared" ref="B1084:J1084" si="42">AVERAGE(B281:B292)</f>
        <v>9.2390749999999997</v>
      </c>
      <c r="C1084" s="8">
        <f t="shared" si="42"/>
        <v>9.2453249999999993</v>
      </c>
      <c r="D1084" s="8">
        <f t="shared" si="42"/>
        <v>9.2336083333333345</v>
      </c>
      <c r="E1084" s="8">
        <f t="shared" si="42"/>
        <v>9.237074999999999</v>
      </c>
      <c r="F1084" s="4">
        <f t="shared" si="42"/>
        <v>9.9289166666666659</v>
      </c>
      <c r="G1084" s="8">
        <f t="shared" si="42"/>
        <v>9.1350833333333323</v>
      </c>
      <c r="H1084" s="4">
        <f t="shared" si="42"/>
        <v>10.059266666666666</v>
      </c>
      <c r="I1084" s="8">
        <f t="shared" si="42"/>
        <v>9.0574666666666666</v>
      </c>
      <c r="J1084" s="4">
        <f t="shared" si="42"/>
        <v>8.9568166666666666</v>
      </c>
      <c r="K1084" s="4"/>
      <c r="L1084" s="5">
        <f t="shared" ref="L1084:Q1084" si="43">SUM(L281:L292)</f>
        <v>356.48229999999995</v>
      </c>
      <c r="M1084" s="5">
        <f t="shared" si="43"/>
        <v>142.42920000000001</v>
      </c>
      <c r="N1084" s="5">
        <f t="shared" si="43"/>
        <v>58.377000000000002</v>
      </c>
      <c r="O1084" s="5">
        <f t="shared" si="43"/>
        <v>4.4165999999999999</v>
      </c>
      <c r="P1084" s="5">
        <f t="shared" si="43"/>
        <v>15.262199999999998</v>
      </c>
      <c r="Q1084" s="5">
        <f t="shared" si="43"/>
        <v>361.0446</v>
      </c>
      <c r="R1084" s="5"/>
      <c r="S1084" s="4"/>
    </row>
    <row r="1085" spans="1:19" ht="15" customHeight="1">
      <c r="A1085" s="3">
        <v>2037</v>
      </c>
      <c r="B1085" s="8">
        <f t="shared" ref="B1085:J1085" si="44">AVERAGE(B293:B304)</f>
        <v>9.4608250000000016</v>
      </c>
      <c r="C1085" s="8">
        <f t="shared" si="44"/>
        <v>9.4670833333333331</v>
      </c>
      <c r="D1085" s="8">
        <f t="shared" si="44"/>
        <v>9.4553583333333311</v>
      </c>
      <c r="E1085" s="8">
        <f t="shared" si="44"/>
        <v>9.4588083333333319</v>
      </c>
      <c r="F1085" s="4">
        <f t="shared" si="44"/>
        <v>10.150658333333334</v>
      </c>
      <c r="G1085" s="8">
        <f t="shared" si="44"/>
        <v>9.3542416666666668</v>
      </c>
      <c r="H1085" s="4">
        <f t="shared" si="44"/>
        <v>10.278424999999999</v>
      </c>
      <c r="I1085" s="8">
        <f t="shared" si="44"/>
        <v>9.2727916666666665</v>
      </c>
      <c r="J1085" s="4">
        <f t="shared" si="44"/>
        <v>9.1720083333333342</v>
      </c>
      <c r="K1085" s="4"/>
      <c r="L1085" s="5">
        <f t="shared" ref="L1085:Q1085" si="45">SUM(L293:L304)</f>
        <v>355.53689999999995</v>
      </c>
      <c r="M1085" s="5">
        <f t="shared" si="45"/>
        <v>142.0401</v>
      </c>
      <c r="N1085" s="5">
        <f t="shared" si="45"/>
        <v>58.217499999999994</v>
      </c>
      <c r="O1085" s="5">
        <f t="shared" si="45"/>
        <v>4.4046000000000003</v>
      </c>
      <c r="P1085" s="5">
        <f t="shared" si="45"/>
        <v>15.220499999999998</v>
      </c>
      <c r="Q1085" s="5">
        <f t="shared" si="45"/>
        <v>359.29169999999999</v>
      </c>
      <c r="R1085" s="5"/>
      <c r="S1085" s="4"/>
    </row>
    <row r="1086" spans="1:19" ht="15" customHeight="1">
      <c r="A1086" s="3">
        <f t="shared" ref="A1086:A1117" si="46">A1085+1</f>
        <v>2038</v>
      </c>
      <c r="B1086" s="8">
        <f t="shared" ref="B1086:J1086" si="47">AVERAGE(B305:B316)</f>
        <v>9.6878999999999991</v>
      </c>
      <c r="C1086" s="8">
        <f t="shared" si="47"/>
        <v>9.6941416666666651</v>
      </c>
      <c r="D1086" s="8">
        <f t="shared" si="47"/>
        <v>9.6824250000000003</v>
      </c>
      <c r="E1086" s="8">
        <f t="shared" si="47"/>
        <v>9.6858833333333347</v>
      </c>
      <c r="F1086" s="4">
        <f t="shared" si="47"/>
        <v>10.377725</v>
      </c>
      <c r="G1086" s="8">
        <f t="shared" si="47"/>
        <v>9.5786499999999997</v>
      </c>
      <c r="H1086" s="4">
        <f t="shared" si="47"/>
        <v>10.502849999999999</v>
      </c>
      <c r="I1086" s="8">
        <f t="shared" si="47"/>
        <v>9.4932583333333351</v>
      </c>
      <c r="J1086" s="4">
        <f t="shared" si="47"/>
        <v>9.3923749999999995</v>
      </c>
      <c r="K1086" s="4"/>
      <c r="L1086" s="5">
        <f t="shared" ref="L1086:Q1086" si="48">SUM(L305:L316)</f>
        <v>355.53689999999995</v>
      </c>
      <c r="M1086" s="5">
        <f t="shared" si="48"/>
        <v>142.0401</v>
      </c>
      <c r="N1086" s="5">
        <f t="shared" si="48"/>
        <v>58.217499999999994</v>
      </c>
      <c r="O1086" s="5">
        <f t="shared" si="48"/>
        <v>4.4046000000000003</v>
      </c>
      <c r="P1086" s="5">
        <f t="shared" si="48"/>
        <v>15.220499999999998</v>
      </c>
      <c r="Q1086" s="5">
        <f t="shared" si="48"/>
        <v>358.54670000000004</v>
      </c>
      <c r="R1086" s="5"/>
      <c r="S1086" s="4"/>
    </row>
    <row r="1087" spans="1:19" ht="15" customHeight="1">
      <c r="A1087" s="3">
        <f t="shared" si="46"/>
        <v>2039</v>
      </c>
      <c r="B1087" s="8">
        <f t="shared" ref="B1087:J1087" si="49">AVERAGE(B317:B328)</f>
        <v>9.9204166666666662</v>
      </c>
      <c r="C1087" s="8">
        <f t="shared" si="49"/>
        <v>9.926658333333334</v>
      </c>
      <c r="D1087" s="8">
        <f t="shared" si="49"/>
        <v>9.9149583333333329</v>
      </c>
      <c r="E1087" s="8">
        <f t="shared" si="49"/>
        <v>9.9184083333333319</v>
      </c>
      <c r="F1087" s="4">
        <f t="shared" si="49"/>
        <v>10.610266666666666</v>
      </c>
      <c r="G1087" s="8">
        <f t="shared" si="49"/>
        <v>9.808466666666666</v>
      </c>
      <c r="H1087" s="4">
        <f t="shared" si="49"/>
        <v>10.732641666666666</v>
      </c>
      <c r="I1087" s="8">
        <f t="shared" si="49"/>
        <v>9.7190416666666675</v>
      </c>
      <c r="J1087" s="4">
        <f t="shared" si="49"/>
        <v>9.6180499999999984</v>
      </c>
      <c r="K1087" s="7"/>
      <c r="L1087" s="5">
        <f t="shared" ref="L1087:Q1087" si="50">SUM(L317:L328)</f>
        <v>355.53689999999995</v>
      </c>
      <c r="M1087" s="5">
        <f t="shared" si="50"/>
        <v>142.0401</v>
      </c>
      <c r="N1087" s="5">
        <f t="shared" si="50"/>
        <v>58.217499999999994</v>
      </c>
      <c r="O1087" s="5">
        <f t="shared" si="50"/>
        <v>4.4046000000000003</v>
      </c>
      <c r="P1087" s="5">
        <f t="shared" si="50"/>
        <v>15.220499999999998</v>
      </c>
      <c r="Q1087" s="5">
        <f t="shared" si="50"/>
        <v>357.78019999999998</v>
      </c>
      <c r="R1087" s="5"/>
      <c r="S1087" s="6"/>
    </row>
    <row r="1088" spans="1:19" ht="15" customHeight="1">
      <c r="A1088" s="3">
        <f t="shared" si="46"/>
        <v>2040</v>
      </c>
      <c r="B1088" s="8">
        <f t="shared" ref="B1088:J1088" si="51">AVERAGE(B329:B340)</f>
        <v>10.158516666666667</v>
      </c>
      <c r="C1088" s="8">
        <f t="shared" si="51"/>
        <v>10.164783333333334</v>
      </c>
      <c r="D1088" s="8">
        <f t="shared" si="51"/>
        <v>10.153066666666666</v>
      </c>
      <c r="E1088" s="8">
        <f t="shared" si="51"/>
        <v>10.156516666666667</v>
      </c>
      <c r="F1088" s="4">
        <f t="shared" si="51"/>
        <v>10.848358333333332</v>
      </c>
      <c r="G1088" s="8">
        <f t="shared" si="51"/>
        <v>10.043799999999999</v>
      </c>
      <c r="H1088" s="4">
        <f t="shared" si="51"/>
        <v>10.967975000000001</v>
      </c>
      <c r="I1088" s="8">
        <f t="shared" si="51"/>
        <v>9.9502666666666659</v>
      </c>
      <c r="J1088" s="4">
        <f t="shared" si="51"/>
        <v>9.8491499999999998</v>
      </c>
      <c r="K1088" s="7"/>
      <c r="L1088" s="5">
        <f t="shared" ref="L1088:Q1088" si="52">SUM(L329:L340)</f>
        <v>356.48229999999995</v>
      </c>
      <c r="M1088" s="5">
        <f t="shared" si="52"/>
        <v>142.42920000000001</v>
      </c>
      <c r="N1088" s="5">
        <f t="shared" si="52"/>
        <v>58.377000000000002</v>
      </c>
      <c r="O1088" s="5">
        <f t="shared" si="52"/>
        <v>4.4165999999999999</v>
      </c>
      <c r="P1088" s="5">
        <f t="shared" si="52"/>
        <v>15.262199999999998</v>
      </c>
      <c r="Q1088" s="5">
        <f t="shared" si="52"/>
        <v>357.99180000000001</v>
      </c>
      <c r="R1088" s="5"/>
      <c r="S1088" s="6"/>
    </row>
    <row r="1089" spans="1:19" ht="15" customHeight="1">
      <c r="A1089" s="3">
        <f t="shared" si="46"/>
        <v>2041</v>
      </c>
      <c r="B1089" s="8">
        <f t="shared" ref="B1089:J1089" si="53">AVERAGE(B341:B352)</f>
        <v>10.402375000000001</v>
      </c>
      <c r="C1089" s="8">
        <f t="shared" si="53"/>
        <v>10.408616666666667</v>
      </c>
      <c r="D1089" s="8">
        <f t="shared" si="53"/>
        <v>10.3969</v>
      </c>
      <c r="E1089" s="8">
        <f t="shared" si="53"/>
        <v>10.400358333333333</v>
      </c>
      <c r="F1089" s="4">
        <f t="shared" si="53"/>
        <v>11.092191666666666</v>
      </c>
      <c r="G1089" s="8">
        <f t="shared" si="53"/>
        <v>10.284758333333334</v>
      </c>
      <c r="H1089" s="4">
        <f t="shared" si="53"/>
        <v>11.208941666666666</v>
      </c>
      <c r="I1089" s="8">
        <f t="shared" si="53"/>
        <v>10.187016666666667</v>
      </c>
      <c r="J1089" s="4">
        <f t="shared" si="53"/>
        <v>10.085775</v>
      </c>
      <c r="K1089" s="7"/>
      <c r="L1089" s="5">
        <f t="shared" ref="L1089:Q1089" si="54">SUM(L341:L352)</f>
        <v>355.53689999999995</v>
      </c>
      <c r="M1089" s="5">
        <f t="shared" si="54"/>
        <v>142.0401</v>
      </c>
      <c r="N1089" s="5">
        <f t="shared" si="54"/>
        <v>58.217499999999994</v>
      </c>
      <c r="O1089" s="5">
        <f t="shared" si="54"/>
        <v>4.4046000000000003</v>
      </c>
      <c r="P1089" s="5">
        <f t="shared" si="54"/>
        <v>15.220499999999998</v>
      </c>
      <c r="Q1089" s="5">
        <f t="shared" si="54"/>
        <v>356.26930000000004</v>
      </c>
      <c r="R1089" s="5"/>
      <c r="S1089" s="6"/>
    </row>
    <row r="1090" spans="1:19" ht="15" customHeight="1">
      <c r="A1090" s="3">
        <f t="shared" si="46"/>
        <v>2042</v>
      </c>
      <c r="B1090" s="8">
        <f t="shared" ref="B1090:J1090" si="55">AVERAGE(B353:B364)</f>
        <v>10.652058333333333</v>
      </c>
      <c r="C1090" s="8">
        <f t="shared" si="55"/>
        <v>10.658308333333332</v>
      </c>
      <c r="D1090" s="8">
        <f t="shared" si="55"/>
        <v>10.646599999999998</v>
      </c>
      <c r="E1090" s="8">
        <f t="shared" si="55"/>
        <v>10.650050000000002</v>
      </c>
      <c r="F1090" s="4">
        <f t="shared" si="55"/>
        <v>11.341883333333334</v>
      </c>
      <c r="G1090" s="8">
        <f t="shared" si="55"/>
        <v>10.531533333333334</v>
      </c>
      <c r="H1090" s="4">
        <f t="shared" si="55"/>
        <v>11.455708333333334</v>
      </c>
      <c r="I1090" s="8">
        <f t="shared" si="55"/>
        <v>10.429458333333331</v>
      </c>
      <c r="J1090" s="4">
        <f t="shared" si="55"/>
        <v>10.328108333333333</v>
      </c>
      <c r="K1090" s="7"/>
      <c r="L1090" s="5">
        <f t="shared" ref="L1090:Q1090" si="56">SUM(L353:L364)</f>
        <v>355.53689999999995</v>
      </c>
      <c r="M1090" s="5">
        <f t="shared" si="56"/>
        <v>142.0401</v>
      </c>
      <c r="N1090" s="5">
        <f t="shared" si="56"/>
        <v>58.217499999999994</v>
      </c>
      <c r="O1090" s="5">
        <f t="shared" si="56"/>
        <v>4.4046000000000003</v>
      </c>
      <c r="P1090" s="5">
        <f t="shared" si="56"/>
        <v>15.220499999999998</v>
      </c>
      <c r="Q1090" s="5">
        <f t="shared" si="56"/>
        <v>242.47669999999997</v>
      </c>
      <c r="R1090" s="5"/>
      <c r="S1090" s="6"/>
    </row>
    <row r="1091" spans="1:19" ht="15" customHeight="1">
      <c r="A1091" s="3">
        <f t="shared" si="46"/>
        <v>2043</v>
      </c>
      <c r="B1091" s="8">
        <f t="shared" ref="B1091:J1091" si="57">AVERAGE(B365:B376)</f>
        <v>10.90775</v>
      </c>
      <c r="C1091" s="8">
        <f t="shared" si="57"/>
        <v>10.914008333333333</v>
      </c>
      <c r="D1091" s="8">
        <f t="shared" si="57"/>
        <v>10.902300000000002</v>
      </c>
      <c r="E1091" s="8">
        <f t="shared" si="57"/>
        <v>10.905741666666666</v>
      </c>
      <c r="F1091" s="4">
        <f t="shared" si="57"/>
        <v>11.5976</v>
      </c>
      <c r="G1091" s="8">
        <f t="shared" si="57"/>
        <v>10.784208333333334</v>
      </c>
      <c r="H1091" s="4">
        <f t="shared" si="57"/>
        <v>11.708408333333333</v>
      </c>
      <c r="I1091" s="8">
        <f t="shared" si="57"/>
        <v>10.677733333333334</v>
      </c>
      <c r="J1091" s="4">
        <f t="shared" si="57"/>
        <v>10.576258333333334</v>
      </c>
      <c r="K1091" s="7"/>
      <c r="L1091" s="5">
        <f t="shared" ref="L1091:Q1091" si="58">SUM(L365:L376)</f>
        <v>355.53689999999995</v>
      </c>
      <c r="M1091" s="5">
        <f t="shared" si="58"/>
        <v>142.0401</v>
      </c>
      <c r="N1091" s="5">
        <f t="shared" si="58"/>
        <v>58.217499999999994</v>
      </c>
      <c r="O1091" s="5">
        <f t="shared" si="58"/>
        <v>4.4046000000000003</v>
      </c>
      <c r="P1091" s="5">
        <f t="shared" si="58"/>
        <v>15.220499999999998</v>
      </c>
      <c r="Q1091" s="5">
        <f t="shared" si="58"/>
        <v>241.71019999999996</v>
      </c>
      <c r="R1091" s="5"/>
      <c r="S1091" s="6"/>
    </row>
    <row r="1092" spans="1:19" ht="15" customHeight="1">
      <c r="A1092" s="3">
        <f t="shared" si="46"/>
        <v>2044</v>
      </c>
      <c r="B1092" s="8">
        <f t="shared" ref="B1092:J1092" si="59">AVERAGE(B377:B388)</f>
        <v>11.169575000000002</v>
      </c>
      <c r="C1092" s="8">
        <f t="shared" si="59"/>
        <v>11.175841666666669</v>
      </c>
      <c r="D1092" s="8">
        <f t="shared" si="59"/>
        <v>11.164125</v>
      </c>
      <c r="E1092" s="8">
        <f t="shared" si="59"/>
        <v>11.167574999999999</v>
      </c>
      <c r="F1092" s="4">
        <f t="shared" si="59"/>
        <v>11.859441666666669</v>
      </c>
      <c r="G1092" s="8">
        <f t="shared" si="59"/>
        <v>11.043000000000001</v>
      </c>
      <c r="H1092" s="4">
        <f t="shared" si="59"/>
        <v>11.967174999999997</v>
      </c>
      <c r="I1092" s="8">
        <f t="shared" si="59"/>
        <v>10.931966666666666</v>
      </c>
      <c r="J1092" s="4">
        <f t="shared" si="59"/>
        <v>10.830366666666665</v>
      </c>
      <c r="K1092" s="7"/>
      <c r="L1092" s="5">
        <f t="shared" ref="L1092:Q1092" si="60">SUM(L377:L388)</f>
        <v>356.48229999999995</v>
      </c>
      <c r="M1092" s="5">
        <f t="shared" si="60"/>
        <v>142.42920000000001</v>
      </c>
      <c r="N1092" s="5">
        <f t="shared" si="60"/>
        <v>58.377000000000002</v>
      </c>
      <c r="O1092" s="5">
        <f t="shared" si="60"/>
        <v>4.4165999999999999</v>
      </c>
      <c r="P1092" s="5">
        <f t="shared" si="60"/>
        <v>15.262199999999998</v>
      </c>
      <c r="Q1092" s="5">
        <f t="shared" si="60"/>
        <v>241.58220000000006</v>
      </c>
      <c r="R1092" s="5"/>
      <c r="S1092" s="6"/>
    </row>
    <row r="1093" spans="1:19" ht="15" customHeight="1">
      <c r="A1093" s="3">
        <f t="shared" si="46"/>
        <v>2045</v>
      </c>
      <c r="B1093" s="8">
        <f t="shared" ref="B1093:J1093" si="61">AVERAGE(B389:B400)</f>
        <v>11.437716666666665</v>
      </c>
      <c r="C1093" s="8">
        <f t="shared" si="61"/>
        <v>11.443966666666668</v>
      </c>
      <c r="D1093" s="8">
        <f t="shared" si="61"/>
        <v>11.432258333333332</v>
      </c>
      <c r="E1093" s="8">
        <f t="shared" si="61"/>
        <v>11.43571666666667</v>
      </c>
      <c r="F1093" s="4">
        <f t="shared" si="61"/>
        <v>12.127558333333335</v>
      </c>
      <c r="G1093" s="8">
        <f t="shared" si="61"/>
        <v>11.307983333333331</v>
      </c>
      <c r="H1093" s="4">
        <f t="shared" si="61"/>
        <v>12.23216666666667</v>
      </c>
      <c r="I1093" s="8">
        <f t="shared" si="61"/>
        <v>11.192308333333335</v>
      </c>
      <c r="J1093" s="4">
        <f t="shared" si="61"/>
        <v>11.090574999999999</v>
      </c>
      <c r="K1093" s="7"/>
      <c r="L1093" s="5">
        <f t="shared" ref="L1093:Q1093" si="62">SUM(L389:L400)</f>
        <v>355.53689999999995</v>
      </c>
      <c r="M1093" s="5">
        <f t="shared" si="62"/>
        <v>142.0401</v>
      </c>
      <c r="N1093" s="5">
        <f t="shared" si="62"/>
        <v>58.217499999999994</v>
      </c>
      <c r="O1093" s="5">
        <f t="shared" si="62"/>
        <v>4.4046000000000003</v>
      </c>
      <c r="P1093" s="5">
        <f t="shared" si="62"/>
        <v>15.220499999999998</v>
      </c>
      <c r="Q1093" s="5">
        <f t="shared" si="62"/>
        <v>240.15570000000002</v>
      </c>
      <c r="R1093" s="5"/>
      <c r="S1093" s="6"/>
    </row>
    <row r="1094" spans="1:19" ht="15" customHeight="1">
      <c r="A1094" s="3">
        <f t="shared" si="46"/>
        <v>2046</v>
      </c>
      <c r="B1094" s="8">
        <f t="shared" ref="B1094:J1094" si="63">AVERAGE(B401:B412)</f>
        <v>11.712283333333332</v>
      </c>
      <c r="C1094" s="8">
        <f t="shared" si="63"/>
        <v>11.718541666666667</v>
      </c>
      <c r="D1094" s="8">
        <f t="shared" si="63"/>
        <v>11.706833333333334</v>
      </c>
      <c r="E1094" s="8">
        <f t="shared" si="63"/>
        <v>11.710283333333335</v>
      </c>
      <c r="F1094" s="4">
        <f t="shared" si="63"/>
        <v>12.402108333333333</v>
      </c>
      <c r="G1094" s="8">
        <f t="shared" si="63"/>
        <v>11.579341666666666</v>
      </c>
      <c r="H1094" s="4">
        <f t="shared" si="63"/>
        <v>12.503541666666669</v>
      </c>
      <c r="I1094" s="8">
        <f t="shared" si="63"/>
        <v>11.458916666666667</v>
      </c>
      <c r="J1094" s="4">
        <f t="shared" si="63"/>
        <v>11.357066666666666</v>
      </c>
      <c r="K1094" s="7"/>
      <c r="L1094" s="5">
        <f t="shared" ref="L1094:Q1094" si="64">SUM(L401:L412)</f>
        <v>355.53689999999995</v>
      </c>
      <c r="M1094" s="5">
        <f t="shared" si="64"/>
        <v>142.0401</v>
      </c>
      <c r="N1094" s="5">
        <f t="shared" si="64"/>
        <v>58.217499999999994</v>
      </c>
      <c r="O1094" s="5">
        <f t="shared" si="64"/>
        <v>4.4046000000000003</v>
      </c>
      <c r="P1094" s="5">
        <f t="shared" si="64"/>
        <v>15.220499999999998</v>
      </c>
      <c r="Q1094" s="5">
        <f t="shared" si="64"/>
        <v>239.38920000000005</v>
      </c>
      <c r="R1094" s="5"/>
      <c r="S1094" s="6"/>
    </row>
    <row r="1095" spans="1:19" ht="15" customHeight="1">
      <c r="A1095" s="3">
        <f t="shared" si="46"/>
        <v>2047</v>
      </c>
      <c r="B1095" s="8">
        <f t="shared" ref="B1095:J1095" si="65">AVERAGE(B413:B424)</f>
        <v>11.993450000000001</v>
      </c>
      <c r="C1095" s="8">
        <f t="shared" si="65"/>
        <v>11.999708333333331</v>
      </c>
      <c r="D1095" s="8">
        <f t="shared" si="65"/>
        <v>11.988008333333335</v>
      </c>
      <c r="E1095" s="8">
        <f t="shared" si="65"/>
        <v>11.991449999999999</v>
      </c>
      <c r="F1095" s="4">
        <f t="shared" si="65"/>
        <v>12.683299999999997</v>
      </c>
      <c r="G1095" s="8">
        <f t="shared" si="65"/>
        <v>11.857216666666666</v>
      </c>
      <c r="H1095" s="4">
        <f t="shared" si="65"/>
        <v>12.781408333333333</v>
      </c>
      <c r="I1095" s="8">
        <f t="shared" si="65"/>
        <v>11.731933333333336</v>
      </c>
      <c r="J1095" s="4">
        <f t="shared" si="65"/>
        <v>11.629933333333335</v>
      </c>
      <c r="K1095" s="7"/>
      <c r="L1095" s="5">
        <f t="shared" ref="L1095:Q1095" si="66">SUM(L413:L424)</f>
        <v>355.53689999999995</v>
      </c>
      <c r="M1095" s="5">
        <f t="shared" si="66"/>
        <v>142.0401</v>
      </c>
      <c r="N1095" s="5">
        <f t="shared" si="66"/>
        <v>58.217499999999994</v>
      </c>
      <c r="O1095" s="5">
        <f t="shared" si="66"/>
        <v>4.4046000000000003</v>
      </c>
      <c r="P1095" s="5">
        <f t="shared" si="66"/>
        <v>15.220499999999998</v>
      </c>
      <c r="Q1095" s="5">
        <f t="shared" si="66"/>
        <v>238.62270000000004</v>
      </c>
      <c r="R1095" s="5"/>
      <c r="S1095" s="6"/>
    </row>
    <row r="1096" spans="1:19" ht="15" customHeight="1">
      <c r="A1096" s="3">
        <f t="shared" si="46"/>
        <v>2048</v>
      </c>
      <c r="B1096" s="8">
        <f t="shared" ref="B1096:J1096" si="67">AVERAGE(B425:B436)</f>
        <v>12.281374999999999</v>
      </c>
      <c r="C1096" s="8">
        <f t="shared" si="67"/>
        <v>12.287624999999998</v>
      </c>
      <c r="D1096" s="8">
        <f t="shared" si="67"/>
        <v>12.275916666666665</v>
      </c>
      <c r="E1096" s="8">
        <f t="shared" si="67"/>
        <v>12.279375</v>
      </c>
      <c r="F1096" s="4">
        <f t="shared" si="67"/>
        <v>12.971200000000001</v>
      </c>
      <c r="G1096" s="8">
        <f t="shared" si="67"/>
        <v>12.141774999999997</v>
      </c>
      <c r="H1096" s="4">
        <f t="shared" si="67"/>
        <v>13.065949999999999</v>
      </c>
      <c r="I1096" s="8">
        <f t="shared" si="67"/>
        <v>12.011508333333333</v>
      </c>
      <c r="J1096" s="4">
        <f t="shared" si="67"/>
        <v>11.909350000000002</v>
      </c>
      <c r="K1096" s="7"/>
      <c r="L1096" s="5">
        <f t="shared" ref="L1096:Q1096" si="68">SUM(L425:L436)</f>
        <v>356.48229999999995</v>
      </c>
      <c r="M1096" s="5">
        <f t="shared" si="68"/>
        <v>142.42920000000001</v>
      </c>
      <c r="N1096" s="5">
        <f t="shared" si="68"/>
        <v>58.377000000000002</v>
      </c>
      <c r="O1096" s="5">
        <f t="shared" si="68"/>
        <v>4.4165999999999999</v>
      </c>
      <c r="P1096" s="5">
        <f t="shared" si="68"/>
        <v>15.262199999999998</v>
      </c>
      <c r="Q1096" s="5">
        <f t="shared" si="68"/>
        <v>238.50780000000003</v>
      </c>
      <c r="R1096" s="5"/>
      <c r="S1096" s="6"/>
    </row>
    <row r="1097" spans="1:19" ht="15" customHeight="1">
      <c r="A1097" s="3">
        <f t="shared" si="46"/>
        <v>2049</v>
      </c>
      <c r="B1097" s="8">
        <f t="shared" ref="B1097:J1097" si="69">AVERAGE(B437:B448)</f>
        <v>12.576233333333334</v>
      </c>
      <c r="C1097" s="8">
        <f t="shared" si="69"/>
        <v>12.582458333333335</v>
      </c>
      <c r="D1097" s="8">
        <f t="shared" si="69"/>
        <v>12.570749999999999</v>
      </c>
      <c r="E1097" s="8">
        <f t="shared" si="69"/>
        <v>12.574200000000003</v>
      </c>
      <c r="F1097" s="4">
        <f t="shared" si="69"/>
        <v>13.266050000000002</v>
      </c>
      <c r="G1097" s="8">
        <f t="shared" si="69"/>
        <v>12.433141666666666</v>
      </c>
      <c r="H1097" s="4">
        <f t="shared" si="69"/>
        <v>13.357333333333335</v>
      </c>
      <c r="I1097" s="8">
        <f t="shared" si="69"/>
        <v>12.297800000000001</v>
      </c>
      <c r="J1097" s="4">
        <f t="shared" si="69"/>
        <v>12.195499999999997</v>
      </c>
      <c r="K1097" s="7"/>
      <c r="L1097" s="5">
        <f t="shared" ref="L1097:Q1097" si="70">SUM(L437:L448)</f>
        <v>355.53689999999995</v>
      </c>
      <c r="M1097" s="5">
        <f t="shared" si="70"/>
        <v>142.0401</v>
      </c>
      <c r="N1097" s="5">
        <f t="shared" si="70"/>
        <v>58.217499999999994</v>
      </c>
      <c r="O1097" s="5">
        <f t="shared" si="70"/>
        <v>4.4046000000000003</v>
      </c>
      <c r="P1097" s="5">
        <f t="shared" si="70"/>
        <v>15.220499999999998</v>
      </c>
      <c r="Q1097" s="5">
        <f t="shared" si="70"/>
        <v>237.08969999999999</v>
      </c>
      <c r="R1097" s="5"/>
      <c r="S1097" s="6"/>
    </row>
    <row r="1098" spans="1:19" ht="15" customHeight="1">
      <c r="A1098" s="3">
        <f t="shared" si="46"/>
        <v>2050</v>
      </c>
      <c r="B1098" s="8">
        <f t="shared" ref="B1098:J1098" si="71">AVERAGE(B449:B460)</f>
        <v>12.878141666666666</v>
      </c>
      <c r="C1098" s="8">
        <f t="shared" si="71"/>
        <v>12.884416666666667</v>
      </c>
      <c r="D1098" s="8">
        <f t="shared" si="71"/>
        <v>12.872674999999999</v>
      </c>
      <c r="E1098" s="8">
        <f t="shared" si="71"/>
        <v>12.876133333333334</v>
      </c>
      <c r="F1098" s="4">
        <f t="shared" si="71"/>
        <v>13.567983333333332</v>
      </c>
      <c r="G1098" s="8">
        <f t="shared" si="71"/>
        <v>12.73155</v>
      </c>
      <c r="H1098" s="4">
        <f t="shared" si="71"/>
        <v>13.655741666666669</v>
      </c>
      <c r="I1098" s="8">
        <f t="shared" si="71"/>
        <v>12.590966666666665</v>
      </c>
      <c r="J1098" s="4">
        <f t="shared" si="71"/>
        <v>12.488525000000001</v>
      </c>
      <c r="K1098" s="7"/>
      <c r="L1098" s="5">
        <f t="shared" ref="L1098:Q1098" si="72">SUM(L449:L460)</f>
        <v>355.53689999999995</v>
      </c>
      <c r="M1098" s="5">
        <f t="shared" si="72"/>
        <v>142.0401</v>
      </c>
      <c r="N1098" s="5">
        <f t="shared" si="72"/>
        <v>58.217499999999994</v>
      </c>
      <c r="O1098" s="5">
        <f t="shared" si="72"/>
        <v>4.4046000000000003</v>
      </c>
      <c r="P1098" s="5">
        <f t="shared" si="72"/>
        <v>15.220499999999998</v>
      </c>
      <c r="Q1098" s="5">
        <f t="shared" si="72"/>
        <v>236.32320000000004</v>
      </c>
      <c r="R1098" s="5"/>
      <c r="S1098" s="6"/>
    </row>
    <row r="1099" spans="1:19" ht="15" customHeight="1">
      <c r="A1099" s="3">
        <f t="shared" si="46"/>
        <v>2051</v>
      </c>
      <c r="B1099" s="8">
        <f t="shared" ref="B1099:J1099" si="73">AVERAGE(B461:B472)</f>
        <v>13.187316666666666</v>
      </c>
      <c r="C1099" s="8">
        <f t="shared" si="73"/>
        <v>13.193583333333335</v>
      </c>
      <c r="D1099" s="8">
        <f t="shared" si="73"/>
        <v>13.181858333333333</v>
      </c>
      <c r="E1099" s="8">
        <f t="shared" si="73"/>
        <v>13.185308333333337</v>
      </c>
      <c r="F1099" s="4">
        <f t="shared" si="73"/>
        <v>13.877174999999999</v>
      </c>
      <c r="G1099" s="8">
        <f t="shared" si="73"/>
        <v>13.037100000000002</v>
      </c>
      <c r="H1099" s="4">
        <f t="shared" si="73"/>
        <v>13.961291666666666</v>
      </c>
      <c r="I1099" s="8">
        <f t="shared" si="73"/>
        <v>12.891158333333335</v>
      </c>
      <c r="J1099" s="4">
        <f t="shared" si="73"/>
        <v>12.788583333333333</v>
      </c>
      <c r="K1099" s="7"/>
      <c r="L1099" s="5">
        <f t="shared" ref="L1099:Q1099" si="74">SUM(L461:L472)</f>
        <v>355.53689999999995</v>
      </c>
      <c r="M1099" s="5">
        <f t="shared" si="74"/>
        <v>142.0401</v>
      </c>
      <c r="N1099" s="5">
        <f t="shared" si="74"/>
        <v>58.217499999999994</v>
      </c>
      <c r="O1099" s="5">
        <f t="shared" si="74"/>
        <v>4.4046000000000003</v>
      </c>
      <c r="P1099" s="5">
        <f t="shared" si="74"/>
        <v>15.220499999999998</v>
      </c>
      <c r="Q1099" s="5">
        <f t="shared" si="74"/>
        <v>235.57820000000007</v>
      </c>
      <c r="R1099" s="5"/>
      <c r="S1099" s="6"/>
    </row>
    <row r="1100" spans="1:19" ht="15" customHeight="1">
      <c r="A1100" s="3">
        <f t="shared" si="46"/>
        <v>2052</v>
      </c>
      <c r="B1100" s="8">
        <f t="shared" ref="B1100:J1100" si="75">AVERAGE(B473:B484)</f>
        <v>13.503916666666669</v>
      </c>
      <c r="C1100" s="8">
        <f t="shared" si="75"/>
        <v>13.510183333333336</v>
      </c>
      <c r="D1100" s="8">
        <f t="shared" si="75"/>
        <v>13.498474999999999</v>
      </c>
      <c r="E1100" s="8">
        <f t="shared" si="75"/>
        <v>13.501925</v>
      </c>
      <c r="F1100" s="4">
        <f t="shared" si="75"/>
        <v>14.193783333333336</v>
      </c>
      <c r="G1100" s="8">
        <f t="shared" si="75"/>
        <v>13.35</v>
      </c>
      <c r="H1100" s="4">
        <f t="shared" si="75"/>
        <v>14.2742</v>
      </c>
      <c r="I1100" s="8">
        <f t="shared" si="75"/>
        <v>13.198600000000001</v>
      </c>
      <c r="J1100" s="4">
        <f t="shared" si="75"/>
        <v>13.095858333333334</v>
      </c>
      <c r="K1100" s="7"/>
      <c r="L1100" s="5">
        <f t="shared" ref="L1100:Q1100" si="76">SUM(L473:L484)</f>
        <v>356.48229999999995</v>
      </c>
      <c r="M1100" s="5">
        <f t="shared" si="76"/>
        <v>142.42920000000001</v>
      </c>
      <c r="N1100" s="5">
        <f t="shared" si="76"/>
        <v>58.377000000000002</v>
      </c>
      <c r="O1100" s="5">
        <f t="shared" si="76"/>
        <v>4.4165999999999999</v>
      </c>
      <c r="P1100" s="5">
        <f t="shared" si="76"/>
        <v>15.262199999999998</v>
      </c>
      <c r="Q1100" s="5">
        <f t="shared" si="76"/>
        <v>235.45500000000004</v>
      </c>
      <c r="R1100" s="5"/>
      <c r="S1100" s="6"/>
    </row>
    <row r="1101" spans="1:19" ht="15" customHeight="1">
      <c r="A1101" s="3">
        <f t="shared" si="46"/>
        <v>2053</v>
      </c>
      <c r="B1101" s="8">
        <f t="shared" ref="B1101:J1101" si="77">AVERAGE(B485:B496)</f>
        <v>13.828141666666667</v>
      </c>
      <c r="C1101" s="8">
        <f t="shared" si="77"/>
        <v>13.834408333333334</v>
      </c>
      <c r="D1101" s="8">
        <f t="shared" si="77"/>
        <v>13.822683333333332</v>
      </c>
      <c r="E1101" s="8">
        <f t="shared" si="77"/>
        <v>13.826141666666667</v>
      </c>
      <c r="F1101" s="4">
        <f t="shared" si="77"/>
        <v>14.517991666666669</v>
      </c>
      <c r="G1101" s="8">
        <f t="shared" si="77"/>
        <v>13.670425</v>
      </c>
      <c r="H1101" s="4">
        <f t="shared" si="77"/>
        <v>14.594608333333332</v>
      </c>
      <c r="I1101" s="8">
        <f t="shared" si="77"/>
        <v>13.513391666666669</v>
      </c>
      <c r="J1101" s="4">
        <f t="shared" si="77"/>
        <v>13.410500000000001</v>
      </c>
      <c r="K1101" s="7"/>
      <c r="L1101" s="5">
        <f t="shared" ref="L1101:Q1101" si="78">SUM(L485:L496)</f>
        <v>355.53689999999995</v>
      </c>
      <c r="M1101" s="5">
        <f t="shared" si="78"/>
        <v>142.0401</v>
      </c>
      <c r="N1101" s="5">
        <f t="shared" si="78"/>
        <v>58.217499999999994</v>
      </c>
      <c r="O1101" s="5">
        <f t="shared" si="78"/>
        <v>4.4046000000000003</v>
      </c>
      <c r="P1101" s="5">
        <f t="shared" si="78"/>
        <v>15.220499999999998</v>
      </c>
      <c r="Q1101" s="5">
        <f t="shared" si="78"/>
        <v>234.04520000000002</v>
      </c>
      <c r="R1101" s="5"/>
      <c r="S1101" s="6"/>
    </row>
    <row r="1102" spans="1:19" ht="15" customHeight="1">
      <c r="A1102" s="3">
        <f t="shared" si="46"/>
        <v>2054</v>
      </c>
      <c r="B1102" s="8">
        <f t="shared" ref="B1102:J1102" si="79">AVERAGE(B497:B508)</f>
        <v>14.160141666666668</v>
      </c>
      <c r="C1102" s="8">
        <f t="shared" si="79"/>
        <v>14.166416666666668</v>
      </c>
      <c r="D1102" s="8">
        <f t="shared" si="79"/>
        <v>14.154708333333334</v>
      </c>
      <c r="E1102" s="8">
        <f t="shared" si="79"/>
        <v>14.158158333333333</v>
      </c>
      <c r="F1102" s="4">
        <f t="shared" si="79"/>
        <v>14.849999999999996</v>
      </c>
      <c r="G1102" s="8">
        <f t="shared" si="79"/>
        <v>13.998558333333333</v>
      </c>
      <c r="H1102" s="4">
        <f t="shared" si="79"/>
        <v>14.922733333333333</v>
      </c>
      <c r="I1102" s="8">
        <f t="shared" si="79"/>
        <v>13.835774999999998</v>
      </c>
      <c r="J1102" s="4">
        <f t="shared" si="79"/>
        <v>13.732716666666667</v>
      </c>
      <c r="K1102" s="7"/>
      <c r="L1102" s="5">
        <f t="shared" ref="L1102:Q1102" si="80">SUM(L497:L508)</f>
        <v>355.53689999999995</v>
      </c>
      <c r="M1102" s="5">
        <f t="shared" si="80"/>
        <v>142.0401</v>
      </c>
      <c r="N1102" s="5">
        <f t="shared" si="80"/>
        <v>58.217499999999994</v>
      </c>
      <c r="O1102" s="5">
        <f t="shared" si="80"/>
        <v>4.4046000000000003</v>
      </c>
      <c r="P1102" s="5">
        <f t="shared" si="80"/>
        <v>15.220499999999998</v>
      </c>
      <c r="Q1102" s="5">
        <f t="shared" si="80"/>
        <v>233.30079999999998</v>
      </c>
      <c r="R1102" s="5"/>
      <c r="S1102" s="6"/>
    </row>
    <row r="1103" spans="1:19" ht="15" customHeight="1">
      <c r="A1103" s="3">
        <f t="shared" si="46"/>
        <v>2055</v>
      </c>
      <c r="B1103" s="8">
        <f t="shared" ref="B1103:J1103" si="81">AVERAGE(B509:B520)</f>
        <v>14.500133333333332</v>
      </c>
      <c r="C1103" s="8">
        <f t="shared" si="81"/>
        <v>14.506383333333332</v>
      </c>
      <c r="D1103" s="8">
        <f t="shared" si="81"/>
        <v>14.494683333333334</v>
      </c>
      <c r="E1103" s="8">
        <f t="shared" si="81"/>
        <v>14.498125</v>
      </c>
      <c r="F1103" s="4">
        <f t="shared" si="81"/>
        <v>15.189983333333336</v>
      </c>
      <c r="G1103" s="8">
        <f t="shared" si="81"/>
        <v>14.334541666666667</v>
      </c>
      <c r="H1103" s="4">
        <f t="shared" si="81"/>
        <v>15.258725</v>
      </c>
      <c r="I1103" s="8">
        <f t="shared" si="81"/>
        <v>14.165883333333333</v>
      </c>
      <c r="J1103" s="4">
        <f t="shared" si="81"/>
        <v>14.062683333333334</v>
      </c>
      <c r="K1103" s="7"/>
      <c r="L1103" s="5">
        <f t="shared" ref="L1103:Q1103" si="82">SUM(L509:L520)</f>
        <v>355.53689999999995</v>
      </c>
      <c r="M1103" s="5">
        <f t="shared" si="82"/>
        <v>142.0401</v>
      </c>
      <c r="N1103" s="5">
        <f t="shared" si="82"/>
        <v>58.217499999999994</v>
      </c>
      <c r="O1103" s="5">
        <f t="shared" si="82"/>
        <v>4.4046000000000003</v>
      </c>
      <c r="P1103" s="5">
        <f t="shared" si="82"/>
        <v>15.220499999999998</v>
      </c>
      <c r="Q1103" s="5">
        <f t="shared" si="82"/>
        <v>232.55579999999998</v>
      </c>
      <c r="R1103" s="5"/>
      <c r="S1103" s="6"/>
    </row>
    <row r="1104" spans="1:19" ht="15" customHeight="1">
      <c r="A1104" s="3">
        <f t="shared" si="46"/>
        <v>2056</v>
      </c>
      <c r="B1104" s="8">
        <f t="shared" ref="B1104:J1104" si="83">AVERAGE(B521:B532)</f>
        <v>14.848274999999999</v>
      </c>
      <c r="C1104" s="8">
        <f t="shared" si="83"/>
        <v>14.854541666666664</v>
      </c>
      <c r="D1104" s="8">
        <f t="shared" si="83"/>
        <v>14.84284166666667</v>
      </c>
      <c r="E1104" s="8">
        <f t="shared" si="83"/>
        <v>14.846291666666668</v>
      </c>
      <c r="F1104" s="4">
        <f t="shared" si="83"/>
        <v>15.538116666666665</v>
      </c>
      <c r="G1104" s="8">
        <f t="shared" si="83"/>
        <v>14.678633333333332</v>
      </c>
      <c r="H1104" s="4">
        <f t="shared" si="83"/>
        <v>15.602825000000001</v>
      </c>
      <c r="I1104" s="8">
        <f t="shared" si="83"/>
        <v>14.503933333333334</v>
      </c>
      <c r="J1104" s="4">
        <f t="shared" si="83"/>
        <v>14.400566666666665</v>
      </c>
      <c r="K1104" s="7"/>
      <c r="L1104" s="5">
        <f t="shared" ref="L1104:Q1104" si="84">SUM(L521:L532)</f>
        <v>356.48229999999995</v>
      </c>
      <c r="M1104" s="5">
        <f t="shared" si="84"/>
        <v>142.42920000000001</v>
      </c>
      <c r="N1104" s="5">
        <f t="shared" si="84"/>
        <v>58.377000000000002</v>
      </c>
      <c r="O1104" s="5">
        <f t="shared" si="84"/>
        <v>4.4165999999999999</v>
      </c>
      <c r="P1104" s="5">
        <f t="shared" si="84"/>
        <v>15.262199999999998</v>
      </c>
      <c r="Q1104" s="5">
        <f t="shared" si="84"/>
        <v>232.44659999999996</v>
      </c>
      <c r="R1104" s="5"/>
      <c r="S1104" s="6"/>
    </row>
    <row r="1105" spans="1:19" ht="15" customHeight="1">
      <c r="A1105" s="3">
        <f t="shared" si="46"/>
        <v>2057</v>
      </c>
      <c r="B1105" s="8">
        <f t="shared" ref="B1105:J1105" si="85">AVERAGE(B533:B544)</f>
        <v>15.204808333333338</v>
      </c>
      <c r="C1105" s="8">
        <f t="shared" si="85"/>
        <v>15.211066666666667</v>
      </c>
      <c r="D1105" s="8">
        <f t="shared" si="85"/>
        <v>15.199350000000001</v>
      </c>
      <c r="E1105" s="8">
        <f t="shared" si="85"/>
        <v>15.202816666666669</v>
      </c>
      <c r="F1105" s="4">
        <f t="shared" si="85"/>
        <v>15.894658333333334</v>
      </c>
      <c r="G1105" s="8">
        <f t="shared" si="85"/>
        <v>15.030966666666666</v>
      </c>
      <c r="H1105" s="4">
        <f t="shared" si="85"/>
        <v>15.955150000000003</v>
      </c>
      <c r="I1105" s="8">
        <f t="shared" si="85"/>
        <v>14.850116666666665</v>
      </c>
      <c r="J1105" s="4">
        <f t="shared" si="85"/>
        <v>14.746566666666666</v>
      </c>
      <c r="K1105" s="7"/>
      <c r="L1105" s="5">
        <f t="shared" ref="L1105:Q1105" si="86">SUM(L533:L544)</f>
        <v>355.53689999999995</v>
      </c>
      <c r="M1105" s="5">
        <f t="shared" si="86"/>
        <v>142.0401</v>
      </c>
      <c r="N1105" s="5">
        <f t="shared" si="86"/>
        <v>58.217499999999994</v>
      </c>
      <c r="O1105" s="5">
        <f t="shared" si="86"/>
        <v>4.4046000000000003</v>
      </c>
      <c r="P1105" s="5">
        <f t="shared" si="86"/>
        <v>15.220499999999998</v>
      </c>
      <c r="Q1105" s="5">
        <f t="shared" si="86"/>
        <v>231.81149999999997</v>
      </c>
      <c r="R1105" s="5"/>
      <c r="S1105" s="6"/>
    </row>
    <row r="1106" spans="1:19" ht="15" customHeight="1">
      <c r="A1106" s="3">
        <f t="shared" si="46"/>
        <v>2058</v>
      </c>
      <c r="B1106" s="8">
        <f t="shared" ref="B1106:J1106" si="87">AVERAGE(B545:B556)</f>
        <v>15.569875000000001</v>
      </c>
      <c r="C1106" s="8">
        <f t="shared" si="87"/>
        <v>15.576149999999998</v>
      </c>
      <c r="D1106" s="8">
        <f t="shared" si="87"/>
        <v>15.564425000000002</v>
      </c>
      <c r="E1106" s="8">
        <f t="shared" si="87"/>
        <v>15.567883333333333</v>
      </c>
      <c r="F1106" s="4">
        <f t="shared" si="87"/>
        <v>16.259749999999997</v>
      </c>
      <c r="G1106" s="8">
        <f t="shared" si="87"/>
        <v>15.391783333333334</v>
      </c>
      <c r="H1106" s="4">
        <f t="shared" si="87"/>
        <v>16.315950000000001</v>
      </c>
      <c r="I1106" s="8">
        <f t="shared" si="87"/>
        <v>15.204616666666668</v>
      </c>
      <c r="J1106" s="4">
        <f t="shared" si="87"/>
        <v>15.100866666666667</v>
      </c>
      <c r="K1106" s="7"/>
      <c r="L1106" s="5">
        <f t="shared" ref="L1106:Q1106" si="88">SUM(L545:L556)</f>
        <v>355.53689999999995</v>
      </c>
      <c r="M1106" s="5">
        <f t="shared" si="88"/>
        <v>142.0401</v>
      </c>
      <c r="N1106" s="5">
        <f t="shared" si="88"/>
        <v>58.217499999999994</v>
      </c>
      <c r="O1106" s="5">
        <f t="shared" si="88"/>
        <v>4.4046000000000003</v>
      </c>
      <c r="P1106" s="5">
        <f t="shared" si="88"/>
        <v>15.220499999999998</v>
      </c>
      <c r="Q1106" s="5">
        <f t="shared" si="88"/>
        <v>231.81149999999997</v>
      </c>
      <c r="R1106" s="5"/>
      <c r="S1106" s="6"/>
    </row>
    <row r="1107" spans="1:19" ht="15" customHeight="1">
      <c r="A1107" s="3">
        <f t="shared" si="46"/>
        <v>2059</v>
      </c>
      <c r="B1107" s="8">
        <f t="shared" ref="B1107:J1107" si="89">AVERAGE(B557:B568)</f>
        <v>15.943733333333334</v>
      </c>
      <c r="C1107" s="8">
        <f t="shared" si="89"/>
        <v>15.950008333333335</v>
      </c>
      <c r="D1107" s="8">
        <f t="shared" si="89"/>
        <v>15.938308333333332</v>
      </c>
      <c r="E1107" s="8">
        <f t="shared" si="89"/>
        <v>15.941766666666666</v>
      </c>
      <c r="F1107" s="4">
        <f t="shared" si="89"/>
        <v>16.633591666666668</v>
      </c>
      <c r="G1107" s="8">
        <f t="shared" si="89"/>
        <v>15.76125833333333</v>
      </c>
      <c r="H1107" s="4">
        <f t="shared" si="89"/>
        <v>16.685433333333332</v>
      </c>
      <c r="I1107" s="8">
        <f t="shared" si="89"/>
        <v>15.567625</v>
      </c>
      <c r="J1107" s="4">
        <f t="shared" si="89"/>
        <v>15.463691666666668</v>
      </c>
      <c r="K1107" s="4"/>
      <c r="L1107" s="5">
        <f>SUM(L557:L568)</f>
        <v>355.53689999999995</v>
      </c>
      <c r="M1107" s="5">
        <f>SUM(M557:M568)</f>
        <v>142.0401</v>
      </c>
      <c r="N1107" s="5">
        <f>SUM(N557:N568)</f>
        <v>58.217499999999994</v>
      </c>
      <c r="O1107" s="5">
        <f>SUM(O546:O557)</f>
        <v>4.4046000000000003</v>
      </c>
      <c r="P1107" s="5">
        <f>SUM(P557:P568)</f>
        <v>15.220499999999998</v>
      </c>
      <c r="Q1107" s="5">
        <f>SUM(Q557:Q568)</f>
        <v>231.81149999999997</v>
      </c>
      <c r="R1107" s="5"/>
      <c r="S1107" s="4"/>
    </row>
    <row r="1108" spans="1:19" ht="15" customHeight="1">
      <c r="A1108" s="3">
        <f t="shared" si="46"/>
        <v>2060</v>
      </c>
      <c r="B1108" s="8">
        <f t="shared" ref="B1108:J1108" si="90">AVERAGE(B569:B580)</f>
        <v>16.326574999999998</v>
      </c>
      <c r="C1108" s="8">
        <f t="shared" si="90"/>
        <v>16.332850000000001</v>
      </c>
      <c r="D1108" s="8">
        <f t="shared" si="90"/>
        <v>16.321133333333332</v>
      </c>
      <c r="E1108" s="8">
        <f t="shared" si="90"/>
        <v>16.324583333333333</v>
      </c>
      <c r="F1108" s="4">
        <f t="shared" si="90"/>
        <v>17.016425000000002</v>
      </c>
      <c r="G1108" s="8">
        <f t="shared" si="90"/>
        <v>16.139608333333332</v>
      </c>
      <c r="H1108" s="4">
        <f t="shared" si="90"/>
        <v>17.063799999999997</v>
      </c>
      <c r="I1108" s="8">
        <f t="shared" si="90"/>
        <v>15.939333333333332</v>
      </c>
      <c r="J1108" s="4">
        <f t="shared" si="90"/>
        <v>15.835233333333333</v>
      </c>
      <c r="K1108" s="7"/>
      <c r="L1108" s="5">
        <f>SUM(L569:L580)</f>
        <v>356.48229999999995</v>
      </c>
      <c r="M1108" s="5">
        <f>SUM(M569:M580)</f>
        <v>142.42920000000001</v>
      </c>
      <c r="N1108" s="5">
        <f>SUM(N569:N580)</f>
        <v>58.377000000000002</v>
      </c>
      <c r="O1108" s="5">
        <f>SUM(O547:O558)</f>
        <v>4.4046000000000003</v>
      </c>
      <c r="P1108" s="5">
        <f>SUM(P569:P580)</f>
        <v>15.262199999999998</v>
      </c>
      <c r="Q1108" s="5">
        <f>SUM(Q569:Q580)</f>
        <v>232.44659999999996</v>
      </c>
      <c r="R1108" s="5"/>
      <c r="S1108" s="6"/>
    </row>
    <row r="1109" spans="1:19" ht="15" customHeight="1">
      <c r="A1109" s="3">
        <f t="shared" si="46"/>
        <v>2061</v>
      </c>
      <c r="B1109" s="8">
        <f t="shared" ref="B1109:J1109" si="91">AVERAGE(B581:B592)</f>
        <v>16.718616666666666</v>
      </c>
      <c r="C1109" s="8">
        <f t="shared" si="91"/>
        <v>16.724891666666668</v>
      </c>
      <c r="D1109" s="8">
        <f t="shared" si="91"/>
        <v>16.713175000000003</v>
      </c>
      <c r="E1109" s="8">
        <f t="shared" si="91"/>
        <v>16.716624999999997</v>
      </c>
      <c r="F1109" s="4">
        <f t="shared" si="91"/>
        <v>17.408474999999999</v>
      </c>
      <c r="G1109" s="8">
        <f t="shared" si="91"/>
        <v>16.527049999999999</v>
      </c>
      <c r="H1109" s="4">
        <f t="shared" si="91"/>
        <v>17.451258333333332</v>
      </c>
      <c r="I1109" s="8">
        <f t="shared" si="91"/>
        <v>16.320016666666664</v>
      </c>
      <c r="J1109" s="4">
        <f t="shared" si="91"/>
        <v>16.215708333333335</v>
      </c>
      <c r="K1109" s="7"/>
      <c r="L1109" s="5">
        <f>SUM(L581:L592)</f>
        <v>355.53689999999995</v>
      </c>
      <c r="M1109" s="5">
        <f>SUM(M581:M592)</f>
        <v>142.0401</v>
      </c>
      <c r="N1109" s="5">
        <f>SUM(N581:N592)</f>
        <v>58.217499999999994</v>
      </c>
      <c r="O1109" s="5">
        <f>SUM(O548:O559)</f>
        <v>4.4046000000000003</v>
      </c>
      <c r="P1109" s="5">
        <f>SUM(P581:P592)</f>
        <v>15.220499999999998</v>
      </c>
      <c r="Q1109" s="5">
        <f>SUM(Q581:Q592)</f>
        <v>231.81149999999997</v>
      </c>
      <c r="R1109" s="5"/>
      <c r="S1109" s="6"/>
    </row>
    <row r="1110" spans="1:19" ht="15" customHeight="1">
      <c r="A1110" s="3">
        <f t="shared" si="46"/>
        <v>2062</v>
      </c>
      <c r="B1110" s="4">
        <f t="shared" ref="B1110:J1119" ca="1" si="92">AVERAGE(OFFSET(B$593,($A1110-$A$1110)*12,0,12,1))</f>
        <v>17.12008333333333</v>
      </c>
      <c r="C1110" s="4">
        <f t="shared" ca="1" si="92"/>
        <v>17.126333333333335</v>
      </c>
      <c r="D1110" s="4">
        <f t="shared" ca="1" si="92"/>
        <v>17.114625</v>
      </c>
      <c r="E1110" s="4">
        <f t="shared" ca="1" si="92"/>
        <v>17.118083333333335</v>
      </c>
      <c r="F1110" s="4">
        <f t="shared" ca="1" si="92"/>
        <v>17.809916666666663</v>
      </c>
      <c r="G1110" s="4">
        <f t="shared" ca="1" si="92"/>
        <v>16.923816666666664</v>
      </c>
      <c r="H1110" s="4">
        <f t="shared" ca="1" si="92"/>
        <v>17.847991666666669</v>
      </c>
      <c r="I1110" s="4">
        <f t="shared" ca="1" si="92"/>
        <v>16.709808333333331</v>
      </c>
      <c r="J1110" s="4">
        <f t="shared" ca="1" si="92"/>
        <v>16.605316666666663</v>
      </c>
      <c r="K1110" s="4"/>
      <c r="L1110" s="5">
        <f t="shared" ref="L1110:Q1119" ca="1" si="93">SUM(OFFSET(L$593,($A1110-$A$1110)*12,0,12,1))</f>
        <v>355.53689999999995</v>
      </c>
      <c r="M1110" s="5">
        <f t="shared" ca="1" si="93"/>
        <v>142.0401</v>
      </c>
      <c r="N1110" s="5">
        <f t="shared" ca="1" si="93"/>
        <v>58.217499999999994</v>
      </c>
      <c r="O1110" s="5">
        <f t="shared" ca="1" si="93"/>
        <v>4.4046000000000003</v>
      </c>
      <c r="P1110" s="5">
        <f t="shared" ca="1" si="93"/>
        <v>15.220499999999998</v>
      </c>
      <c r="Q1110" s="5">
        <f t="shared" ca="1" si="93"/>
        <v>231.81149999999997</v>
      </c>
      <c r="R1110" s="4"/>
      <c r="S1110" s="4"/>
    </row>
    <row r="1111" spans="1:19" ht="15" customHeight="1">
      <c r="A1111" s="3">
        <f t="shared" si="46"/>
        <v>2063</v>
      </c>
      <c r="B1111" s="4">
        <f t="shared" ca="1" si="92"/>
        <v>17.531191666666665</v>
      </c>
      <c r="C1111" s="4">
        <f t="shared" ca="1" si="92"/>
        <v>17.537424999999999</v>
      </c>
      <c r="D1111" s="4">
        <f t="shared" ca="1" si="92"/>
        <v>17.525725000000001</v>
      </c>
      <c r="E1111" s="4">
        <f t="shared" ca="1" si="92"/>
        <v>17.529175000000002</v>
      </c>
      <c r="F1111" s="4">
        <f t="shared" ca="1" si="92"/>
        <v>18.221016666666664</v>
      </c>
      <c r="G1111" s="4">
        <f t="shared" ca="1" si="92"/>
        <v>17.330116666666665</v>
      </c>
      <c r="H1111" s="4">
        <f t="shared" ca="1" si="92"/>
        <v>18.254291666666667</v>
      </c>
      <c r="I1111" s="4">
        <f t="shared" ca="1" si="92"/>
        <v>17.108991666666668</v>
      </c>
      <c r="J1111" s="4">
        <f t="shared" ca="1" si="92"/>
        <v>17.004308333333331</v>
      </c>
      <c r="K1111" s="4"/>
      <c r="L1111" s="5">
        <f t="shared" ca="1" si="93"/>
        <v>355.53689999999995</v>
      </c>
      <c r="M1111" s="5">
        <f t="shared" ca="1" si="93"/>
        <v>142.0401</v>
      </c>
      <c r="N1111" s="5">
        <f t="shared" ca="1" si="93"/>
        <v>58.217499999999994</v>
      </c>
      <c r="O1111" s="5">
        <f t="shared" ca="1" si="93"/>
        <v>4.4046000000000003</v>
      </c>
      <c r="P1111" s="5">
        <f t="shared" ca="1" si="93"/>
        <v>15.220499999999998</v>
      </c>
      <c r="Q1111" s="5">
        <f t="shared" ca="1" si="93"/>
        <v>231.81149999999997</v>
      </c>
      <c r="R1111" s="4"/>
      <c r="S1111" s="4"/>
    </row>
    <row r="1112" spans="1:19" ht="15" customHeight="1">
      <c r="A1112" s="3">
        <f t="shared" si="46"/>
        <v>2064</v>
      </c>
      <c r="B1112" s="4">
        <f t="shared" ca="1" si="92"/>
        <v>17.952166666666667</v>
      </c>
      <c r="C1112" s="4">
        <f t="shared" ca="1" si="92"/>
        <v>17.958425000000002</v>
      </c>
      <c r="D1112" s="4">
        <f t="shared" ca="1" si="92"/>
        <v>17.9467</v>
      </c>
      <c r="E1112" s="4">
        <f t="shared" ca="1" si="92"/>
        <v>17.950150000000001</v>
      </c>
      <c r="F1112" s="4">
        <f t="shared" ca="1" si="92"/>
        <v>18.642016666666667</v>
      </c>
      <c r="G1112" s="4">
        <f t="shared" ca="1" si="92"/>
        <v>17.74615</v>
      </c>
      <c r="H1112" s="4">
        <f t="shared" ca="1" si="92"/>
        <v>18.670333333333335</v>
      </c>
      <c r="I1112" s="4">
        <f t="shared" ca="1" si="92"/>
        <v>17.517766666666667</v>
      </c>
      <c r="J1112" s="4">
        <f t="shared" ca="1" si="92"/>
        <v>17.412858333333332</v>
      </c>
      <c r="K1112" s="4"/>
      <c r="L1112" s="5">
        <f t="shared" ca="1" si="93"/>
        <v>356.48229999999995</v>
      </c>
      <c r="M1112" s="5">
        <f t="shared" ca="1" si="93"/>
        <v>142.42920000000001</v>
      </c>
      <c r="N1112" s="5">
        <f t="shared" ca="1" si="93"/>
        <v>58.377000000000002</v>
      </c>
      <c r="O1112" s="5">
        <f t="shared" ca="1" si="93"/>
        <v>4.4165999999999999</v>
      </c>
      <c r="P1112" s="5">
        <f t="shared" ca="1" si="93"/>
        <v>15.262199999999998</v>
      </c>
      <c r="Q1112" s="5">
        <f t="shared" ca="1" si="93"/>
        <v>232.44659999999996</v>
      </c>
      <c r="R1112" s="4"/>
      <c r="S1112" s="4"/>
    </row>
    <row r="1113" spans="1:19" ht="15" customHeight="1">
      <c r="A1113" s="3">
        <f t="shared" si="46"/>
        <v>2065</v>
      </c>
      <c r="B1113" s="4">
        <f t="shared" ca="1" si="92"/>
        <v>18.383241666666667</v>
      </c>
      <c r="C1113" s="4">
        <f t="shared" ca="1" si="92"/>
        <v>18.389508333333332</v>
      </c>
      <c r="D1113" s="4">
        <f t="shared" ca="1" si="92"/>
        <v>18.377808333333334</v>
      </c>
      <c r="E1113" s="4">
        <f t="shared" ca="1" si="92"/>
        <v>18.381258333333335</v>
      </c>
      <c r="F1113" s="4">
        <f t="shared" ca="1" si="92"/>
        <v>19.0731</v>
      </c>
      <c r="G1113" s="4">
        <f t="shared" ca="1" si="92"/>
        <v>18.172191666666667</v>
      </c>
      <c r="H1113" s="4">
        <f t="shared" ca="1" si="92"/>
        <v>19.096391666666669</v>
      </c>
      <c r="I1113" s="4">
        <f t="shared" ca="1" si="92"/>
        <v>17.936358333333335</v>
      </c>
      <c r="J1113" s="4">
        <f t="shared" ca="1" si="92"/>
        <v>17.831250000000001</v>
      </c>
      <c r="K1113" s="4"/>
      <c r="L1113" s="5">
        <f t="shared" ca="1" si="93"/>
        <v>355.53689999999995</v>
      </c>
      <c r="M1113" s="5">
        <f t="shared" ca="1" si="93"/>
        <v>142.0401</v>
      </c>
      <c r="N1113" s="5">
        <f t="shared" ca="1" si="93"/>
        <v>58.217499999999994</v>
      </c>
      <c r="O1113" s="5">
        <f t="shared" ca="1" si="93"/>
        <v>4.4046000000000003</v>
      </c>
      <c r="P1113" s="5">
        <f t="shared" ca="1" si="93"/>
        <v>15.220499999999998</v>
      </c>
      <c r="Q1113" s="5">
        <f t="shared" ca="1" si="93"/>
        <v>231.81149999999997</v>
      </c>
      <c r="R1113" s="4"/>
      <c r="S1113" s="4"/>
    </row>
    <row r="1114" spans="1:19" ht="15" customHeight="1">
      <c r="A1114" s="3">
        <f t="shared" si="46"/>
        <v>2066</v>
      </c>
      <c r="B1114" s="4">
        <f t="shared" ca="1" si="92"/>
        <v>18.824724999999997</v>
      </c>
      <c r="C1114" s="4">
        <f t="shared" ca="1" si="92"/>
        <v>18.830974999999999</v>
      </c>
      <c r="D1114" s="4">
        <f t="shared" ca="1" si="92"/>
        <v>18.819266666666667</v>
      </c>
      <c r="E1114" s="4">
        <f t="shared" ca="1" si="92"/>
        <v>18.822725000000002</v>
      </c>
      <c r="F1114" s="4">
        <f t="shared" ca="1" si="92"/>
        <v>19.514566666666667</v>
      </c>
      <c r="G1114" s="4">
        <f t="shared" ca="1" si="92"/>
        <v>18.608508333333333</v>
      </c>
      <c r="H1114" s="4">
        <f t="shared" ca="1" si="92"/>
        <v>19.532666666666668</v>
      </c>
      <c r="I1114" s="4">
        <f t="shared" ca="1" si="92"/>
        <v>18.364983333333331</v>
      </c>
      <c r="J1114" s="4">
        <f t="shared" ca="1" si="92"/>
        <v>18.259666666666664</v>
      </c>
      <c r="K1114" s="4"/>
      <c r="L1114" s="5">
        <f t="shared" ca="1" si="93"/>
        <v>355.53689999999995</v>
      </c>
      <c r="M1114" s="5">
        <f t="shared" ca="1" si="93"/>
        <v>142.0401</v>
      </c>
      <c r="N1114" s="5">
        <f t="shared" ca="1" si="93"/>
        <v>58.217499999999994</v>
      </c>
      <c r="O1114" s="5">
        <f t="shared" ca="1" si="93"/>
        <v>4.4046000000000003</v>
      </c>
      <c r="P1114" s="5">
        <f t="shared" ca="1" si="93"/>
        <v>15.220499999999998</v>
      </c>
      <c r="Q1114" s="5">
        <f t="shared" ca="1" si="93"/>
        <v>231.81149999999997</v>
      </c>
      <c r="R1114" s="4"/>
      <c r="S1114" s="4"/>
    </row>
    <row r="1115" spans="1:19" ht="15" customHeight="1">
      <c r="A1115" s="3">
        <f t="shared" si="46"/>
        <v>2067</v>
      </c>
      <c r="B1115" s="4">
        <f t="shared" ca="1" si="92"/>
        <v>19.276783333333334</v>
      </c>
      <c r="C1115" s="4">
        <f t="shared" ca="1" si="92"/>
        <v>19.283033333333332</v>
      </c>
      <c r="D1115" s="4">
        <f t="shared" ca="1" si="92"/>
        <v>19.271316666666667</v>
      </c>
      <c r="E1115" s="4">
        <f t="shared" ca="1" si="92"/>
        <v>19.274766666666665</v>
      </c>
      <c r="F1115" s="4">
        <f t="shared" ca="1" si="92"/>
        <v>19.966616666666663</v>
      </c>
      <c r="G1115" s="4">
        <f t="shared" ca="1" si="92"/>
        <v>19.055258333333331</v>
      </c>
      <c r="H1115" s="4">
        <f t="shared" ca="1" si="92"/>
        <v>19.979433333333333</v>
      </c>
      <c r="I1115" s="4">
        <f t="shared" ca="1" si="92"/>
        <v>18.803925000000003</v>
      </c>
      <c r="J1115" s="4">
        <f t="shared" ca="1" si="92"/>
        <v>18.698400000000003</v>
      </c>
      <c r="K1115" s="4"/>
      <c r="L1115" s="5">
        <f t="shared" ca="1" si="93"/>
        <v>355.53689999999995</v>
      </c>
      <c r="M1115" s="5">
        <f t="shared" ca="1" si="93"/>
        <v>142.0401</v>
      </c>
      <c r="N1115" s="5">
        <f t="shared" ca="1" si="93"/>
        <v>58.217499999999994</v>
      </c>
      <c r="O1115" s="5">
        <f t="shared" ca="1" si="93"/>
        <v>4.4046000000000003</v>
      </c>
      <c r="P1115" s="5">
        <f t="shared" ca="1" si="93"/>
        <v>15.220499999999998</v>
      </c>
      <c r="Q1115" s="5">
        <f t="shared" ca="1" si="93"/>
        <v>231.81149999999997</v>
      </c>
      <c r="R1115" s="4"/>
      <c r="S1115" s="4"/>
    </row>
    <row r="1116" spans="1:19" ht="15" customHeight="1">
      <c r="A1116" s="3">
        <f t="shared" si="46"/>
        <v>2068</v>
      </c>
      <c r="B1116" s="4">
        <f t="shared" ca="1" si="92"/>
        <v>19.739691666666669</v>
      </c>
      <c r="C1116" s="4">
        <f t="shared" ca="1" si="92"/>
        <v>19.745958333333331</v>
      </c>
      <c r="D1116" s="4">
        <f t="shared" ca="1" si="92"/>
        <v>19.734241666666666</v>
      </c>
      <c r="E1116" s="4">
        <f t="shared" ca="1" si="92"/>
        <v>19.737699999999997</v>
      </c>
      <c r="F1116" s="4">
        <f t="shared" ca="1" si="92"/>
        <v>20.429533333333335</v>
      </c>
      <c r="G1116" s="4">
        <f t="shared" ca="1" si="92"/>
        <v>19.512783333333335</v>
      </c>
      <c r="H1116" s="4">
        <f t="shared" ca="1" si="92"/>
        <v>20.436941666666666</v>
      </c>
      <c r="I1116" s="4">
        <f t="shared" ca="1" si="92"/>
        <v>19.253441666666667</v>
      </c>
      <c r="J1116" s="4">
        <f t="shared" ca="1" si="92"/>
        <v>19.147666666666666</v>
      </c>
      <c r="K1116" s="4"/>
      <c r="L1116" s="5">
        <f t="shared" ca="1" si="93"/>
        <v>356.48229999999995</v>
      </c>
      <c r="M1116" s="5">
        <f t="shared" ca="1" si="93"/>
        <v>142.42920000000001</v>
      </c>
      <c r="N1116" s="5">
        <f t="shared" ca="1" si="93"/>
        <v>58.377000000000002</v>
      </c>
      <c r="O1116" s="5">
        <f t="shared" ca="1" si="93"/>
        <v>4.4165999999999999</v>
      </c>
      <c r="P1116" s="5">
        <f t="shared" ca="1" si="93"/>
        <v>15.262199999999998</v>
      </c>
      <c r="Q1116" s="5">
        <f t="shared" ca="1" si="93"/>
        <v>232.44659999999996</v>
      </c>
      <c r="R1116" s="4"/>
      <c r="S1116" s="4"/>
    </row>
    <row r="1117" spans="1:19" ht="15" customHeight="1">
      <c r="A1117" s="3">
        <f t="shared" si="46"/>
        <v>2069</v>
      </c>
      <c r="B1117" s="4">
        <f t="shared" ca="1" si="92"/>
        <v>20.213741666666667</v>
      </c>
      <c r="C1117" s="4">
        <f t="shared" ca="1" si="92"/>
        <v>20.220000000000002</v>
      </c>
      <c r="D1117" s="4">
        <f t="shared" ca="1" si="92"/>
        <v>20.20828333333333</v>
      </c>
      <c r="E1117" s="4">
        <f t="shared" ca="1" si="92"/>
        <v>20.211749999999999</v>
      </c>
      <c r="F1117" s="4">
        <f t="shared" ca="1" si="92"/>
        <v>20.903575</v>
      </c>
      <c r="G1117" s="4">
        <f t="shared" ca="1" si="92"/>
        <v>19.981233333333336</v>
      </c>
      <c r="H1117" s="4">
        <f t="shared" ca="1" si="92"/>
        <v>20.905441666666665</v>
      </c>
      <c r="I1117" s="4">
        <f t="shared" ca="1" si="92"/>
        <v>19.713725</v>
      </c>
      <c r="J1117" s="4">
        <f t="shared" ca="1" si="92"/>
        <v>19.607716666666665</v>
      </c>
      <c r="K1117" s="4"/>
      <c r="L1117" s="5">
        <f t="shared" ca="1" si="93"/>
        <v>355.53689999999995</v>
      </c>
      <c r="M1117" s="5">
        <f t="shared" ca="1" si="93"/>
        <v>142.0401</v>
      </c>
      <c r="N1117" s="5">
        <f t="shared" ca="1" si="93"/>
        <v>58.217499999999994</v>
      </c>
      <c r="O1117" s="5">
        <f t="shared" ca="1" si="93"/>
        <v>4.4046000000000003</v>
      </c>
      <c r="P1117" s="5">
        <f t="shared" ca="1" si="93"/>
        <v>15.220499999999998</v>
      </c>
      <c r="Q1117" s="5">
        <f t="shared" ca="1" si="93"/>
        <v>231.81149999999997</v>
      </c>
      <c r="R1117" s="4"/>
      <c r="S1117" s="4"/>
    </row>
    <row r="1118" spans="1:19" ht="15" customHeight="1">
      <c r="A1118" s="3">
        <f t="shared" ref="A1118:A1148" si="94">A1117+1</f>
        <v>2070</v>
      </c>
      <c r="B1118" s="4">
        <f t="shared" ca="1" si="92"/>
        <v>20.699166666666667</v>
      </c>
      <c r="C1118" s="4">
        <f t="shared" ca="1" si="92"/>
        <v>20.705441666666665</v>
      </c>
      <c r="D1118" s="4">
        <f t="shared" ca="1" si="92"/>
        <v>20.693724999999997</v>
      </c>
      <c r="E1118" s="4">
        <f t="shared" ca="1" si="92"/>
        <v>20.697183333333331</v>
      </c>
      <c r="F1118" s="4">
        <f t="shared" ca="1" si="92"/>
        <v>21.389033333333334</v>
      </c>
      <c r="G1118" s="4">
        <f t="shared" ca="1" si="92"/>
        <v>20.460991666666665</v>
      </c>
      <c r="H1118" s="4">
        <f t="shared" ca="1" si="92"/>
        <v>21.38518333333333</v>
      </c>
      <c r="I1118" s="4">
        <f t="shared" ca="1" si="92"/>
        <v>20.185066666666671</v>
      </c>
      <c r="J1118" s="4">
        <f t="shared" ca="1" si="92"/>
        <v>20.078858333333333</v>
      </c>
      <c r="K1118" s="4"/>
      <c r="L1118" s="5">
        <f t="shared" ca="1" si="93"/>
        <v>355.53689999999995</v>
      </c>
      <c r="M1118" s="5">
        <f t="shared" ca="1" si="93"/>
        <v>142.0401</v>
      </c>
      <c r="N1118" s="5">
        <f t="shared" ca="1" si="93"/>
        <v>58.217499999999994</v>
      </c>
      <c r="O1118" s="5">
        <f t="shared" ca="1" si="93"/>
        <v>4.4046000000000003</v>
      </c>
      <c r="P1118" s="5">
        <f t="shared" ca="1" si="93"/>
        <v>15.220499999999998</v>
      </c>
      <c r="Q1118" s="5">
        <f t="shared" ca="1" si="93"/>
        <v>231.81149999999997</v>
      </c>
      <c r="R1118" s="4"/>
      <c r="S1118" s="4"/>
    </row>
    <row r="1119" spans="1:19" ht="15" customHeight="1">
      <c r="A1119" s="3">
        <f t="shared" si="94"/>
        <v>2071</v>
      </c>
      <c r="B1119" s="4">
        <f t="shared" ca="1" si="92"/>
        <v>21.196283333333334</v>
      </c>
      <c r="C1119" s="4">
        <f t="shared" ca="1" si="92"/>
        <v>21.202549999999999</v>
      </c>
      <c r="D1119" s="4">
        <f t="shared" ca="1" si="92"/>
        <v>21.190824999999997</v>
      </c>
      <c r="E1119" s="4">
        <f t="shared" ca="1" si="92"/>
        <v>21.194283333333335</v>
      </c>
      <c r="F1119" s="4">
        <f t="shared" ca="1" si="92"/>
        <v>21.886124999999996</v>
      </c>
      <c r="G1119" s="4">
        <f t="shared" ca="1" si="92"/>
        <v>20.952266666666663</v>
      </c>
      <c r="H1119" s="4">
        <f t="shared" ca="1" si="92"/>
        <v>21.876450000000006</v>
      </c>
      <c r="I1119" s="4">
        <f t="shared" ca="1" si="92"/>
        <v>20.667750000000002</v>
      </c>
      <c r="J1119" s="4">
        <f t="shared" ca="1" si="92"/>
        <v>20.561274999999998</v>
      </c>
      <c r="K1119" s="4"/>
      <c r="L1119" s="5">
        <f t="shared" ca="1" si="93"/>
        <v>355.53689999999995</v>
      </c>
      <c r="M1119" s="5">
        <f t="shared" ca="1" si="93"/>
        <v>142.0401</v>
      </c>
      <c r="N1119" s="5">
        <f t="shared" ca="1" si="93"/>
        <v>58.217499999999994</v>
      </c>
      <c r="O1119" s="5">
        <f t="shared" ca="1" si="93"/>
        <v>4.4046000000000003</v>
      </c>
      <c r="P1119" s="5">
        <f t="shared" ca="1" si="93"/>
        <v>15.220499999999998</v>
      </c>
      <c r="Q1119" s="5">
        <f t="shared" ca="1" si="93"/>
        <v>231.81149999999997</v>
      </c>
      <c r="R1119" s="4"/>
      <c r="S1119" s="4"/>
    </row>
    <row r="1120" spans="1:19" ht="15" customHeight="1">
      <c r="A1120" s="3">
        <f t="shared" si="94"/>
        <v>2072</v>
      </c>
      <c r="B1120" s="4">
        <f t="shared" ref="B1120:J1129" ca="1" si="95">AVERAGE(OFFSET(B$593,($A1120-$A$1110)*12,0,12,1))</f>
        <v>21.705324999999998</v>
      </c>
      <c r="C1120" s="4">
        <f t="shared" ca="1" si="95"/>
        <v>21.711583333333333</v>
      </c>
      <c r="D1120" s="4">
        <f t="shared" ca="1" si="95"/>
        <v>21.699866666666669</v>
      </c>
      <c r="E1120" s="4">
        <f t="shared" ca="1" si="95"/>
        <v>21.703333333333333</v>
      </c>
      <c r="F1120" s="4">
        <f t="shared" ca="1" si="95"/>
        <v>22.395174999999998</v>
      </c>
      <c r="G1120" s="4">
        <f t="shared" ca="1" si="95"/>
        <v>21.455358333333333</v>
      </c>
      <c r="H1120" s="4">
        <f t="shared" ca="1" si="95"/>
        <v>22.379533333333338</v>
      </c>
      <c r="I1120" s="4">
        <f t="shared" ca="1" si="95"/>
        <v>21.16203333333333</v>
      </c>
      <c r="J1120" s="4">
        <f t="shared" ca="1" si="95"/>
        <v>21.055308333333333</v>
      </c>
      <c r="K1120" s="4"/>
      <c r="L1120" s="5">
        <f t="shared" ref="L1120:Q1129" ca="1" si="96">SUM(OFFSET(L$593,($A1120-$A$1110)*12,0,12,1))</f>
        <v>356.48229999999995</v>
      </c>
      <c r="M1120" s="5">
        <f t="shared" ca="1" si="96"/>
        <v>142.42920000000001</v>
      </c>
      <c r="N1120" s="5">
        <f t="shared" ca="1" si="96"/>
        <v>58.377000000000002</v>
      </c>
      <c r="O1120" s="5">
        <f t="shared" ca="1" si="96"/>
        <v>4.4165999999999999</v>
      </c>
      <c r="P1120" s="5">
        <f t="shared" ca="1" si="96"/>
        <v>15.262199999999998</v>
      </c>
      <c r="Q1120" s="5">
        <f t="shared" ca="1" si="96"/>
        <v>232.44659999999996</v>
      </c>
      <c r="R1120" s="4"/>
      <c r="S1120" s="4"/>
    </row>
    <row r="1121" spans="1:19" ht="15" customHeight="1">
      <c r="A1121" s="3">
        <f t="shared" si="94"/>
        <v>2073</v>
      </c>
      <c r="B1121" s="4">
        <f t="shared" ca="1" si="95"/>
        <v>22.226600000000001</v>
      </c>
      <c r="C1121" s="4">
        <f t="shared" ca="1" si="95"/>
        <v>22.232866666666666</v>
      </c>
      <c r="D1121" s="4">
        <f t="shared" ca="1" si="95"/>
        <v>22.221125000000001</v>
      </c>
      <c r="E1121" s="4">
        <f t="shared" ca="1" si="95"/>
        <v>22.224591666666669</v>
      </c>
      <c r="F1121" s="4">
        <f t="shared" ca="1" si="95"/>
        <v>22.916441666666667</v>
      </c>
      <c r="G1121" s="4">
        <f t="shared" ca="1" si="95"/>
        <v>21.970516666666665</v>
      </c>
      <c r="H1121" s="4">
        <f t="shared" ca="1" si="95"/>
        <v>22.894725000000005</v>
      </c>
      <c r="I1121" s="4">
        <f t="shared" ca="1" si="95"/>
        <v>21.668166666666668</v>
      </c>
      <c r="J1121" s="4">
        <f t="shared" ca="1" si="95"/>
        <v>21.561208333333337</v>
      </c>
      <c r="K1121" s="4"/>
      <c r="L1121" s="5">
        <f t="shared" ca="1" si="96"/>
        <v>355.53689999999995</v>
      </c>
      <c r="M1121" s="5">
        <f t="shared" ca="1" si="96"/>
        <v>142.0401</v>
      </c>
      <c r="N1121" s="5">
        <f t="shared" ca="1" si="96"/>
        <v>58.217499999999994</v>
      </c>
      <c r="O1121" s="5">
        <f t="shared" ca="1" si="96"/>
        <v>4.4046000000000003</v>
      </c>
      <c r="P1121" s="5">
        <f t="shared" ca="1" si="96"/>
        <v>15.220499999999998</v>
      </c>
      <c r="Q1121" s="5">
        <f t="shared" ca="1" si="96"/>
        <v>231.81149999999997</v>
      </c>
      <c r="R1121" s="4"/>
      <c r="S1121" s="4"/>
    </row>
    <row r="1122" spans="1:19" ht="15" customHeight="1">
      <c r="A1122" s="3">
        <f t="shared" si="94"/>
        <v>2074</v>
      </c>
      <c r="B1122" s="4">
        <f t="shared" ca="1" si="95"/>
        <v>22.760408333333331</v>
      </c>
      <c r="C1122" s="4">
        <f t="shared" ca="1" si="95"/>
        <v>22.766666666666669</v>
      </c>
      <c r="D1122" s="4">
        <f t="shared" ca="1" si="95"/>
        <v>22.754958333333335</v>
      </c>
      <c r="E1122" s="4">
        <f t="shared" ca="1" si="95"/>
        <v>22.758408333333332</v>
      </c>
      <c r="F1122" s="4">
        <f t="shared" ca="1" si="95"/>
        <v>23.450241666666667</v>
      </c>
      <c r="G1122" s="4">
        <f t="shared" ca="1" si="95"/>
        <v>22.498075</v>
      </c>
      <c r="H1122" s="4">
        <f t="shared" ca="1" si="95"/>
        <v>23.422258333333332</v>
      </c>
      <c r="I1122" s="4">
        <f t="shared" ca="1" si="95"/>
        <v>22.186499999999999</v>
      </c>
      <c r="J1122" s="4">
        <f t="shared" ca="1" si="95"/>
        <v>22.079249999999998</v>
      </c>
      <c r="K1122" s="4"/>
      <c r="L1122" s="5">
        <f t="shared" ca="1" si="96"/>
        <v>355.53689999999995</v>
      </c>
      <c r="M1122" s="5">
        <f t="shared" ca="1" si="96"/>
        <v>142.0401</v>
      </c>
      <c r="N1122" s="5">
        <f t="shared" ca="1" si="96"/>
        <v>58.217499999999994</v>
      </c>
      <c r="O1122" s="5">
        <f t="shared" ca="1" si="96"/>
        <v>4.4046000000000003</v>
      </c>
      <c r="P1122" s="5">
        <f t="shared" ca="1" si="96"/>
        <v>15.220499999999998</v>
      </c>
      <c r="Q1122" s="5">
        <f t="shared" ca="1" si="96"/>
        <v>231.81149999999997</v>
      </c>
      <c r="R1122" s="4"/>
      <c r="S1122" s="4"/>
    </row>
    <row r="1123" spans="1:19" ht="15" customHeight="1">
      <c r="A1123" s="3">
        <f t="shared" si="94"/>
        <v>2075</v>
      </c>
      <c r="B1123" s="4">
        <f t="shared" ca="1" si="95"/>
        <v>23.307024999999996</v>
      </c>
      <c r="C1123" s="4">
        <f t="shared" ca="1" si="95"/>
        <v>23.313283333333331</v>
      </c>
      <c r="D1123" s="4">
        <f t="shared" ca="1" si="95"/>
        <v>23.301575</v>
      </c>
      <c r="E1123" s="4">
        <f t="shared" ca="1" si="95"/>
        <v>23.305025000000001</v>
      </c>
      <c r="F1123" s="4">
        <f t="shared" ca="1" si="95"/>
        <v>23.996858333333336</v>
      </c>
      <c r="G1123" s="4">
        <f t="shared" ca="1" si="95"/>
        <v>23.03831666666667</v>
      </c>
      <c r="H1123" s="4">
        <f t="shared" ca="1" si="95"/>
        <v>23.962483333333335</v>
      </c>
      <c r="I1123" s="4">
        <f t="shared" ca="1" si="95"/>
        <v>22.717241666666666</v>
      </c>
      <c r="J1123" s="4">
        <f t="shared" ca="1" si="95"/>
        <v>22.609774999999999</v>
      </c>
      <c r="K1123" s="4"/>
      <c r="L1123" s="5">
        <f t="shared" ca="1" si="96"/>
        <v>355.53689999999995</v>
      </c>
      <c r="M1123" s="5">
        <f t="shared" ca="1" si="96"/>
        <v>142.0401</v>
      </c>
      <c r="N1123" s="5">
        <f t="shared" ca="1" si="96"/>
        <v>58.217499999999994</v>
      </c>
      <c r="O1123" s="5">
        <f t="shared" ca="1" si="96"/>
        <v>4.4046000000000003</v>
      </c>
      <c r="P1123" s="5">
        <f t="shared" ca="1" si="96"/>
        <v>15.220499999999998</v>
      </c>
      <c r="Q1123" s="5">
        <f t="shared" ca="1" si="96"/>
        <v>231.81149999999997</v>
      </c>
      <c r="R1123" s="4"/>
      <c r="S1123" s="4"/>
    </row>
    <row r="1124" spans="1:19" ht="15" customHeight="1">
      <c r="A1124" s="3">
        <f t="shared" si="94"/>
        <v>2076</v>
      </c>
      <c r="B1124" s="4">
        <f t="shared" ca="1" si="95"/>
        <v>23.866799999999998</v>
      </c>
      <c r="C1124" s="4">
        <f t="shared" ca="1" si="95"/>
        <v>23.873050000000003</v>
      </c>
      <c r="D1124" s="4">
        <f t="shared" ca="1" si="95"/>
        <v>23.861333333333334</v>
      </c>
      <c r="E1124" s="4">
        <f t="shared" ca="1" si="95"/>
        <v>23.864783333333335</v>
      </c>
      <c r="F1124" s="4">
        <f t="shared" ca="1" si="95"/>
        <v>24.556625</v>
      </c>
      <c r="G1124" s="4">
        <f t="shared" ca="1" si="95"/>
        <v>23.591508333333337</v>
      </c>
      <c r="H1124" s="4">
        <f t="shared" ca="1" si="95"/>
        <v>24.515691666666669</v>
      </c>
      <c r="I1124" s="4">
        <f t="shared" ca="1" si="95"/>
        <v>23.260774999999999</v>
      </c>
      <c r="J1124" s="4">
        <f t="shared" ca="1" si="95"/>
        <v>23.153000000000002</v>
      </c>
      <c r="K1124" s="4"/>
      <c r="L1124" s="5">
        <f t="shared" ca="1" si="96"/>
        <v>356.48229999999995</v>
      </c>
      <c r="M1124" s="5">
        <f t="shared" ca="1" si="96"/>
        <v>142.42920000000001</v>
      </c>
      <c r="N1124" s="5">
        <f t="shared" ca="1" si="96"/>
        <v>58.377000000000002</v>
      </c>
      <c r="O1124" s="5">
        <f t="shared" ca="1" si="96"/>
        <v>4.4165999999999999</v>
      </c>
      <c r="P1124" s="5">
        <f t="shared" ca="1" si="96"/>
        <v>15.262199999999998</v>
      </c>
      <c r="Q1124" s="5">
        <f t="shared" ca="1" si="96"/>
        <v>232.44659999999996</v>
      </c>
      <c r="R1124" s="4"/>
      <c r="S1124" s="4"/>
    </row>
    <row r="1125" spans="1:19" ht="15" customHeight="1">
      <c r="A1125" s="3">
        <f t="shared" si="94"/>
        <v>2077</v>
      </c>
      <c r="B1125" s="4">
        <f t="shared" ca="1" si="95"/>
        <v>24.439991666666661</v>
      </c>
      <c r="C1125" s="4">
        <f t="shared" ca="1" si="95"/>
        <v>24.446241666666666</v>
      </c>
      <c r="D1125" s="4">
        <f t="shared" ca="1" si="95"/>
        <v>24.434533333333334</v>
      </c>
      <c r="E1125" s="4">
        <f t="shared" ca="1" si="95"/>
        <v>24.437974999999998</v>
      </c>
      <c r="F1125" s="4">
        <f t="shared" ca="1" si="95"/>
        <v>25.129841666666675</v>
      </c>
      <c r="G1125" s="4">
        <f t="shared" ca="1" si="95"/>
        <v>24.158000000000001</v>
      </c>
      <c r="H1125" s="4">
        <f t="shared" ca="1" si="95"/>
        <v>25.08219166666667</v>
      </c>
      <c r="I1125" s="4">
        <f t="shared" ca="1" si="95"/>
        <v>23.817350000000001</v>
      </c>
      <c r="J1125" s="4">
        <f t="shared" ca="1" si="95"/>
        <v>23.709291666666662</v>
      </c>
      <c r="K1125" s="4"/>
      <c r="L1125" s="5">
        <f t="shared" ca="1" si="96"/>
        <v>355.53689999999995</v>
      </c>
      <c r="M1125" s="5">
        <f t="shared" ca="1" si="96"/>
        <v>142.0401</v>
      </c>
      <c r="N1125" s="5">
        <f t="shared" ca="1" si="96"/>
        <v>58.217499999999994</v>
      </c>
      <c r="O1125" s="5">
        <f t="shared" ca="1" si="96"/>
        <v>4.4046000000000003</v>
      </c>
      <c r="P1125" s="5">
        <f t="shared" ca="1" si="96"/>
        <v>15.220499999999998</v>
      </c>
      <c r="Q1125" s="5">
        <f t="shared" ca="1" si="96"/>
        <v>231.81149999999997</v>
      </c>
      <c r="R1125" s="4"/>
      <c r="S1125" s="4"/>
    </row>
    <row r="1126" spans="1:19" ht="15" customHeight="1">
      <c r="A1126" s="3">
        <f t="shared" si="94"/>
        <v>2078</v>
      </c>
      <c r="B1126" s="4">
        <f t="shared" ca="1" si="95"/>
        <v>25.02698333333333</v>
      </c>
      <c r="C1126" s="4">
        <f t="shared" ca="1" si="95"/>
        <v>25.033241666666669</v>
      </c>
      <c r="D1126" s="4">
        <f t="shared" ca="1" si="95"/>
        <v>25.021524999999997</v>
      </c>
      <c r="E1126" s="4">
        <f t="shared" ca="1" si="95"/>
        <v>25.024983333333335</v>
      </c>
      <c r="F1126" s="4">
        <f t="shared" ca="1" si="95"/>
        <v>25.716825</v>
      </c>
      <c r="G1126" s="4">
        <f t="shared" ca="1" si="95"/>
        <v>24.738100000000003</v>
      </c>
      <c r="H1126" s="4">
        <f t="shared" ca="1" si="95"/>
        <v>25.662308333333332</v>
      </c>
      <c r="I1126" s="4">
        <f t="shared" ca="1" si="95"/>
        <v>24.387299999999996</v>
      </c>
      <c r="J1126" s="4">
        <f t="shared" ca="1" si="95"/>
        <v>24.278958333333335</v>
      </c>
      <c r="K1126" s="4"/>
      <c r="L1126" s="5">
        <f t="shared" ca="1" si="96"/>
        <v>355.53689999999995</v>
      </c>
      <c r="M1126" s="5">
        <f t="shared" ca="1" si="96"/>
        <v>142.0401</v>
      </c>
      <c r="N1126" s="5">
        <f t="shared" ca="1" si="96"/>
        <v>58.217499999999994</v>
      </c>
      <c r="O1126" s="5">
        <f t="shared" ca="1" si="96"/>
        <v>4.4046000000000003</v>
      </c>
      <c r="P1126" s="5">
        <f t="shared" ca="1" si="96"/>
        <v>15.220499999999998</v>
      </c>
      <c r="Q1126" s="5">
        <f t="shared" ca="1" si="96"/>
        <v>231.81149999999997</v>
      </c>
      <c r="R1126" s="4"/>
      <c r="S1126" s="4"/>
    </row>
    <row r="1127" spans="1:19" ht="15" customHeight="1">
      <c r="A1127" s="3">
        <f t="shared" si="94"/>
        <v>2079</v>
      </c>
      <c r="B1127" s="4">
        <f t="shared" ca="1" si="95"/>
        <v>25.628058333333332</v>
      </c>
      <c r="C1127" s="4">
        <f t="shared" ca="1" si="95"/>
        <v>25.634325</v>
      </c>
      <c r="D1127" s="4">
        <f t="shared" ca="1" si="95"/>
        <v>25.622608333333336</v>
      </c>
      <c r="E1127" s="4">
        <f t="shared" ca="1" si="95"/>
        <v>25.626066666666663</v>
      </c>
      <c r="F1127" s="4">
        <f t="shared" ca="1" si="95"/>
        <v>26.317916666666665</v>
      </c>
      <c r="G1127" s="4">
        <f t="shared" ca="1" si="95"/>
        <v>25.332149999999999</v>
      </c>
      <c r="H1127" s="4">
        <f t="shared" ca="1" si="95"/>
        <v>26.256349999999998</v>
      </c>
      <c r="I1127" s="4">
        <f t="shared" ca="1" si="95"/>
        <v>24.970941666666665</v>
      </c>
      <c r="J1127" s="4">
        <f t="shared" ca="1" si="95"/>
        <v>24.862333333333339</v>
      </c>
      <c r="K1127" s="4"/>
      <c r="L1127" s="5">
        <f t="shared" ca="1" si="96"/>
        <v>355.53689999999995</v>
      </c>
      <c r="M1127" s="5">
        <f t="shared" ca="1" si="96"/>
        <v>142.0401</v>
      </c>
      <c r="N1127" s="5">
        <f t="shared" ca="1" si="96"/>
        <v>58.217499999999994</v>
      </c>
      <c r="O1127" s="5">
        <f t="shared" ca="1" si="96"/>
        <v>4.4046000000000003</v>
      </c>
      <c r="P1127" s="5">
        <f t="shared" ca="1" si="96"/>
        <v>15.220499999999998</v>
      </c>
      <c r="Q1127" s="5">
        <f t="shared" ca="1" si="96"/>
        <v>231.81149999999997</v>
      </c>
      <c r="R1127" s="4"/>
      <c r="S1127" s="4"/>
    </row>
    <row r="1128" spans="1:19" ht="15" customHeight="1">
      <c r="A1128" s="3">
        <f t="shared" si="94"/>
        <v>2080</v>
      </c>
      <c r="B1128" s="4">
        <f t="shared" ca="1" si="95"/>
        <v>26.243591666666664</v>
      </c>
      <c r="C1128" s="4">
        <f t="shared" ca="1" si="95"/>
        <v>26.249833333333338</v>
      </c>
      <c r="D1128" s="4">
        <f t="shared" ca="1" si="95"/>
        <v>26.238150000000001</v>
      </c>
      <c r="E1128" s="4">
        <f t="shared" ca="1" si="95"/>
        <v>26.241583333333335</v>
      </c>
      <c r="F1128" s="4">
        <f t="shared" ca="1" si="95"/>
        <v>26.933441666666663</v>
      </c>
      <c r="G1128" s="4">
        <f t="shared" ca="1" si="95"/>
        <v>25.940491666666663</v>
      </c>
      <c r="H1128" s="4">
        <f t="shared" ca="1" si="95"/>
        <v>26.864666666666668</v>
      </c>
      <c r="I1128" s="4">
        <f t="shared" ca="1" si="95"/>
        <v>25.568624999999997</v>
      </c>
      <c r="J1128" s="4">
        <f t="shared" ca="1" si="95"/>
        <v>25.459699999999998</v>
      </c>
      <c r="K1128" s="4"/>
      <c r="L1128" s="5">
        <f t="shared" ca="1" si="96"/>
        <v>356.48229999999995</v>
      </c>
      <c r="M1128" s="5">
        <f t="shared" ca="1" si="96"/>
        <v>142.42920000000001</v>
      </c>
      <c r="N1128" s="5">
        <f t="shared" ca="1" si="96"/>
        <v>58.377000000000002</v>
      </c>
      <c r="O1128" s="5">
        <f t="shared" ca="1" si="96"/>
        <v>4.4165999999999999</v>
      </c>
      <c r="P1128" s="5">
        <f t="shared" ca="1" si="96"/>
        <v>15.262199999999998</v>
      </c>
      <c r="Q1128" s="5">
        <f t="shared" ca="1" si="96"/>
        <v>232.44659999999996</v>
      </c>
      <c r="R1128" s="4"/>
      <c r="S1128" s="4"/>
    </row>
    <row r="1129" spans="1:19" ht="15" customHeight="1">
      <c r="A1129" s="3">
        <f t="shared" si="94"/>
        <v>2081</v>
      </c>
      <c r="B1129" s="4">
        <f t="shared" ca="1" si="95"/>
        <v>26.873908333333333</v>
      </c>
      <c r="C1129" s="4">
        <f t="shared" ca="1" si="95"/>
        <v>26.880166666666668</v>
      </c>
      <c r="D1129" s="4">
        <f t="shared" ca="1" si="95"/>
        <v>26.868458333333336</v>
      </c>
      <c r="E1129" s="4">
        <f t="shared" ca="1" si="95"/>
        <v>26.871916666666664</v>
      </c>
      <c r="F1129" s="4">
        <f t="shared" ca="1" si="95"/>
        <v>27.563749999999999</v>
      </c>
      <c r="G1129" s="4">
        <f t="shared" ca="1" si="95"/>
        <v>26.563425000000006</v>
      </c>
      <c r="H1129" s="4">
        <f t="shared" ca="1" si="95"/>
        <v>27.4876</v>
      </c>
      <c r="I1129" s="4">
        <f t="shared" ca="1" si="95"/>
        <v>26.180650000000004</v>
      </c>
      <c r="J1129" s="4">
        <f t="shared" ca="1" si="95"/>
        <v>26.071433333333335</v>
      </c>
      <c r="K1129" s="4"/>
      <c r="L1129" s="5">
        <f t="shared" ca="1" si="96"/>
        <v>355.53689999999995</v>
      </c>
      <c r="M1129" s="5">
        <f t="shared" ca="1" si="96"/>
        <v>142.0401</v>
      </c>
      <c r="N1129" s="5">
        <f t="shared" ca="1" si="96"/>
        <v>58.217499999999994</v>
      </c>
      <c r="O1129" s="5">
        <f t="shared" ca="1" si="96"/>
        <v>4.4046000000000003</v>
      </c>
      <c r="P1129" s="5">
        <f t="shared" ca="1" si="96"/>
        <v>15.220499999999998</v>
      </c>
      <c r="Q1129" s="5">
        <f t="shared" ca="1" si="96"/>
        <v>231.81149999999997</v>
      </c>
      <c r="R1129" s="4"/>
      <c r="S1129" s="4"/>
    </row>
    <row r="1130" spans="1:19" ht="15" customHeight="1">
      <c r="A1130" s="3">
        <f t="shared" si="94"/>
        <v>2082</v>
      </c>
      <c r="B1130" s="4">
        <f t="shared" ref="B1130:J1139" ca="1" si="97">AVERAGE(OFFSET(B$593,($A1130-$A$1110)*12,0,12,1))</f>
        <v>27.519366666666667</v>
      </c>
      <c r="C1130" s="4">
        <f t="shared" ca="1" si="97"/>
        <v>27.525625000000002</v>
      </c>
      <c r="D1130" s="4">
        <f t="shared" ca="1" si="97"/>
        <v>27.513924999999997</v>
      </c>
      <c r="E1130" s="4">
        <f t="shared" ca="1" si="97"/>
        <v>27.517366666666664</v>
      </c>
      <c r="F1130" s="4">
        <f t="shared" ca="1" si="97"/>
        <v>28.209216666666666</v>
      </c>
      <c r="G1130" s="4">
        <f t="shared" ca="1" si="97"/>
        <v>27.201316666666667</v>
      </c>
      <c r="H1130" s="4">
        <f t="shared" ca="1" si="97"/>
        <v>28.125491666666665</v>
      </c>
      <c r="I1130" s="4">
        <f t="shared" ca="1" si="97"/>
        <v>26.807391666666671</v>
      </c>
      <c r="J1130" s="4">
        <f t="shared" ca="1" si="97"/>
        <v>26.697858333333333</v>
      </c>
      <c r="K1130" s="4"/>
      <c r="L1130" s="5">
        <f t="shared" ref="L1130:Q1139" ca="1" si="98">SUM(OFFSET(L$593,($A1130-$A$1110)*12,0,12,1))</f>
        <v>355.53689999999995</v>
      </c>
      <c r="M1130" s="5">
        <f t="shared" ca="1" si="98"/>
        <v>142.0401</v>
      </c>
      <c r="N1130" s="5">
        <f t="shared" ca="1" si="98"/>
        <v>58.217499999999994</v>
      </c>
      <c r="O1130" s="5">
        <f t="shared" ca="1" si="98"/>
        <v>4.4046000000000003</v>
      </c>
      <c r="P1130" s="5">
        <f t="shared" ca="1" si="98"/>
        <v>15.220499999999998</v>
      </c>
      <c r="Q1130" s="5">
        <f t="shared" ca="1" si="98"/>
        <v>231.81149999999997</v>
      </c>
      <c r="R1130" s="4"/>
      <c r="S1130" s="4"/>
    </row>
    <row r="1131" spans="1:19" ht="15" customHeight="1">
      <c r="A1131" s="3">
        <f t="shared" si="94"/>
        <v>2083</v>
      </c>
      <c r="B1131" s="4">
        <f t="shared" ca="1" si="97"/>
        <v>28.180341666666674</v>
      </c>
      <c r="C1131" s="4">
        <f t="shared" ca="1" si="97"/>
        <v>28.186608333333336</v>
      </c>
      <c r="D1131" s="4">
        <f t="shared" ca="1" si="97"/>
        <v>28.174899999999994</v>
      </c>
      <c r="E1131" s="4">
        <f t="shared" ca="1" si="97"/>
        <v>28.178350000000005</v>
      </c>
      <c r="F1131" s="4">
        <f t="shared" ca="1" si="97"/>
        <v>28.870183333333333</v>
      </c>
      <c r="G1131" s="4">
        <f t="shared" ca="1" si="97"/>
        <v>27.854541666666666</v>
      </c>
      <c r="H1131" s="4">
        <f t="shared" ca="1" si="97"/>
        <v>28.778725000000005</v>
      </c>
      <c r="I1131" s="4">
        <f t="shared" ca="1" si="97"/>
        <v>27.449183333333334</v>
      </c>
      <c r="J1131" s="4">
        <f t="shared" ca="1" si="97"/>
        <v>27.339299999999994</v>
      </c>
      <c r="K1131" s="4"/>
      <c r="L1131" s="5">
        <f t="shared" ca="1" si="98"/>
        <v>355.53689999999995</v>
      </c>
      <c r="M1131" s="5">
        <f t="shared" ca="1" si="98"/>
        <v>142.0401</v>
      </c>
      <c r="N1131" s="5">
        <f t="shared" ca="1" si="98"/>
        <v>58.217499999999994</v>
      </c>
      <c r="O1131" s="5">
        <f t="shared" ca="1" si="98"/>
        <v>4.4046000000000003</v>
      </c>
      <c r="P1131" s="5">
        <f t="shared" ca="1" si="98"/>
        <v>15.220499999999998</v>
      </c>
      <c r="Q1131" s="5">
        <f t="shared" ca="1" si="98"/>
        <v>231.81149999999997</v>
      </c>
      <c r="R1131" s="4"/>
      <c r="S1131" s="4"/>
    </row>
    <row r="1132" spans="1:19" ht="15" customHeight="1">
      <c r="A1132" s="3">
        <f t="shared" si="94"/>
        <v>2084</v>
      </c>
      <c r="B1132" s="4">
        <f t="shared" ca="1" si="97"/>
        <v>28.857191666666665</v>
      </c>
      <c r="C1132" s="4">
        <f t="shared" ca="1" si="97"/>
        <v>28.863466666666671</v>
      </c>
      <c r="D1132" s="4">
        <f t="shared" ca="1" si="97"/>
        <v>28.851741666666669</v>
      </c>
      <c r="E1132" s="4">
        <f t="shared" ca="1" si="97"/>
        <v>28.855199999999996</v>
      </c>
      <c r="F1132" s="4">
        <f t="shared" ca="1" si="97"/>
        <v>29.547041666666669</v>
      </c>
      <c r="G1132" s="4">
        <f t="shared" ca="1" si="97"/>
        <v>28.523466666666664</v>
      </c>
      <c r="H1132" s="4">
        <f t="shared" ca="1" si="97"/>
        <v>29.447666666666663</v>
      </c>
      <c r="I1132" s="4">
        <f t="shared" ca="1" si="97"/>
        <v>28.106391666666667</v>
      </c>
      <c r="J1132" s="4">
        <f t="shared" ca="1" si="97"/>
        <v>27.996191666666661</v>
      </c>
      <c r="K1132" s="4"/>
      <c r="L1132" s="5">
        <f t="shared" ca="1" si="98"/>
        <v>356.48229999999995</v>
      </c>
      <c r="M1132" s="5">
        <f t="shared" ca="1" si="98"/>
        <v>142.42920000000001</v>
      </c>
      <c r="N1132" s="5">
        <f t="shared" ca="1" si="98"/>
        <v>58.377000000000002</v>
      </c>
      <c r="O1132" s="5">
        <f t="shared" ca="1" si="98"/>
        <v>4.4165999999999999</v>
      </c>
      <c r="P1132" s="5">
        <f t="shared" ca="1" si="98"/>
        <v>15.262199999999998</v>
      </c>
      <c r="Q1132" s="5">
        <f t="shared" ca="1" si="98"/>
        <v>232.44659999999996</v>
      </c>
      <c r="R1132" s="4"/>
      <c r="S1132" s="4"/>
    </row>
    <row r="1133" spans="1:19" ht="15" customHeight="1">
      <c r="A1133" s="3">
        <f t="shared" si="94"/>
        <v>2085</v>
      </c>
      <c r="B1133" s="4">
        <f t="shared" ca="1" si="97"/>
        <v>29.550316666666671</v>
      </c>
      <c r="C1133" s="4">
        <f t="shared" ca="1" si="97"/>
        <v>29.556574999999995</v>
      </c>
      <c r="D1133" s="4">
        <f t="shared" ca="1" si="97"/>
        <v>29.544858333333334</v>
      </c>
      <c r="E1133" s="4">
        <f t="shared" ca="1" si="97"/>
        <v>29.548324999999995</v>
      </c>
      <c r="F1133" s="4">
        <f t="shared" ca="1" si="97"/>
        <v>30.240150000000003</v>
      </c>
      <c r="G1133" s="4">
        <f t="shared" ca="1" si="97"/>
        <v>29.208474999999996</v>
      </c>
      <c r="H1133" s="4">
        <f t="shared" ca="1" si="97"/>
        <v>30.132666666666665</v>
      </c>
      <c r="I1133" s="4">
        <f t="shared" ca="1" si="97"/>
        <v>28.779391666666665</v>
      </c>
      <c r="J1133" s="4">
        <f t="shared" ca="1" si="97"/>
        <v>28.66888333333333</v>
      </c>
      <c r="K1133" s="4"/>
      <c r="L1133" s="5">
        <f t="shared" ca="1" si="98"/>
        <v>355.53689999999995</v>
      </c>
      <c r="M1133" s="5">
        <f t="shared" ca="1" si="98"/>
        <v>142.0401</v>
      </c>
      <c r="N1133" s="5">
        <f t="shared" ca="1" si="98"/>
        <v>58.217499999999994</v>
      </c>
      <c r="O1133" s="5">
        <f t="shared" ca="1" si="98"/>
        <v>4.4046000000000003</v>
      </c>
      <c r="P1133" s="5">
        <f t="shared" ca="1" si="98"/>
        <v>15.220499999999998</v>
      </c>
      <c r="Q1133" s="5">
        <f t="shared" ca="1" si="98"/>
        <v>231.81149999999997</v>
      </c>
      <c r="R1133" s="4"/>
      <c r="S1133" s="4"/>
    </row>
    <row r="1134" spans="1:19" ht="15" customHeight="1">
      <c r="A1134" s="3">
        <f t="shared" si="94"/>
        <v>2086</v>
      </c>
      <c r="B1134" s="4">
        <f t="shared" ca="1" si="97"/>
        <v>30.260083333333338</v>
      </c>
      <c r="C1134" s="4">
        <f t="shared" ca="1" si="97"/>
        <v>30.266341666666666</v>
      </c>
      <c r="D1134" s="4">
        <f t="shared" ca="1" si="97"/>
        <v>30.254625000000001</v>
      </c>
      <c r="E1134" s="4">
        <f t="shared" ca="1" si="97"/>
        <v>30.258075000000002</v>
      </c>
      <c r="F1134" s="4">
        <f t="shared" ca="1" si="97"/>
        <v>30.949933333333338</v>
      </c>
      <c r="G1134" s="4">
        <f t="shared" ca="1" si="97"/>
        <v>29.909933333333331</v>
      </c>
      <c r="H1134" s="4">
        <f t="shared" ca="1" si="97"/>
        <v>30.83413333333333</v>
      </c>
      <c r="I1134" s="4">
        <f t="shared" ca="1" si="97"/>
        <v>29.468574999999998</v>
      </c>
      <c r="J1134" s="4">
        <f t="shared" ca="1" si="97"/>
        <v>29.357708333333335</v>
      </c>
      <c r="K1134" s="4"/>
      <c r="L1134" s="5">
        <f t="shared" ca="1" si="98"/>
        <v>355.53689999999995</v>
      </c>
      <c r="M1134" s="5">
        <f t="shared" ca="1" si="98"/>
        <v>142.0401</v>
      </c>
      <c r="N1134" s="5">
        <f t="shared" ca="1" si="98"/>
        <v>58.217499999999994</v>
      </c>
      <c r="O1134" s="5">
        <f t="shared" ca="1" si="98"/>
        <v>4.4046000000000003</v>
      </c>
      <c r="P1134" s="5">
        <f t="shared" ca="1" si="98"/>
        <v>15.220499999999998</v>
      </c>
      <c r="Q1134" s="5">
        <f t="shared" ca="1" si="98"/>
        <v>231.81149999999997</v>
      </c>
      <c r="R1134" s="4"/>
      <c r="S1134" s="4"/>
    </row>
    <row r="1135" spans="1:19" ht="15" customHeight="1">
      <c r="A1135" s="3">
        <f t="shared" si="94"/>
        <v>2087</v>
      </c>
      <c r="B1135" s="4">
        <f t="shared" ca="1" si="97"/>
        <v>30.986916666666662</v>
      </c>
      <c r="C1135" s="4">
        <f t="shared" ca="1" si="97"/>
        <v>30.993175000000004</v>
      </c>
      <c r="D1135" s="4">
        <f t="shared" ca="1" si="97"/>
        <v>30.981449999999995</v>
      </c>
      <c r="E1135" s="4">
        <f t="shared" ca="1" si="97"/>
        <v>30.984908333333337</v>
      </c>
      <c r="F1135" s="4">
        <f t="shared" ca="1" si="97"/>
        <v>31.676749999999998</v>
      </c>
      <c r="G1135" s="4">
        <f t="shared" ca="1" si="97"/>
        <v>30.628241666666668</v>
      </c>
      <c r="H1135" s="4">
        <f t="shared" ca="1" si="97"/>
        <v>31.552424999999999</v>
      </c>
      <c r="I1135" s="4">
        <f t="shared" ca="1" si="97"/>
        <v>30.174325</v>
      </c>
      <c r="J1135" s="4">
        <f t="shared" ca="1" si="97"/>
        <v>30.063100000000002</v>
      </c>
      <c r="K1135" s="4"/>
      <c r="L1135" s="5">
        <f t="shared" ca="1" si="98"/>
        <v>355.53689999999995</v>
      </c>
      <c r="M1135" s="5">
        <f t="shared" ca="1" si="98"/>
        <v>142.0401</v>
      </c>
      <c r="N1135" s="5">
        <f t="shared" ca="1" si="98"/>
        <v>58.217499999999994</v>
      </c>
      <c r="O1135" s="5">
        <f t="shared" ca="1" si="98"/>
        <v>4.4046000000000003</v>
      </c>
      <c r="P1135" s="5">
        <f t="shared" ca="1" si="98"/>
        <v>15.220499999999998</v>
      </c>
      <c r="Q1135" s="5">
        <f t="shared" ca="1" si="98"/>
        <v>231.81149999999997</v>
      </c>
      <c r="R1135" s="4"/>
      <c r="S1135" s="4"/>
    </row>
    <row r="1136" spans="1:19" ht="15" customHeight="1">
      <c r="A1136" s="3">
        <f t="shared" si="94"/>
        <v>2088</v>
      </c>
      <c r="B1136" s="4">
        <f t="shared" ca="1" si="97"/>
        <v>31.731200000000001</v>
      </c>
      <c r="C1136" s="4">
        <f t="shared" ca="1" si="97"/>
        <v>31.737449999999999</v>
      </c>
      <c r="D1136" s="4">
        <f t="shared" ca="1" si="97"/>
        <v>31.725741666666675</v>
      </c>
      <c r="E1136" s="4">
        <f t="shared" ca="1" si="97"/>
        <v>31.729199999999995</v>
      </c>
      <c r="F1136" s="4">
        <f t="shared" ca="1" si="97"/>
        <v>32.421033333333334</v>
      </c>
      <c r="G1136" s="4">
        <f t="shared" ca="1" si="97"/>
        <v>31.363816666666661</v>
      </c>
      <c r="H1136" s="4">
        <f t="shared" ca="1" si="97"/>
        <v>32.28799166666667</v>
      </c>
      <c r="I1136" s="4">
        <f t="shared" ca="1" si="97"/>
        <v>30.897008333333332</v>
      </c>
      <c r="J1136" s="4">
        <f t="shared" ca="1" si="97"/>
        <v>30.785416666666663</v>
      </c>
      <c r="K1136" s="4"/>
      <c r="L1136" s="5">
        <f t="shared" ca="1" si="98"/>
        <v>356.48229999999995</v>
      </c>
      <c r="M1136" s="5">
        <f t="shared" ca="1" si="98"/>
        <v>142.42920000000001</v>
      </c>
      <c r="N1136" s="5">
        <f t="shared" ca="1" si="98"/>
        <v>58.377000000000002</v>
      </c>
      <c r="O1136" s="5">
        <f t="shared" ca="1" si="98"/>
        <v>4.4165999999999999</v>
      </c>
      <c r="P1136" s="5">
        <f t="shared" ca="1" si="98"/>
        <v>15.262199999999998</v>
      </c>
      <c r="Q1136" s="5">
        <f t="shared" ca="1" si="98"/>
        <v>232.44659999999996</v>
      </c>
      <c r="R1136" s="4"/>
      <c r="S1136" s="4"/>
    </row>
    <row r="1137" spans="1:19" ht="15" customHeight="1">
      <c r="A1137" s="3">
        <f t="shared" si="94"/>
        <v>2089</v>
      </c>
      <c r="B1137" s="4">
        <f t="shared" ca="1" si="97"/>
        <v>32.493358333333333</v>
      </c>
      <c r="C1137" s="4">
        <f t="shared" ca="1" si="97"/>
        <v>32.499625000000002</v>
      </c>
      <c r="D1137" s="4">
        <f t="shared" ca="1" si="97"/>
        <v>32.487916666666663</v>
      </c>
      <c r="E1137" s="4">
        <f t="shared" ca="1" si="97"/>
        <v>32.491358333333331</v>
      </c>
      <c r="F1137" s="4">
        <f t="shared" ca="1" si="97"/>
        <v>33.183208333333333</v>
      </c>
      <c r="G1137" s="4">
        <f t="shared" ca="1" si="97"/>
        <v>32.117049999999999</v>
      </c>
      <c r="H1137" s="4">
        <f t="shared" ca="1" si="97"/>
        <v>33.041258333333332</v>
      </c>
      <c r="I1137" s="4">
        <f t="shared" ca="1" si="97"/>
        <v>31.637041666666665</v>
      </c>
      <c r="J1137" s="4">
        <f t="shared" ca="1" si="97"/>
        <v>31.525108333333332</v>
      </c>
      <c r="K1137" s="4"/>
      <c r="L1137" s="5">
        <f t="shared" ca="1" si="98"/>
        <v>355.53689999999995</v>
      </c>
      <c r="M1137" s="5">
        <f t="shared" ca="1" si="98"/>
        <v>142.0401</v>
      </c>
      <c r="N1137" s="5">
        <f t="shared" ca="1" si="98"/>
        <v>58.217499999999994</v>
      </c>
      <c r="O1137" s="5">
        <f t="shared" ca="1" si="98"/>
        <v>4.4046000000000003</v>
      </c>
      <c r="P1137" s="5">
        <f t="shared" ca="1" si="98"/>
        <v>15.220499999999998</v>
      </c>
      <c r="Q1137" s="5">
        <f t="shared" ca="1" si="98"/>
        <v>231.81149999999997</v>
      </c>
      <c r="R1137" s="4"/>
      <c r="S1137" s="4"/>
    </row>
    <row r="1138" spans="1:19" ht="15" customHeight="1">
      <c r="A1138" s="3">
        <f t="shared" si="94"/>
        <v>2090</v>
      </c>
      <c r="B1138" s="4">
        <f t="shared" ca="1" si="97"/>
        <v>33.273850000000003</v>
      </c>
      <c r="C1138" s="4">
        <f t="shared" ca="1" si="97"/>
        <v>33.280116666666665</v>
      </c>
      <c r="D1138" s="4">
        <f t="shared" ca="1" si="97"/>
        <v>33.268399999999993</v>
      </c>
      <c r="E1138" s="4">
        <f t="shared" ca="1" si="97"/>
        <v>33.271866666666661</v>
      </c>
      <c r="F1138" s="4">
        <f t="shared" ca="1" si="97"/>
        <v>33.963691666666662</v>
      </c>
      <c r="G1138" s="4">
        <f t="shared" ca="1" si="97"/>
        <v>32.888416666666664</v>
      </c>
      <c r="H1138" s="4">
        <f t="shared" ca="1" si="97"/>
        <v>33.812608333333337</v>
      </c>
      <c r="I1138" s="4">
        <f t="shared" ca="1" si="97"/>
        <v>32.394908333333341</v>
      </c>
      <c r="J1138" s="4">
        <f t="shared" ca="1" si="97"/>
        <v>32.282583333333328</v>
      </c>
      <c r="K1138" s="4"/>
      <c r="L1138" s="5">
        <f t="shared" ca="1" si="98"/>
        <v>355.53689999999995</v>
      </c>
      <c r="M1138" s="5">
        <f t="shared" ca="1" si="98"/>
        <v>142.0401</v>
      </c>
      <c r="N1138" s="5">
        <f t="shared" ca="1" si="98"/>
        <v>58.217499999999994</v>
      </c>
      <c r="O1138" s="5">
        <f t="shared" ca="1" si="98"/>
        <v>4.4046000000000003</v>
      </c>
      <c r="P1138" s="5">
        <f t="shared" ca="1" si="98"/>
        <v>15.220499999999998</v>
      </c>
      <c r="Q1138" s="5">
        <f t="shared" ca="1" si="98"/>
        <v>231.81149999999997</v>
      </c>
      <c r="R1138" s="4"/>
      <c r="S1138" s="4"/>
    </row>
    <row r="1139" spans="1:19" ht="15" customHeight="1">
      <c r="A1139" s="3">
        <f t="shared" si="94"/>
        <v>2091</v>
      </c>
      <c r="B1139" s="4">
        <f t="shared" ca="1" si="97"/>
        <v>34.073100000000004</v>
      </c>
      <c r="C1139" s="4">
        <f t="shared" ca="1" si="97"/>
        <v>34.079341666666664</v>
      </c>
      <c r="D1139" s="4">
        <f t="shared" ca="1" si="97"/>
        <v>34.067633333333333</v>
      </c>
      <c r="E1139" s="4">
        <f t="shared" ca="1" si="97"/>
        <v>34.071083333333327</v>
      </c>
      <c r="F1139" s="4">
        <f t="shared" ca="1" si="97"/>
        <v>34.762925000000003</v>
      </c>
      <c r="G1139" s="4">
        <f t="shared" ca="1" si="97"/>
        <v>33.678291666666674</v>
      </c>
      <c r="H1139" s="4">
        <f t="shared" ca="1" si="97"/>
        <v>34.602474999999998</v>
      </c>
      <c r="I1139" s="4">
        <f t="shared" ca="1" si="97"/>
        <v>33.17093333333333</v>
      </c>
      <c r="J1139" s="4">
        <f t="shared" ca="1" si="97"/>
        <v>33.058233333333327</v>
      </c>
      <c r="K1139" s="4"/>
      <c r="L1139" s="5">
        <f t="shared" ca="1" si="98"/>
        <v>355.53689999999995</v>
      </c>
      <c r="M1139" s="5">
        <f t="shared" ca="1" si="98"/>
        <v>142.0401</v>
      </c>
      <c r="N1139" s="5">
        <f t="shared" ca="1" si="98"/>
        <v>58.217499999999994</v>
      </c>
      <c r="O1139" s="5">
        <f t="shared" ca="1" si="98"/>
        <v>4.4046000000000003</v>
      </c>
      <c r="P1139" s="5">
        <f t="shared" ca="1" si="98"/>
        <v>15.220499999999998</v>
      </c>
      <c r="Q1139" s="5">
        <f t="shared" ca="1" si="98"/>
        <v>231.81149999999997</v>
      </c>
      <c r="R1139" s="4"/>
      <c r="S1139" s="4"/>
    </row>
    <row r="1140" spans="1:19" ht="15" customHeight="1">
      <c r="A1140" s="3">
        <f t="shared" si="94"/>
        <v>2092</v>
      </c>
      <c r="B1140" s="4">
        <f t="shared" ref="B1140:J1148" ca="1" si="99">AVERAGE(OFFSET(B$593,($A1140-$A$1110)*12,0,12,1))</f>
        <v>34.891541666666662</v>
      </c>
      <c r="C1140" s="4">
        <f t="shared" ca="1" si="99"/>
        <v>34.897783333333329</v>
      </c>
      <c r="D1140" s="4">
        <f t="shared" ca="1" si="99"/>
        <v>34.886074999999998</v>
      </c>
      <c r="E1140" s="4">
        <f t="shared" ca="1" si="99"/>
        <v>34.889524999999999</v>
      </c>
      <c r="F1140" s="4">
        <f t="shared" ca="1" si="99"/>
        <v>35.581366666666661</v>
      </c>
      <c r="G1140" s="4">
        <f t="shared" ca="1" si="99"/>
        <v>34.487141666666666</v>
      </c>
      <c r="H1140" s="4">
        <f t="shared" ca="1" si="99"/>
        <v>35.411324999999998</v>
      </c>
      <c r="I1140" s="4">
        <f t="shared" ca="1" si="99"/>
        <v>33.965625000000003</v>
      </c>
      <c r="J1140" s="4">
        <f t="shared" ca="1" si="99"/>
        <v>33.852533333333334</v>
      </c>
      <c r="K1140" s="4"/>
      <c r="L1140" s="5">
        <f t="shared" ref="L1140:Q1148" ca="1" si="100">SUM(OFFSET(L$593,($A1140-$A$1110)*12,0,12,1))</f>
        <v>356.48229999999995</v>
      </c>
      <c r="M1140" s="5">
        <f t="shared" ca="1" si="100"/>
        <v>142.42920000000001</v>
      </c>
      <c r="N1140" s="5">
        <f t="shared" ca="1" si="100"/>
        <v>58.377000000000002</v>
      </c>
      <c r="O1140" s="5">
        <f t="shared" ca="1" si="100"/>
        <v>4.4165999999999999</v>
      </c>
      <c r="P1140" s="5">
        <f t="shared" ca="1" si="100"/>
        <v>15.262199999999998</v>
      </c>
      <c r="Q1140" s="5">
        <f t="shared" ca="1" si="100"/>
        <v>232.44659999999996</v>
      </c>
      <c r="R1140" s="4"/>
      <c r="S1140" s="4"/>
    </row>
    <row r="1141" spans="1:19" ht="15" customHeight="1">
      <c r="A1141" s="3">
        <f t="shared" si="94"/>
        <v>2093</v>
      </c>
      <c r="B1141" s="4">
        <f t="shared" ca="1" si="99"/>
        <v>35.729633333333332</v>
      </c>
      <c r="C1141" s="4">
        <f t="shared" ca="1" si="99"/>
        <v>35.735908333333334</v>
      </c>
      <c r="D1141" s="4">
        <f t="shared" ca="1" si="99"/>
        <v>35.72417500000001</v>
      </c>
      <c r="E1141" s="4">
        <f t="shared" ca="1" si="99"/>
        <v>35.727633333333337</v>
      </c>
      <c r="F1141" s="4">
        <f t="shared" ca="1" si="99"/>
        <v>36.419483333333339</v>
      </c>
      <c r="G1141" s="4">
        <f t="shared" ca="1" si="99"/>
        <v>35.315441666666672</v>
      </c>
      <c r="H1141" s="4">
        <f t="shared" ca="1" si="99"/>
        <v>36.239608333333337</v>
      </c>
      <c r="I1141" s="4">
        <f t="shared" ca="1" si="99"/>
        <v>34.779424999999996</v>
      </c>
      <c r="J1141" s="4">
        <f t="shared" ca="1" si="99"/>
        <v>34.665900000000001</v>
      </c>
      <c r="K1141" s="4"/>
      <c r="L1141" s="5">
        <f t="shared" ca="1" si="100"/>
        <v>355.53689999999995</v>
      </c>
      <c r="M1141" s="5">
        <f t="shared" ca="1" si="100"/>
        <v>142.0401</v>
      </c>
      <c r="N1141" s="5">
        <f t="shared" ca="1" si="100"/>
        <v>58.217499999999994</v>
      </c>
      <c r="O1141" s="5">
        <f t="shared" ca="1" si="100"/>
        <v>4.4046000000000003</v>
      </c>
      <c r="P1141" s="5">
        <f t="shared" ca="1" si="100"/>
        <v>15.220499999999998</v>
      </c>
      <c r="Q1141" s="5">
        <f t="shared" ca="1" si="100"/>
        <v>231.81149999999997</v>
      </c>
      <c r="R1141" s="4"/>
      <c r="S1141" s="4"/>
    </row>
    <row r="1142" spans="1:19" ht="15" customHeight="1">
      <c r="A1142" s="3">
        <f t="shared" si="94"/>
        <v>2094</v>
      </c>
      <c r="B1142" s="4">
        <f t="shared" ca="1" si="99"/>
        <v>36.587874999999997</v>
      </c>
      <c r="C1142" s="4">
        <f t="shared" ca="1" si="99"/>
        <v>36.594116666666658</v>
      </c>
      <c r="D1142" s="4">
        <f t="shared" ca="1" si="99"/>
        <v>36.582424999999994</v>
      </c>
      <c r="E1142" s="4">
        <f t="shared" ca="1" si="99"/>
        <v>36.585874999999994</v>
      </c>
      <c r="F1142" s="4">
        <f t="shared" ca="1" si="99"/>
        <v>37.277716666666663</v>
      </c>
      <c r="G1142" s="4">
        <f t="shared" ca="1" si="99"/>
        <v>36.16363333333333</v>
      </c>
      <c r="H1142" s="4">
        <f t="shared" ca="1" si="99"/>
        <v>37.087808333333335</v>
      </c>
      <c r="I1142" s="4">
        <f t="shared" ca="1" si="99"/>
        <v>35.612766666666666</v>
      </c>
      <c r="J1142" s="4">
        <f t="shared" ca="1" si="99"/>
        <v>35.49883333333333</v>
      </c>
      <c r="K1142" s="4"/>
      <c r="L1142" s="5">
        <f t="shared" ca="1" si="100"/>
        <v>355.53689999999995</v>
      </c>
      <c r="M1142" s="5">
        <f t="shared" ca="1" si="100"/>
        <v>142.0401</v>
      </c>
      <c r="N1142" s="5">
        <f t="shared" ca="1" si="100"/>
        <v>58.217499999999994</v>
      </c>
      <c r="O1142" s="5">
        <f t="shared" ca="1" si="100"/>
        <v>4.4046000000000003</v>
      </c>
      <c r="P1142" s="5">
        <f t="shared" ca="1" si="100"/>
        <v>15.220499999999998</v>
      </c>
      <c r="Q1142" s="5">
        <f t="shared" ca="1" si="100"/>
        <v>231.81149999999997</v>
      </c>
      <c r="R1142" s="4"/>
      <c r="S1142" s="4"/>
    </row>
    <row r="1143" spans="1:19" ht="15" customHeight="1">
      <c r="A1143" s="3">
        <f t="shared" si="94"/>
        <v>2095</v>
      </c>
      <c r="B1143" s="4">
        <f t="shared" ca="1" si="99"/>
        <v>37.466749999999998</v>
      </c>
      <c r="C1143" s="4">
        <f t="shared" ca="1" si="99"/>
        <v>37.473000000000006</v>
      </c>
      <c r="D1143" s="4">
        <f t="shared" ca="1" si="99"/>
        <v>37.461300000000001</v>
      </c>
      <c r="E1143" s="4">
        <f t="shared" ca="1" si="99"/>
        <v>37.464741666666662</v>
      </c>
      <c r="F1143" s="4">
        <f t="shared" ca="1" si="99"/>
        <v>38.156583333333337</v>
      </c>
      <c r="G1143" s="4">
        <f t="shared" ca="1" si="99"/>
        <v>37.032200000000003</v>
      </c>
      <c r="H1143" s="4">
        <f t="shared" ca="1" si="99"/>
        <v>37.956391666666661</v>
      </c>
      <c r="I1143" s="4">
        <f t="shared" ca="1" si="99"/>
        <v>36.466124999999998</v>
      </c>
      <c r="J1143" s="4">
        <f t="shared" ca="1" si="99"/>
        <v>36.351758333333329</v>
      </c>
      <c r="K1143" s="4"/>
      <c r="L1143" s="5">
        <f t="shared" ca="1" si="100"/>
        <v>355.53689999999995</v>
      </c>
      <c r="M1143" s="5">
        <f t="shared" ca="1" si="100"/>
        <v>142.0401</v>
      </c>
      <c r="N1143" s="5">
        <f t="shared" ca="1" si="100"/>
        <v>58.217499999999994</v>
      </c>
      <c r="O1143" s="5">
        <f t="shared" ca="1" si="100"/>
        <v>4.4046000000000003</v>
      </c>
      <c r="P1143" s="5">
        <f t="shared" ca="1" si="100"/>
        <v>15.220499999999998</v>
      </c>
      <c r="Q1143" s="5">
        <f t="shared" ca="1" si="100"/>
        <v>231.81149999999997</v>
      </c>
      <c r="R1143" s="4"/>
      <c r="S1143" s="4"/>
    </row>
    <row r="1144" spans="1:19" ht="15" customHeight="1">
      <c r="A1144" s="3">
        <f t="shared" si="94"/>
        <v>2096</v>
      </c>
      <c r="B1144" s="4">
        <f t="shared" ca="1" si="99"/>
        <v>38.36672500000001</v>
      </c>
      <c r="C1144" s="4">
        <f t="shared" ca="1" si="99"/>
        <v>38.372991666666664</v>
      </c>
      <c r="D1144" s="4">
        <f t="shared" ca="1" si="99"/>
        <v>38.361274999999999</v>
      </c>
      <c r="E1144" s="4">
        <f t="shared" ca="1" si="99"/>
        <v>38.364733333333341</v>
      </c>
      <c r="F1144" s="4">
        <f t="shared" ca="1" si="99"/>
        <v>39.056558333333328</v>
      </c>
      <c r="G1144" s="4">
        <f t="shared" ca="1" si="99"/>
        <v>37.921641666666666</v>
      </c>
      <c r="H1144" s="4">
        <f t="shared" ca="1" si="99"/>
        <v>38.845841666666665</v>
      </c>
      <c r="I1144" s="4">
        <f t="shared" ca="1" si="99"/>
        <v>37.340000000000003</v>
      </c>
      <c r="J1144" s="4">
        <f t="shared" ca="1" si="99"/>
        <v>37.22519166666666</v>
      </c>
      <c r="K1144" s="4"/>
      <c r="L1144" s="5">
        <f t="shared" ca="1" si="100"/>
        <v>356.48229999999995</v>
      </c>
      <c r="M1144" s="5">
        <f t="shared" ca="1" si="100"/>
        <v>142.42920000000001</v>
      </c>
      <c r="N1144" s="5">
        <f t="shared" ca="1" si="100"/>
        <v>58.377000000000002</v>
      </c>
      <c r="O1144" s="5">
        <f t="shared" ca="1" si="100"/>
        <v>4.4165999999999999</v>
      </c>
      <c r="P1144" s="5">
        <f t="shared" ca="1" si="100"/>
        <v>15.262199999999998</v>
      </c>
      <c r="Q1144" s="5">
        <f t="shared" ca="1" si="100"/>
        <v>232.44659999999996</v>
      </c>
      <c r="R1144" s="4"/>
      <c r="S1144" s="4"/>
    </row>
    <row r="1145" spans="1:19" ht="15" customHeight="1">
      <c r="A1145" s="3">
        <f t="shared" si="94"/>
        <v>2097</v>
      </c>
      <c r="B1145" s="4">
        <f t="shared" ca="1" si="99"/>
        <v>39.288325</v>
      </c>
      <c r="C1145" s="4">
        <f t="shared" ca="1" si="99"/>
        <v>39.294583333333328</v>
      </c>
      <c r="D1145" s="4">
        <f t="shared" ca="1" si="99"/>
        <v>39.282866666666663</v>
      </c>
      <c r="E1145" s="4">
        <f t="shared" ca="1" si="99"/>
        <v>39.286324999999998</v>
      </c>
      <c r="F1145" s="4">
        <f t="shared" ca="1" si="99"/>
        <v>39.978166666666667</v>
      </c>
      <c r="G1145" s="4">
        <f t="shared" ca="1" si="99"/>
        <v>38.832458333333335</v>
      </c>
      <c r="H1145" s="4">
        <f t="shared" ca="1" si="99"/>
        <v>39.75665</v>
      </c>
      <c r="I1145" s="4">
        <f t="shared" ca="1" si="99"/>
        <v>38.234866666666669</v>
      </c>
      <c r="J1145" s="4">
        <f t="shared" ca="1" si="99"/>
        <v>38.119624999999999</v>
      </c>
      <c r="K1145" s="4"/>
      <c r="L1145" s="5">
        <f t="shared" ca="1" si="100"/>
        <v>355.53689999999995</v>
      </c>
      <c r="M1145" s="5">
        <f t="shared" ca="1" si="100"/>
        <v>142.0401</v>
      </c>
      <c r="N1145" s="5">
        <f t="shared" ca="1" si="100"/>
        <v>58.217499999999994</v>
      </c>
      <c r="O1145" s="5">
        <f t="shared" ca="1" si="100"/>
        <v>4.4046000000000003</v>
      </c>
      <c r="P1145" s="5">
        <f t="shared" ca="1" si="100"/>
        <v>15.220499999999998</v>
      </c>
      <c r="Q1145" s="5">
        <f t="shared" ca="1" si="100"/>
        <v>231.81149999999997</v>
      </c>
      <c r="R1145" s="4"/>
      <c r="S1145" s="4"/>
    </row>
    <row r="1146" spans="1:19" ht="15" customHeight="1">
      <c r="A1146" s="3">
        <f t="shared" si="94"/>
        <v>2098</v>
      </c>
      <c r="B1146" s="4">
        <f t="shared" ca="1" si="99"/>
        <v>40.232091666666662</v>
      </c>
      <c r="C1146" s="4">
        <f t="shared" ca="1" si="99"/>
        <v>40.238324999999996</v>
      </c>
      <c r="D1146" s="4">
        <f t="shared" ca="1" si="99"/>
        <v>40.226624999999999</v>
      </c>
      <c r="E1146" s="4">
        <f t="shared" ca="1" si="99"/>
        <v>40.230075000000006</v>
      </c>
      <c r="F1146" s="4">
        <f t="shared" ca="1" si="99"/>
        <v>40.921916666666668</v>
      </c>
      <c r="G1146" s="4">
        <f t="shared" ca="1" si="99"/>
        <v>39.765150000000006</v>
      </c>
      <c r="H1146" s="4">
        <f t="shared" ca="1" si="99"/>
        <v>40.689341666666657</v>
      </c>
      <c r="I1146" s="4">
        <f t="shared" ca="1" si="99"/>
        <v>39.15123333333333</v>
      </c>
      <c r="J1146" s="4">
        <f t="shared" ca="1" si="99"/>
        <v>39.035533333333341</v>
      </c>
      <c r="K1146" s="4"/>
      <c r="L1146" s="5">
        <f t="shared" ca="1" si="100"/>
        <v>355.53689999999995</v>
      </c>
      <c r="M1146" s="5">
        <f t="shared" ca="1" si="100"/>
        <v>142.0401</v>
      </c>
      <c r="N1146" s="5">
        <f t="shared" ca="1" si="100"/>
        <v>58.217499999999994</v>
      </c>
      <c r="O1146" s="5">
        <f t="shared" ca="1" si="100"/>
        <v>4.4046000000000003</v>
      </c>
      <c r="P1146" s="5">
        <f t="shared" ca="1" si="100"/>
        <v>15.220499999999998</v>
      </c>
      <c r="Q1146" s="5">
        <f t="shared" ca="1" si="100"/>
        <v>231.81149999999997</v>
      </c>
      <c r="R1146" s="4"/>
      <c r="S1146" s="4"/>
    </row>
    <row r="1147" spans="1:19" ht="15" customHeight="1">
      <c r="A1147" s="3">
        <f t="shared" si="94"/>
        <v>2099</v>
      </c>
      <c r="B1147" s="4">
        <f t="shared" ca="1" si="99"/>
        <v>41.198508333333329</v>
      </c>
      <c r="C1147" s="4">
        <f t="shared" ca="1" si="99"/>
        <v>41.204766666666664</v>
      </c>
      <c r="D1147" s="4">
        <f t="shared" ca="1" si="99"/>
        <v>41.193049999999999</v>
      </c>
      <c r="E1147" s="4">
        <f t="shared" ca="1" si="99"/>
        <v>41.1965</v>
      </c>
      <c r="F1147" s="4">
        <f t="shared" ca="1" si="99"/>
        <v>41.888349999999996</v>
      </c>
      <c r="G1147" s="4">
        <f t="shared" ca="1" si="99"/>
        <v>40.720266666666667</v>
      </c>
      <c r="H1147" s="4">
        <f t="shared" ca="1" si="99"/>
        <v>41.644433333333332</v>
      </c>
      <c r="I1147" s="4">
        <f t="shared" ca="1" si="99"/>
        <v>40.089608333333331</v>
      </c>
      <c r="J1147" s="4">
        <f t="shared" ca="1" si="99"/>
        <v>39.973441666666666</v>
      </c>
      <c r="K1147" s="4"/>
      <c r="L1147" s="5">
        <f t="shared" ca="1" si="100"/>
        <v>355.53689999999995</v>
      </c>
      <c r="M1147" s="5">
        <f t="shared" ca="1" si="100"/>
        <v>142.0401</v>
      </c>
      <c r="N1147" s="5">
        <f t="shared" ca="1" si="100"/>
        <v>58.217499999999994</v>
      </c>
      <c r="O1147" s="5">
        <f t="shared" ca="1" si="100"/>
        <v>4.4046000000000003</v>
      </c>
      <c r="P1147" s="5">
        <f t="shared" ca="1" si="100"/>
        <v>15.220499999999998</v>
      </c>
      <c r="Q1147" s="5">
        <f t="shared" ca="1" si="100"/>
        <v>231.81149999999997</v>
      </c>
      <c r="R1147" s="4"/>
      <c r="S1147" s="4"/>
    </row>
    <row r="1148" spans="1:19" ht="15" customHeight="1">
      <c r="A1148" s="3">
        <f t="shared" si="94"/>
        <v>2100</v>
      </c>
      <c r="B1148" s="4">
        <f t="shared" ca="1" si="99"/>
        <v>42.18815</v>
      </c>
      <c r="C1148" s="4">
        <f t="shared" ca="1" si="99"/>
        <v>42.194408333333321</v>
      </c>
      <c r="D1148" s="4">
        <f t="shared" ca="1" si="99"/>
        <v>42.182691666666663</v>
      </c>
      <c r="E1148" s="4">
        <f t="shared" ca="1" si="99"/>
        <v>42.186141666666671</v>
      </c>
      <c r="F1148" s="4">
        <f t="shared" ca="1" si="99"/>
        <v>42.877991666666667</v>
      </c>
      <c r="G1148" s="4">
        <f t="shared" ca="1" si="99"/>
        <v>41.698308333333337</v>
      </c>
      <c r="H1148" s="4">
        <f t="shared" ca="1" si="99"/>
        <v>42.622500000000009</v>
      </c>
      <c r="I1148" s="4">
        <f t="shared" ca="1" si="99"/>
        <v>41.050558333333335</v>
      </c>
      <c r="J1148" s="4">
        <f t="shared" ca="1" si="99"/>
        <v>40.933908333333335</v>
      </c>
      <c r="K1148" s="4"/>
      <c r="L1148" s="5">
        <f t="shared" ca="1" si="100"/>
        <v>355.53689999999995</v>
      </c>
      <c r="M1148" s="5">
        <f t="shared" ca="1" si="100"/>
        <v>142.0401</v>
      </c>
      <c r="N1148" s="5">
        <f t="shared" ca="1" si="100"/>
        <v>58.217499999999994</v>
      </c>
      <c r="O1148" s="5">
        <f t="shared" ca="1" si="100"/>
        <v>4.4046000000000003</v>
      </c>
      <c r="P1148" s="5">
        <f t="shared" ca="1" si="100"/>
        <v>15.220499999999998</v>
      </c>
      <c r="Q1148" s="5">
        <f t="shared" ca="1" si="100"/>
        <v>231.81149999999997</v>
      </c>
      <c r="R1148" s="4"/>
      <c r="S1148" s="4"/>
    </row>
    <row r="1149" spans="1:19">
      <c r="A1149" s="3"/>
    </row>
    <row r="1150" spans="1:19">
      <c r="A1150" s="3"/>
    </row>
    <row r="1151" spans="1:19">
      <c r="A1151" s="3"/>
    </row>
    <row r="1152" spans="1:19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</sheetData>
  <mergeCells count="2">
    <mergeCell ref="L13:S13"/>
    <mergeCell ref="L14:S14"/>
  </mergeCells>
  <pageMargins left="0.25" right="0.25" top="0.5" bottom="0.5" header="0.25" footer="0.25"/>
  <pageSetup paperSize="5" scale="70" orientation="landscape" horizontalDpi="1200" verticalDpi="1200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0</xdr:colOff>
                    <xdr:row>11</xdr:row>
                    <xdr:rowOff>171450</xdr:rowOff>
                  </from>
                  <to>
                    <xdr:col>4</xdr:col>
                    <xdr:colOff>533400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4</xdr:col>
                    <xdr:colOff>533400</xdr:colOff>
                    <xdr:row>11</xdr:row>
                    <xdr:rowOff>171450</xdr:rowOff>
                  </from>
                  <to>
                    <xdr:col>6</xdr:col>
                    <xdr:colOff>257175</xdr:colOff>
                    <xdr:row>13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T1168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J36" sqref="J36"/>
    </sheetView>
  </sheetViews>
  <sheetFormatPr defaultColWidth="7.109375" defaultRowHeight="12.75"/>
  <cols>
    <col min="1" max="1" width="7.5546875" style="37" bestFit="1" customWidth="1"/>
    <col min="2" max="2" width="7.88671875" style="37" customWidth="1"/>
    <col min="3" max="7" width="11.33203125" style="36" customWidth="1"/>
    <col min="8" max="8" width="12.77734375" style="36" bestFit="1" customWidth="1"/>
    <col min="9" max="9" width="13.21875" style="36" customWidth="1"/>
    <col min="10" max="10" width="12.77734375" style="36" customWidth="1"/>
    <col min="11" max="11" width="7.77734375" style="36" customWidth="1"/>
    <col min="12" max="16384" width="7.109375" style="36"/>
  </cols>
  <sheetData>
    <row r="1" spans="1:10" ht="15.75">
      <c r="A1" s="88" t="s">
        <v>64</v>
      </c>
    </row>
    <row r="2" spans="1:10" ht="15.75">
      <c r="A2" s="88" t="s">
        <v>65</v>
      </c>
    </row>
    <row r="3" spans="1:10" ht="15.75">
      <c r="A3" s="88" t="s">
        <v>66</v>
      </c>
    </row>
    <row r="4" spans="1:10" ht="15.75">
      <c r="A4" s="88" t="s">
        <v>67</v>
      </c>
    </row>
    <row r="5" spans="1:10" ht="15.75">
      <c r="A5" s="88" t="s">
        <v>69</v>
      </c>
    </row>
    <row r="6" spans="1:10" ht="15.75">
      <c r="A6" s="88" t="s">
        <v>70</v>
      </c>
    </row>
    <row r="8" spans="1:10" ht="20.25">
      <c r="A8" s="35" t="s">
        <v>35</v>
      </c>
    </row>
    <row r="9" spans="1:10" ht="15.75">
      <c r="A9" s="34" t="s">
        <v>25</v>
      </c>
    </row>
    <row r="11" spans="1:10">
      <c r="A11" s="36"/>
    </row>
    <row r="12" spans="1:10" ht="15.75">
      <c r="A12" s="36"/>
      <c r="B12" s="34"/>
      <c r="C12" s="57"/>
      <c r="I12" s="28"/>
    </row>
    <row r="13" spans="1:10" ht="15.75">
      <c r="A13" s="34"/>
      <c r="B13" s="34"/>
      <c r="C13" s="57"/>
      <c r="I13" s="28"/>
    </row>
    <row r="14" spans="1:10" ht="15.75">
      <c r="A14" s="34"/>
      <c r="C14" s="90" t="s">
        <v>34</v>
      </c>
      <c r="D14" s="90"/>
      <c r="E14" s="90"/>
      <c r="F14" s="56"/>
      <c r="G14" s="55"/>
      <c r="H14" s="54"/>
      <c r="I14" s="53"/>
    </row>
    <row r="15" spans="1:10" ht="97.9" customHeight="1">
      <c r="A15" s="22"/>
      <c r="B15" s="22"/>
      <c r="C15" s="25" t="s">
        <v>20</v>
      </c>
      <c r="D15" s="52" t="s">
        <v>19</v>
      </c>
      <c r="E15" s="25" t="s">
        <v>33</v>
      </c>
      <c r="F15" s="25" t="s">
        <v>32</v>
      </c>
      <c r="G15" s="25" t="s">
        <v>16</v>
      </c>
      <c r="H15" s="51" t="s">
        <v>31</v>
      </c>
      <c r="I15" s="25" t="s">
        <v>30</v>
      </c>
      <c r="J15" s="25" t="s">
        <v>29</v>
      </c>
    </row>
    <row r="16" spans="1:10" ht="15.75">
      <c r="A16" s="24" t="s">
        <v>2</v>
      </c>
      <c r="B16" s="24" t="s">
        <v>28</v>
      </c>
      <c r="C16" s="24" t="s">
        <v>27</v>
      </c>
      <c r="D16" s="24" t="s">
        <v>27</v>
      </c>
      <c r="E16" s="24" t="s">
        <v>27</v>
      </c>
      <c r="F16" s="24" t="s">
        <v>27</v>
      </c>
      <c r="G16" s="24" t="s">
        <v>27</v>
      </c>
      <c r="H16" s="50" t="s">
        <v>27</v>
      </c>
      <c r="I16" s="24" t="s">
        <v>27</v>
      </c>
      <c r="J16" s="24" t="s">
        <v>27</v>
      </c>
    </row>
    <row r="17" spans="1:20" ht="15.75">
      <c r="A17" s="13">
        <v>41640</v>
      </c>
      <c r="B17" s="48">
        <v>31</v>
      </c>
      <c r="C17" s="39">
        <v>122.58</v>
      </c>
      <c r="D17" s="39">
        <v>297.94099999999997</v>
      </c>
      <c r="E17" s="45">
        <v>729.47900000000004</v>
      </c>
      <c r="F17" s="39">
        <v>1150</v>
      </c>
      <c r="G17" s="39">
        <v>100</v>
      </c>
      <c r="H17" s="47"/>
      <c r="I17" s="39">
        <v>695</v>
      </c>
      <c r="J17" s="39">
        <v>50</v>
      </c>
      <c r="K17" s="40"/>
      <c r="L17" s="49"/>
      <c r="M17" s="40"/>
      <c r="N17" s="40"/>
      <c r="O17" s="40"/>
      <c r="P17" s="40"/>
      <c r="Q17" s="40"/>
      <c r="R17" s="40"/>
      <c r="S17" s="40"/>
      <c r="T17" s="40"/>
    </row>
    <row r="18" spans="1:20" ht="15.75">
      <c r="A18" s="13">
        <v>41671</v>
      </c>
      <c r="B18" s="48">
        <v>30</v>
      </c>
      <c r="C18" s="39">
        <v>122.58</v>
      </c>
      <c r="D18" s="39">
        <v>297.94099999999997</v>
      </c>
      <c r="E18" s="45">
        <v>729.47900000000004</v>
      </c>
      <c r="F18" s="39">
        <v>1150</v>
      </c>
      <c r="G18" s="39">
        <v>100</v>
      </c>
      <c r="H18" s="47"/>
      <c r="I18" s="39">
        <v>695</v>
      </c>
      <c r="J18" s="39">
        <v>50</v>
      </c>
      <c r="K18" s="40"/>
      <c r="L18" s="49"/>
      <c r="M18" s="40"/>
      <c r="N18" s="40"/>
      <c r="O18" s="40"/>
      <c r="P18" s="40"/>
      <c r="Q18" s="40"/>
      <c r="R18" s="40"/>
      <c r="S18" s="40"/>
      <c r="T18" s="40"/>
    </row>
    <row r="19" spans="1:20" ht="15.75">
      <c r="A19" s="13">
        <v>41699</v>
      </c>
      <c r="B19" s="48">
        <v>31</v>
      </c>
      <c r="C19" s="39">
        <v>122.58</v>
      </c>
      <c r="D19" s="39">
        <v>297.94099999999997</v>
      </c>
      <c r="E19" s="45">
        <v>729.47900000000004</v>
      </c>
      <c r="F19" s="39">
        <v>1150</v>
      </c>
      <c r="G19" s="39">
        <v>100</v>
      </c>
      <c r="H19" s="47"/>
      <c r="I19" s="39">
        <v>695</v>
      </c>
      <c r="J19" s="39">
        <v>50</v>
      </c>
      <c r="K19" s="40"/>
      <c r="L19" s="49"/>
      <c r="M19" s="40"/>
      <c r="N19" s="40"/>
      <c r="O19" s="40"/>
      <c r="P19" s="40"/>
      <c r="Q19" s="40"/>
      <c r="R19" s="40"/>
      <c r="S19" s="40"/>
      <c r="T19" s="40"/>
    </row>
    <row r="20" spans="1:20" ht="15.75">
      <c r="A20" s="13">
        <v>41730</v>
      </c>
      <c r="B20" s="48">
        <v>30</v>
      </c>
      <c r="C20" s="39">
        <v>141.29300000000001</v>
      </c>
      <c r="D20" s="39">
        <v>267.99299999999999</v>
      </c>
      <c r="E20" s="45">
        <v>829.71400000000006</v>
      </c>
      <c r="F20" s="39">
        <v>1239</v>
      </c>
      <c r="G20" s="39">
        <v>100</v>
      </c>
      <c r="H20" s="47"/>
      <c r="I20" s="39">
        <v>695</v>
      </c>
      <c r="J20" s="39">
        <v>50</v>
      </c>
      <c r="K20" s="40"/>
      <c r="L20" s="49"/>
      <c r="M20" s="40"/>
      <c r="N20" s="40"/>
      <c r="O20" s="40"/>
      <c r="P20" s="40"/>
      <c r="Q20" s="40"/>
      <c r="R20" s="40"/>
      <c r="S20" s="40"/>
      <c r="T20" s="40"/>
    </row>
    <row r="21" spans="1:20" ht="15.75">
      <c r="A21" s="13">
        <v>41760</v>
      </c>
      <c r="B21" s="48">
        <v>31</v>
      </c>
      <c r="C21" s="39">
        <v>194.20500000000001</v>
      </c>
      <c r="D21" s="39">
        <v>267.46600000000001</v>
      </c>
      <c r="E21" s="45">
        <v>862.32899999999995</v>
      </c>
      <c r="F21" s="39">
        <v>1324</v>
      </c>
      <c r="G21" s="39">
        <v>75</v>
      </c>
      <c r="H21" s="47"/>
      <c r="I21" s="39">
        <v>695</v>
      </c>
      <c r="J21" s="39">
        <v>50</v>
      </c>
      <c r="K21" s="40"/>
      <c r="L21" s="49"/>
      <c r="M21" s="40"/>
      <c r="N21" s="40"/>
      <c r="O21" s="40"/>
      <c r="P21" s="40"/>
      <c r="Q21" s="40"/>
      <c r="R21" s="40"/>
      <c r="S21" s="40"/>
      <c r="T21" s="40"/>
    </row>
    <row r="22" spans="1:20" ht="15.75">
      <c r="A22" s="13">
        <v>41791</v>
      </c>
      <c r="B22" s="48">
        <v>30</v>
      </c>
      <c r="C22" s="39">
        <v>194.20500000000001</v>
      </c>
      <c r="D22" s="39">
        <v>267.46600000000001</v>
      </c>
      <c r="E22" s="45">
        <v>862.32899999999995</v>
      </c>
      <c r="F22" s="39">
        <v>1324</v>
      </c>
      <c r="G22" s="39">
        <v>50</v>
      </c>
      <c r="H22" s="47"/>
      <c r="I22" s="39">
        <v>695</v>
      </c>
      <c r="J22" s="39">
        <v>50</v>
      </c>
      <c r="K22" s="40"/>
      <c r="L22" s="49"/>
      <c r="M22" s="40"/>
      <c r="N22" s="40"/>
      <c r="O22" s="40"/>
      <c r="P22" s="40"/>
      <c r="Q22" s="40"/>
      <c r="R22" s="40"/>
      <c r="S22" s="40"/>
      <c r="T22" s="40"/>
    </row>
    <row r="23" spans="1:20" ht="15.75">
      <c r="A23" s="13">
        <v>41821</v>
      </c>
      <c r="B23" s="48">
        <v>31</v>
      </c>
      <c r="C23" s="39">
        <v>194.20500000000001</v>
      </c>
      <c r="D23" s="39">
        <v>267.46600000000001</v>
      </c>
      <c r="E23" s="45">
        <v>862.32899999999995</v>
      </c>
      <c r="F23" s="39">
        <v>1324</v>
      </c>
      <c r="G23" s="39">
        <v>50</v>
      </c>
      <c r="H23" s="47"/>
      <c r="I23" s="39">
        <v>695</v>
      </c>
      <c r="J23" s="39">
        <v>0</v>
      </c>
      <c r="K23" s="40"/>
      <c r="L23" s="49"/>
      <c r="M23" s="40"/>
      <c r="N23" s="40"/>
      <c r="O23" s="40"/>
      <c r="P23" s="40"/>
      <c r="Q23" s="40"/>
      <c r="R23" s="40"/>
      <c r="S23" s="40"/>
      <c r="T23" s="40"/>
    </row>
    <row r="24" spans="1:20" ht="15.75">
      <c r="A24" s="13">
        <v>41852</v>
      </c>
      <c r="B24" s="48">
        <v>31</v>
      </c>
      <c r="C24" s="39">
        <v>194.20500000000001</v>
      </c>
      <c r="D24" s="39">
        <v>267.46600000000001</v>
      </c>
      <c r="E24" s="45">
        <v>862.32899999999995</v>
      </c>
      <c r="F24" s="39">
        <v>1324</v>
      </c>
      <c r="G24" s="39">
        <v>50</v>
      </c>
      <c r="H24" s="47"/>
      <c r="I24" s="39">
        <v>695</v>
      </c>
      <c r="J24" s="39">
        <v>0</v>
      </c>
      <c r="K24" s="40"/>
      <c r="L24" s="49"/>
      <c r="M24" s="40"/>
      <c r="N24" s="40"/>
      <c r="O24" s="40"/>
      <c r="P24" s="40"/>
      <c r="Q24" s="40"/>
      <c r="R24" s="40"/>
      <c r="S24" s="40"/>
      <c r="T24" s="40"/>
    </row>
    <row r="25" spans="1:20" ht="15.75">
      <c r="A25" s="13">
        <v>41883</v>
      </c>
      <c r="B25" s="48">
        <v>30</v>
      </c>
      <c r="C25" s="39">
        <v>194.20500000000001</v>
      </c>
      <c r="D25" s="39">
        <v>267.46600000000001</v>
      </c>
      <c r="E25" s="45">
        <v>862.32899999999995</v>
      </c>
      <c r="F25" s="39">
        <v>1324</v>
      </c>
      <c r="G25" s="39">
        <v>50</v>
      </c>
      <c r="H25" s="47"/>
      <c r="I25" s="39">
        <v>695</v>
      </c>
      <c r="J25" s="39">
        <v>0</v>
      </c>
      <c r="K25" s="40"/>
      <c r="L25" s="49"/>
      <c r="M25" s="40"/>
      <c r="N25" s="40"/>
      <c r="O25" s="40"/>
      <c r="P25" s="40"/>
      <c r="Q25" s="40"/>
      <c r="R25" s="40"/>
      <c r="S25" s="40"/>
      <c r="T25" s="40"/>
    </row>
    <row r="26" spans="1:20" ht="15.75">
      <c r="A26" s="13">
        <v>41913</v>
      </c>
      <c r="B26" s="48">
        <v>31</v>
      </c>
      <c r="C26" s="39">
        <v>131.881</v>
      </c>
      <c r="D26" s="39">
        <v>277.16699999999997</v>
      </c>
      <c r="E26" s="45">
        <v>829.952</v>
      </c>
      <c r="F26" s="39">
        <v>1239</v>
      </c>
      <c r="G26" s="39">
        <v>75</v>
      </c>
      <c r="H26" s="47"/>
      <c r="I26" s="39">
        <v>695</v>
      </c>
      <c r="J26" s="39">
        <v>0</v>
      </c>
      <c r="K26" s="40"/>
      <c r="L26" s="49"/>
      <c r="M26" s="40"/>
      <c r="N26" s="40"/>
      <c r="O26" s="40"/>
      <c r="P26" s="40"/>
      <c r="Q26" s="40"/>
      <c r="R26" s="40"/>
      <c r="S26" s="40"/>
      <c r="T26" s="40"/>
    </row>
    <row r="27" spans="1:20" ht="15.75">
      <c r="A27" s="13">
        <v>41944</v>
      </c>
      <c r="B27" s="48">
        <v>30</v>
      </c>
      <c r="C27" s="39">
        <v>122.58</v>
      </c>
      <c r="D27" s="39">
        <v>297.94099999999997</v>
      </c>
      <c r="E27" s="45">
        <v>729.47900000000004</v>
      </c>
      <c r="F27" s="39">
        <v>1150</v>
      </c>
      <c r="G27" s="39">
        <v>100</v>
      </c>
      <c r="H27" s="47"/>
      <c r="I27" s="39">
        <v>695</v>
      </c>
      <c r="J27" s="39">
        <v>50</v>
      </c>
      <c r="K27" s="40"/>
      <c r="L27" s="49"/>
      <c r="M27" s="40"/>
      <c r="N27" s="40"/>
      <c r="O27" s="40"/>
      <c r="P27" s="40"/>
      <c r="Q27" s="40"/>
      <c r="R27" s="40"/>
      <c r="S27" s="40"/>
      <c r="T27" s="40"/>
    </row>
    <row r="28" spans="1:20" ht="15.75">
      <c r="A28" s="13">
        <v>41974</v>
      </c>
      <c r="B28" s="48">
        <v>31</v>
      </c>
      <c r="C28" s="39">
        <v>122.58</v>
      </c>
      <c r="D28" s="39">
        <v>297.94099999999997</v>
      </c>
      <c r="E28" s="45">
        <v>729.47900000000004</v>
      </c>
      <c r="F28" s="39">
        <v>1150</v>
      </c>
      <c r="G28" s="39">
        <v>100</v>
      </c>
      <c r="H28" s="47"/>
      <c r="I28" s="39">
        <v>695</v>
      </c>
      <c r="J28" s="39">
        <v>50</v>
      </c>
      <c r="K28" s="40"/>
      <c r="L28" s="49"/>
      <c r="M28" s="40"/>
      <c r="N28" s="40"/>
      <c r="O28" s="40"/>
      <c r="P28" s="40"/>
      <c r="Q28" s="40"/>
      <c r="R28" s="40"/>
      <c r="S28" s="40"/>
      <c r="T28" s="40"/>
    </row>
    <row r="29" spans="1:20" ht="15.75">
      <c r="A29" s="13">
        <v>42005</v>
      </c>
      <c r="B29" s="48">
        <v>31</v>
      </c>
      <c r="C29" s="39">
        <v>122.58</v>
      </c>
      <c r="D29" s="39">
        <v>297.94099999999997</v>
      </c>
      <c r="E29" s="45">
        <v>729.47900000000004</v>
      </c>
      <c r="F29" s="39">
        <v>1150</v>
      </c>
      <c r="G29" s="39">
        <v>100</v>
      </c>
      <c r="H29" s="47"/>
      <c r="I29" s="39">
        <v>695</v>
      </c>
      <c r="J29" s="39">
        <v>50</v>
      </c>
      <c r="K29" s="40"/>
      <c r="L29" s="49"/>
      <c r="M29" s="40"/>
      <c r="N29" s="40"/>
      <c r="O29" s="40"/>
      <c r="P29" s="40"/>
      <c r="Q29" s="40"/>
      <c r="R29" s="40"/>
      <c r="S29" s="40"/>
      <c r="T29" s="40"/>
    </row>
    <row r="30" spans="1:20" ht="15.75">
      <c r="A30" s="13">
        <v>42036</v>
      </c>
      <c r="B30" s="48">
        <v>28</v>
      </c>
      <c r="C30" s="39">
        <v>122.58</v>
      </c>
      <c r="D30" s="39">
        <v>297.94099999999997</v>
      </c>
      <c r="E30" s="45">
        <v>729.47900000000004</v>
      </c>
      <c r="F30" s="39">
        <v>1150</v>
      </c>
      <c r="G30" s="39">
        <v>100</v>
      </c>
      <c r="H30" s="47"/>
      <c r="I30" s="39">
        <v>695</v>
      </c>
      <c r="J30" s="39">
        <v>50</v>
      </c>
      <c r="K30" s="40"/>
      <c r="L30" s="49"/>
      <c r="M30" s="40"/>
      <c r="N30" s="40"/>
      <c r="O30" s="40"/>
      <c r="P30" s="40"/>
      <c r="Q30" s="40"/>
      <c r="R30" s="40"/>
      <c r="S30" s="40"/>
      <c r="T30" s="40"/>
    </row>
    <row r="31" spans="1:20" ht="15.75">
      <c r="A31" s="13">
        <v>42064</v>
      </c>
      <c r="B31" s="48">
        <v>31</v>
      </c>
      <c r="C31" s="39">
        <v>122.58</v>
      </c>
      <c r="D31" s="39">
        <v>297.94099999999997</v>
      </c>
      <c r="E31" s="45">
        <v>729.47900000000004</v>
      </c>
      <c r="F31" s="39">
        <v>1150</v>
      </c>
      <c r="G31" s="39">
        <v>100</v>
      </c>
      <c r="H31" s="47"/>
      <c r="I31" s="39">
        <v>695</v>
      </c>
      <c r="J31" s="39">
        <v>50</v>
      </c>
      <c r="K31" s="40"/>
      <c r="L31" s="49"/>
      <c r="M31" s="40"/>
      <c r="N31" s="40"/>
      <c r="O31" s="40"/>
      <c r="P31" s="40"/>
      <c r="Q31" s="40"/>
      <c r="R31" s="40"/>
      <c r="S31" s="40"/>
      <c r="T31" s="40"/>
    </row>
    <row r="32" spans="1:20" ht="15.75">
      <c r="A32" s="13">
        <v>42095</v>
      </c>
      <c r="B32" s="48">
        <v>30</v>
      </c>
      <c r="C32" s="39">
        <v>141.29300000000001</v>
      </c>
      <c r="D32" s="39">
        <v>267.99299999999999</v>
      </c>
      <c r="E32" s="45">
        <v>829.71400000000006</v>
      </c>
      <c r="F32" s="39">
        <v>1239</v>
      </c>
      <c r="G32" s="39">
        <v>100</v>
      </c>
      <c r="H32" s="47"/>
      <c r="I32" s="39">
        <v>695</v>
      </c>
      <c r="J32" s="39">
        <v>50</v>
      </c>
      <c r="K32" s="40"/>
      <c r="L32" s="49"/>
      <c r="M32" s="40"/>
      <c r="N32" s="40"/>
      <c r="O32" s="40"/>
      <c r="P32" s="40"/>
      <c r="Q32" s="40"/>
      <c r="R32" s="40"/>
      <c r="S32" s="40"/>
      <c r="T32" s="40"/>
    </row>
    <row r="33" spans="1:20" ht="15.75">
      <c r="A33" s="13">
        <v>42125</v>
      </c>
      <c r="B33" s="48">
        <v>31</v>
      </c>
      <c r="C33" s="39">
        <v>194.20500000000001</v>
      </c>
      <c r="D33" s="39">
        <v>267.46600000000001</v>
      </c>
      <c r="E33" s="45">
        <v>862.32899999999995</v>
      </c>
      <c r="F33" s="39">
        <v>1324</v>
      </c>
      <c r="G33" s="39">
        <v>75</v>
      </c>
      <c r="H33" s="47"/>
      <c r="I33" s="39">
        <v>695</v>
      </c>
      <c r="J33" s="39">
        <v>50</v>
      </c>
      <c r="K33" s="40"/>
      <c r="L33" s="49"/>
      <c r="M33" s="40"/>
      <c r="N33" s="40"/>
      <c r="O33" s="40"/>
      <c r="P33" s="40"/>
      <c r="Q33" s="40"/>
      <c r="R33" s="40"/>
      <c r="S33" s="40"/>
      <c r="T33" s="40"/>
    </row>
    <row r="34" spans="1:20" ht="15.75">
      <c r="A34" s="13">
        <v>42156</v>
      </c>
      <c r="B34" s="48">
        <v>30</v>
      </c>
      <c r="C34" s="39">
        <v>194.20500000000001</v>
      </c>
      <c r="D34" s="39">
        <v>267.46600000000001</v>
      </c>
      <c r="E34" s="45">
        <v>862.32899999999995</v>
      </c>
      <c r="F34" s="39">
        <v>1324</v>
      </c>
      <c r="G34" s="39">
        <v>50</v>
      </c>
      <c r="H34" s="47"/>
      <c r="I34" s="39">
        <v>695</v>
      </c>
      <c r="J34" s="39">
        <v>50</v>
      </c>
      <c r="K34" s="40"/>
      <c r="L34" s="49"/>
      <c r="M34" s="40"/>
      <c r="N34" s="40"/>
      <c r="O34" s="40"/>
      <c r="P34" s="40"/>
      <c r="Q34" s="40"/>
      <c r="R34" s="40"/>
      <c r="S34" s="40"/>
      <c r="T34" s="40"/>
    </row>
    <row r="35" spans="1:20" ht="15.75">
      <c r="A35" s="13">
        <v>42186</v>
      </c>
      <c r="B35" s="48">
        <v>31</v>
      </c>
      <c r="C35" s="39">
        <v>194.20500000000001</v>
      </c>
      <c r="D35" s="39">
        <v>267.46600000000001</v>
      </c>
      <c r="E35" s="45">
        <v>862.32899999999995</v>
      </c>
      <c r="F35" s="39">
        <v>1324</v>
      </c>
      <c r="G35" s="39">
        <v>50</v>
      </c>
      <c r="H35" s="47"/>
      <c r="I35" s="39">
        <v>695</v>
      </c>
      <c r="J35" s="39">
        <v>0</v>
      </c>
      <c r="K35" s="40"/>
      <c r="L35" s="49"/>
      <c r="M35" s="40"/>
      <c r="N35" s="40"/>
      <c r="O35" s="40"/>
      <c r="P35" s="40"/>
      <c r="Q35" s="40"/>
      <c r="R35" s="40"/>
      <c r="S35" s="40"/>
      <c r="T35" s="40"/>
    </row>
    <row r="36" spans="1:20" ht="15.75">
      <c r="A36" s="13">
        <v>42217</v>
      </c>
      <c r="B36" s="48">
        <v>31</v>
      </c>
      <c r="C36" s="39">
        <v>194.20500000000001</v>
      </c>
      <c r="D36" s="39">
        <v>267.46600000000001</v>
      </c>
      <c r="E36" s="45">
        <v>862.32899999999995</v>
      </c>
      <c r="F36" s="39">
        <v>1324</v>
      </c>
      <c r="G36" s="39">
        <v>50</v>
      </c>
      <c r="H36" s="47"/>
      <c r="I36" s="39">
        <v>695</v>
      </c>
      <c r="J36" s="39">
        <v>0</v>
      </c>
      <c r="K36" s="40"/>
      <c r="L36" s="49"/>
      <c r="M36" s="40"/>
      <c r="N36" s="40"/>
      <c r="O36" s="40"/>
      <c r="P36" s="40"/>
      <c r="Q36" s="40"/>
      <c r="R36" s="40"/>
      <c r="S36" s="40"/>
      <c r="T36" s="40"/>
    </row>
    <row r="37" spans="1:20" ht="15.75">
      <c r="A37" s="13">
        <v>42248</v>
      </c>
      <c r="B37" s="48">
        <v>30</v>
      </c>
      <c r="C37" s="39">
        <v>194.20500000000001</v>
      </c>
      <c r="D37" s="39">
        <v>267.46600000000001</v>
      </c>
      <c r="E37" s="45">
        <v>862.32899999999995</v>
      </c>
      <c r="F37" s="39">
        <v>1324</v>
      </c>
      <c r="G37" s="39">
        <v>50</v>
      </c>
      <c r="H37" s="47"/>
      <c r="I37" s="39">
        <v>695</v>
      </c>
      <c r="J37" s="39">
        <v>0</v>
      </c>
      <c r="K37" s="40"/>
      <c r="L37" s="49"/>
      <c r="M37" s="40"/>
      <c r="N37" s="40"/>
      <c r="O37" s="40"/>
      <c r="P37" s="40"/>
      <c r="Q37" s="40"/>
      <c r="R37" s="40"/>
      <c r="S37" s="40"/>
      <c r="T37" s="40"/>
    </row>
    <row r="38" spans="1:20" ht="15.75">
      <c r="A38" s="13">
        <v>42278</v>
      </c>
      <c r="B38" s="48">
        <v>31</v>
      </c>
      <c r="C38" s="39">
        <v>131.881</v>
      </c>
      <c r="D38" s="39">
        <v>277.16699999999997</v>
      </c>
      <c r="E38" s="45">
        <v>829.952</v>
      </c>
      <c r="F38" s="39">
        <v>1239</v>
      </c>
      <c r="G38" s="39">
        <v>75</v>
      </c>
      <c r="H38" s="47"/>
      <c r="I38" s="39">
        <v>695</v>
      </c>
      <c r="J38" s="39">
        <v>0</v>
      </c>
      <c r="K38" s="40"/>
      <c r="L38" s="49"/>
      <c r="M38" s="40"/>
      <c r="N38" s="40"/>
      <c r="O38" s="40"/>
      <c r="P38" s="40"/>
      <c r="Q38" s="40"/>
      <c r="R38" s="40"/>
      <c r="S38" s="40"/>
      <c r="T38" s="40"/>
    </row>
    <row r="39" spans="1:20" ht="15.75">
      <c r="A39" s="13">
        <v>42309</v>
      </c>
      <c r="B39" s="48">
        <v>30</v>
      </c>
      <c r="C39" s="39">
        <v>122.58</v>
      </c>
      <c r="D39" s="39">
        <v>297.94099999999997</v>
      </c>
      <c r="E39" s="45">
        <v>729.47900000000004</v>
      </c>
      <c r="F39" s="39">
        <v>1150</v>
      </c>
      <c r="G39" s="39">
        <v>100</v>
      </c>
      <c r="H39" s="47"/>
      <c r="I39" s="39">
        <v>695</v>
      </c>
      <c r="J39" s="39">
        <v>50</v>
      </c>
      <c r="K39" s="40"/>
      <c r="L39" s="49"/>
      <c r="M39" s="40"/>
      <c r="N39" s="40"/>
      <c r="O39" s="40"/>
      <c r="P39" s="40"/>
      <c r="Q39" s="40"/>
      <c r="R39" s="40"/>
      <c r="S39" s="40"/>
      <c r="T39" s="40"/>
    </row>
    <row r="40" spans="1:20" ht="15.75">
      <c r="A40" s="13">
        <v>42339</v>
      </c>
      <c r="B40" s="48">
        <v>31</v>
      </c>
      <c r="C40" s="39">
        <v>122.58</v>
      </c>
      <c r="D40" s="39">
        <v>297.94099999999997</v>
      </c>
      <c r="E40" s="45">
        <v>729.47900000000004</v>
      </c>
      <c r="F40" s="39">
        <v>1150</v>
      </c>
      <c r="G40" s="39">
        <v>100</v>
      </c>
      <c r="H40" s="47"/>
      <c r="I40" s="39">
        <v>695</v>
      </c>
      <c r="J40" s="39">
        <v>50</v>
      </c>
      <c r="K40" s="40"/>
      <c r="L40" s="49"/>
      <c r="M40" s="40"/>
      <c r="N40" s="40"/>
      <c r="O40" s="40"/>
      <c r="P40" s="40"/>
      <c r="Q40" s="40"/>
      <c r="R40" s="40"/>
      <c r="S40" s="40"/>
      <c r="T40" s="40"/>
    </row>
    <row r="41" spans="1:20" ht="15.75">
      <c r="A41" s="13">
        <v>42370</v>
      </c>
      <c r="B41" s="48">
        <v>31</v>
      </c>
      <c r="C41" s="39">
        <v>122.58</v>
      </c>
      <c r="D41" s="39">
        <v>297.94099999999997</v>
      </c>
      <c r="E41" s="45">
        <v>729.47900000000004</v>
      </c>
      <c r="F41" s="39">
        <v>1150</v>
      </c>
      <c r="G41" s="39">
        <v>100</v>
      </c>
      <c r="H41" s="47"/>
      <c r="I41" s="39">
        <v>695</v>
      </c>
      <c r="J41" s="39">
        <v>50</v>
      </c>
      <c r="K41" s="40"/>
      <c r="L41" s="49"/>
      <c r="M41" s="40"/>
      <c r="N41" s="40"/>
      <c r="O41" s="40"/>
      <c r="P41" s="40"/>
      <c r="Q41" s="40"/>
      <c r="R41" s="40"/>
      <c r="S41" s="40"/>
      <c r="T41" s="40"/>
    </row>
    <row r="42" spans="1:20" ht="15.75">
      <c r="A42" s="13">
        <v>42401</v>
      </c>
      <c r="B42" s="48">
        <v>29</v>
      </c>
      <c r="C42" s="39">
        <v>122.58</v>
      </c>
      <c r="D42" s="39">
        <v>297.94099999999997</v>
      </c>
      <c r="E42" s="45">
        <v>729.47900000000004</v>
      </c>
      <c r="F42" s="39">
        <v>1150</v>
      </c>
      <c r="G42" s="39">
        <v>100</v>
      </c>
      <c r="H42" s="47"/>
      <c r="I42" s="39">
        <v>695</v>
      </c>
      <c r="J42" s="39">
        <v>50</v>
      </c>
      <c r="K42" s="40"/>
      <c r="L42" s="49"/>
      <c r="M42" s="40"/>
      <c r="N42" s="40"/>
      <c r="O42" s="40"/>
      <c r="P42" s="40"/>
      <c r="Q42" s="40"/>
      <c r="R42" s="40"/>
      <c r="S42" s="40"/>
      <c r="T42" s="40"/>
    </row>
    <row r="43" spans="1:20" ht="15.75">
      <c r="A43" s="13">
        <v>42430</v>
      </c>
      <c r="B43" s="48">
        <v>31</v>
      </c>
      <c r="C43" s="39">
        <v>122.58</v>
      </c>
      <c r="D43" s="39">
        <v>297.94099999999997</v>
      </c>
      <c r="E43" s="45">
        <v>729.47900000000004</v>
      </c>
      <c r="F43" s="39">
        <v>1150</v>
      </c>
      <c r="G43" s="39">
        <v>100</v>
      </c>
      <c r="H43" s="47"/>
      <c r="I43" s="39">
        <v>695</v>
      </c>
      <c r="J43" s="39">
        <v>50</v>
      </c>
      <c r="K43" s="40"/>
      <c r="L43" s="49"/>
      <c r="M43" s="40"/>
      <c r="N43" s="40"/>
      <c r="O43" s="40"/>
      <c r="P43" s="40"/>
      <c r="Q43" s="40"/>
      <c r="R43" s="40"/>
      <c r="S43" s="40"/>
      <c r="T43" s="40"/>
    </row>
    <row r="44" spans="1:20" ht="15.75">
      <c r="A44" s="13">
        <v>42461</v>
      </c>
      <c r="B44" s="48">
        <v>30</v>
      </c>
      <c r="C44" s="39">
        <v>141.29300000000001</v>
      </c>
      <c r="D44" s="39">
        <v>267.99299999999999</v>
      </c>
      <c r="E44" s="45">
        <v>829.71400000000006</v>
      </c>
      <c r="F44" s="39">
        <v>1239</v>
      </c>
      <c r="G44" s="39">
        <v>100</v>
      </c>
      <c r="H44" s="47"/>
      <c r="I44" s="39">
        <v>695</v>
      </c>
      <c r="J44" s="39">
        <v>50</v>
      </c>
      <c r="K44" s="40"/>
      <c r="L44" s="49"/>
      <c r="M44" s="40"/>
      <c r="N44" s="40"/>
      <c r="O44" s="40"/>
      <c r="P44" s="40"/>
      <c r="Q44" s="40"/>
      <c r="R44" s="40"/>
      <c r="S44" s="40"/>
      <c r="T44" s="40"/>
    </row>
    <row r="45" spans="1:20" ht="15.75">
      <c r="A45" s="13">
        <v>42491</v>
      </c>
      <c r="B45" s="48">
        <v>31</v>
      </c>
      <c r="C45" s="39">
        <v>194.20500000000001</v>
      </c>
      <c r="D45" s="39">
        <v>267.46600000000001</v>
      </c>
      <c r="E45" s="45">
        <v>812.32899999999995</v>
      </c>
      <c r="F45" s="39">
        <v>1274</v>
      </c>
      <c r="G45" s="39">
        <v>75</v>
      </c>
      <c r="H45" s="47"/>
      <c r="I45" s="39">
        <v>695</v>
      </c>
      <c r="J45" s="39">
        <v>50</v>
      </c>
      <c r="K45" s="40"/>
      <c r="L45" s="49"/>
      <c r="M45" s="40"/>
      <c r="N45" s="40"/>
      <c r="O45" s="40"/>
      <c r="P45" s="40"/>
      <c r="Q45" s="40"/>
      <c r="R45" s="40"/>
      <c r="S45" s="40"/>
      <c r="T45" s="40"/>
    </row>
    <row r="46" spans="1:20" ht="15.75">
      <c r="A46" s="13">
        <v>42522</v>
      </c>
      <c r="B46" s="48">
        <v>30</v>
      </c>
      <c r="C46" s="39">
        <v>194.20500000000001</v>
      </c>
      <c r="D46" s="39">
        <v>267.46600000000001</v>
      </c>
      <c r="E46" s="45">
        <v>812.32899999999995</v>
      </c>
      <c r="F46" s="39">
        <v>1274</v>
      </c>
      <c r="G46" s="39">
        <v>50</v>
      </c>
      <c r="H46" s="47"/>
      <c r="I46" s="39">
        <v>695</v>
      </c>
      <c r="J46" s="39">
        <v>50</v>
      </c>
      <c r="K46" s="40"/>
      <c r="L46" s="49"/>
      <c r="M46" s="40"/>
      <c r="N46" s="40"/>
      <c r="O46" s="40"/>
      <c r="P46" s="40"/>
      <c r="Q46" s="40"/>
      <c r="R46" s="40"/>
      <c r="S46" s="40"/>
      <c r="T46" s="40"/>
    </row>
    <row r="47" spans="1:20" ht="15.75">
      <c r="A47" s="13">
        <v>42552</v>
      </c>
      <c r="B47" s="48">
        <v>31</v>
      </c>
      <c r="C47" s="39">
        <v>194.20500000000001</v>
      </c>
      <c r="D47" s="39">
        <v>267.46600000000001</v>
      </c>
      <c r="E47" s="45">
        <v>812.32899999999995</v>
      </c>
      <c r="F47" s="39">
        <v>1274</v>
      </c>
      <c r="G47" s="39">
        <v>50</v>
      </c>
      <c r="H47" s="47"/>
      <c r="I47" s="39">
        <v>695</v>
      </c>
      <c r="J47" s="39">
        <v>0</v>
      </c>
      <c r="K47" s="40"/>
      <c r="L47" s="49"/>
      <c r="M47" s="40"/>
      <c r="N47" s="40"/>
      <c r="O47" s="40"/>
      <c r="P47" s="40"/>
      <c r="Q47" s="40"/>
      <c r="R47" s="40"/>
      <c r="S47" s="40"/>
      <c r="T47" s="40"/>
    </row>
    <row r="48" spans="1:20" ht="15.75">
      <c r="A48" s="13">
        <v>42583</v>
      </c>
      <c r="B48" s="48">
        <v>31</v>
      </c>
      <c r="C48" s="39">
        <v>194.20500000000001</v>
      </c>
      <c r="D48" s="39">
        <v>267.46600000000001</v>
      </c>
      <c r="E48" s="45">
        <v>812.32899999999995</v>
      </c>
      <c r="F48" s="39">
        <v>1274</v>
      </c>
      <c r="G48" s="39">
        <v>50</v>
      </c>
      <c r="H48" s="47"/>
      <c r="I48" s="39">
        <v>695</v>
      </c>
      <c r="J48" s="39">
        <v>0</v>
      </c>
      <c r="K48" s="40"/>
      <c r="L48" s="49"/>
      <c r="M48" s="40"/>
      <c r="N48" s="40"/>
      <c r="O48" s="40"/>
      <c r="P48" s="40"/>
      <c r="Q48" s="40"/>
      <c r="R48" s="40"/>
      <c r="S48" s="40"/>
      <c r="T48" s="40"/>
    </row>
    <row r="49" spans="1:20" ht="15.75">
      <c r="A49" s="13">
        <v>42614</v>
      </c>
      <c r="B49" s="48">
        <v>30</v>
      </c>
      <c r="C49" s="39">
        <v>194.20500000000001</v>
      </c>
      <c r="D49" s="39">
        <v>267.46600000000001</v>
      </c>
      <c r="E49" s="45">
        <v>812.32899999999995</v>
      </c>
      <c r="F49" s="39">
        <v>1274</v>
      </c>
      <c r="G49" s="39">
        <v>50</v>
      </c>
      <c r="H49" s="47"/>
      <c r="I49" s="39">
        <v>695</v>
      </c>
      <c r="J49" s="39">
        <v>0</v>
      </c>
      <c r="K49" s="40"/>
      <c r="L49" s="49"/>
      <c r="M49" s="40"/>
      <c r="N49" s="40"/>
      <c r="O49" s="40"/>
      <c r="P49" s="40"/>
      <c r="Q49" s="40"/>
      <c r="R49" s="40"/>
      <c r="S49" s="40"/>
      <c r="T49" s="40"/>
    </row>
    <row r="50" spans="1:20" ht="15.75">
      <c r="A50" s="13">
        <v>42644</v>
      </c>
      <c r="B50" s="48">
        <v>31</v>
      </c>
      <c r="C50" s="39">
        <v>131.881</v>
      </c>
      <c r="D50" s="39">
        <v>277.16699999999997</v>
      </c>
      <c r="E50" s="45">
        <v>829.952</v>
      </c>
      <c r="F50" s="39">
        <v>1239</v>
      </c>
      <c r="G50" s="39">
        <v>75</v>
      </c>
      <c r="H50" s="47"/>
      <c r="I50" s="39">
        <v>695</v>
      </c>
      <c r="J50" s="39">
        <v>0</v>
      </c>
      <c r="K50" s="40"/>
      <c r="L50" s="49"/>
      <c r="M50" s="40"/>
      <c r="N50" s="40"/>
      <c r="O50" s="40"/>
      <c r="P50" s="40"/>
      <c r="Q50" s="40"/>
      <c r="R50" s="40"/>
      <c r="S50" s="40"/>
      <c r="T50" s="40"/>
    </row>
    <row r="51" spans="1:20" ht="15.75">
      <c r="A51" s="13">
        <v>42675</v>
      </c>
      <c r="B51" s="48">
        <v>30</v>
      </c>
      <c r="C51" s="39">
        <v>122.58</v>
      </c>
      <c r="D51" s="39">
        <v>297.94099999999997</v>
      </c>
      <c r="E51" s="45">
        <v>729.47900000000004</v>
      </c>
      <c r="F51" s="39">
        <v>1150</v>
      </c>
      <c r="G51" s="39">
        <v>100</v>
      </c>
      <c r="H51" s="47"/>
      <c r="I51" s="39">
        <v>695</v>
      </c>
      <c r="J51" s="39">
        <v>50</v>
      </c>
      <c r="K51" s="40"/>
      <c r="L51" s="49"/>
      <c r="M51" s="40"/>
      <c r="N51" s="40"/>
      <c r="O51" s="40"/>
      <c r="P51" s="40"/>
      <c r="Q51" s="40"/>
      <c r="R51" s="40"/>
      <c r="S51" s="40"/>
      <c r="T51" s="40"/>
    </row>
    <row r="52" spans="1:20" ht="15.75">
      <c r="A52" s="13">
        <v>42705</v>
      </c>
      <c r="B52" s="48">
        <v>31</v>
      </c>
      <c r="C52" s="39">
        <v>122.58</v>
      </c>
      <c r="D52" s="39">
        <v>297.94099999999997</v>
      </c>
      <c r="E52" s="45">
        <v>729.47900000000004</v>
      </c>
      <c r="F52" s="39">
        <v>1150</v>
      </c>
      <c r="G52" s="39">
        <v>100</v>
      </c>
      <c r="H52" s="47"/>
      <c r="I52" s="39">
        <v>695</v>
      </c>
      <c r="J52" s="39">
        <v>50</v>
      </c>
      <c r="K52" s="40"/>
      <c r="L52" s="49"/>
      <c r="M52" s="40"/>
      <c r="N52" s="40"/>
      <c r="O52" s="40"/>
      <c r="P52" s="40"/>
      <c r="Q52" s="40"/>
      <c r="R52" s="40"/>
      <c r="S52" s="40"/>
      <c r="T52" s="40"/>
    </row>
    <row r="53" spans="1:20" ht="15.75">
      <c r="A53" s="13">
        <v>42736</v>
      </c>
      <c r="B53" s="48">
        <v>31</v>
      </c>
      <c r="C53" s="39">
        <v>122.58</v>
      </c>
      <c r="D53" s="39">
        <v>297.94099999999997</v>
      </c>
      <c r="E53" s="45">
        <v>729.47900000000004</v>
      </c>
      <c r="F53" s="39">
        <v>1150</v>
      </c>
      <c r="G53" s="39">
        <v>100</v>
      </c>
      <c r="H53" s="47"/>
      <c r="I53" s="39">
        <v>695</v>
      </c>
      <c r="J53" s="39">
        <v>50</v>
      </c>
      <c r="K53" s="40"/>
      <c r="L53" s="49"/>
      <c r="M53" s="40"/>
      <c r="N53" s="40"/>
      <c r="O53" s="40"/>
      <c r="P53" s="40"/>
      <c r="Q53" s="40"/>
      <c r="R53" s="40"/>
      <c r="S53" s="40"/>
      <c r="T53" s="40"/>
    </row>
    <row r="54" spans="1:20" ht="15.75">
      <c r="A54" s="13">
        <v>42767</v>
      </c>
      <c r="B54" s="48">
        <v>28</v>
      </c>
      <c r="C54" s="39">
        <v>122.58</v>
      </c>
      <c r="D54" s="39">
        <v>297.94099999999997</v>
      </c>
      <c r="E54" s="45">
        <v>729.47900000000004</v>
      </c>
      <c r="F54" s="39">
        <v>1150</v>
      </c>
      <c r="G54" s="39">
        <v>100</v>
      </c>
      <c r="H54" s="47"/>
      <c r="I54" s="39">
        <v>695</v>
      </c>
      <c r="J54" s="39">
        <v>50</v>
      </c>
      <c r="K54" s="40"/>
      <c r="L54" s="49"/>
      <c r="M54" s="40"/>
      <c r="N54" s="40"/>
      <c r="O54" s="40"/>
      <c r="P54" s="40"/>
      <c r="Q54" s="40"/>
      <c r="R54" s="40"/>
      <c r="S54" s="40"/>
      <c r="T54" s="40"/>
    </row>
    <row r="55" spans="1:20" ht="15.75">
      <c r="A55" s="13">
        <v>42795</v>
      </c>
      <c r="B55" s="48">
        <v>31</v>
      </c>
      <c r="C55" s="39">
        <v>122.58</v>
      </c>
      <c r="D55" s="39">
        <v>297.94099999999997</v>
      </c>
      <c r="E55" s="45">
        <v>729.47900000000004</v>
      </c>
      <c r="F55" s="39">
        <v>1150</v>
      </c>
      <c r="G55" s="39">
        <v>100</v>
      </c>
      <c r="H55" s="47"/>
      <c r="I55" s="39">
        <v>695</v>
      </c>
      <c r="J55" s="39">
        <v>50</v>
      </c>
      <c r="K55" s="40"/>
      <c r="L55" s="49"/>
      <c r="M55" s="40"/>
      <c r="N55" s="40"/>
      <c r="O55" s="40"/>
      <c r="P55" s="40"/>
      <c r="Q55" s="40"/>
      <c r="R55" s="40"/>
      <c r="S55" s="40"/>
      <c r="T55" s="40"/>
    </row>
    <row r="56" spans="1:20" ht="15.75">
      <c r="A56" s="13">
        <v>42826</v>
      </c>
      <c r="B56" s="48">
        <v>30</v>
      </c>
      <c r="C56" s="39">
        <v>141.29300000000001</v>
      </c>
      <c r="D56" s="39">
        <v>267.99299999999999</v>
      </c>
      <c r="E56" s="45">
        <v>829.71400000000006</v>
      </c>
      <c r="F56" s="39">
        <v>1239</v>
      </c>
      <c r="G56" s="39">
        <v>100</v>
      </c>
      <c r="H56" s="47"/>
      <c r="I56" s="39">
        <v>695</v>
      </c>
      <c r="J56" s="39">
        <v>50</v>
      </c>
      <c r="K56" s="40"/>
      <c r="L56" s="49"/>
      <c r="M56" s="40"/>
      <c r="N56" s="40"/>
      <c r="O56" s="40"/>
      <c r="P56" s="40"/>
      <c r="Q56" s="40"/>
      <c r="R56" s="40"/>
      <c r="S56" s="40"/>
      <c r="T56" s="40"/>
    </row>
    <row r="57" spans="1:20" ht="15.75">
      <c r="A57" s="13">
        <v>42856</v>
      </c>
      <c r="B57" s="48">
        <v>31</v>
      </c>
      <c r="C57" s="39">
        <v>194.20500000000001</v>
      </c>
      <c r="D57" s="39">
        <v>267.46600000000001</v>
      </c>
      <c r="E57" s="45">
        <v>812.32899999999995</v>
      </c>
      <c r="F57" s="39">
        <v>1274</v>
      </c>
      <c r="G57" s="39">
        <v>75</v>
      </c>
      <c r="H57" s="47">
        <v>400</v>
      </c>
      <c r="I57" s="39">
        <v>695</v>
      </c>
      <c r="J57" s="39">
        <v>50</v>
      </c>
      <c r="K57" s="40"/>
      <c r="L57" s="49"/>
      <c r="M57" s="40"/>
      <c r="N57" s="40"/>
      <c r="O57" s="40"/>
      <c r="P57" s="40"/>
      <c r="Q57" s="40"/>
      <c r="R57" s="40"/>
      <c r="S57" s="40"/>
      <c r="T57" s="40"/>
    </row>
    <row r="58" spans="1:20" ht="15.75">
      <c r="A58" s="13">
        <v>42887</v>
      </c>
      <c r="B58" s="48">
        <v>30</v>
      </c>
      <c r="C58" s="39">
        <v>194.20500000000001</v>
      </c>
      <c r="D58" s="39">
        <v>267.46600000000001</v>
      </c>
      <c r="E58" s="45">
        <v>812.32899999999995</v>
      </c>
      <c r="F58" s="39">
        <v>1274</v>
      </c>
      <c r="G58" s="39">
        <v>50</v>
      </c>
      <c r="H58" s="47">
        <v>400</v>
      </c>
      <c r="I58" s="39">
        <v>695</v>
      </c>
      <c r="J58" s="39">
        <v>50</v>
      </c>
      <c r="K58" s="40"/>
      <c r="L58" s="49"/>
      <c r="M58" s="40"/>
      <c r="N58" s="40"/>
      <c r="O58" s="40"/>
      <c r="P58" s="40"/>
      <c r="Q58" s="40"/>
      <c r="R58" s="40"/>
      <c r="S58" s="40"/>
      <c r="T58" s="40"/>
    </row>
    <row r="59" spans="1:20" ht="15.75">
      <c r="A59" s="13">
        <v>42917</v>
      </c>
      <c r="B59" s="48">
        <v>31</v>
      </c>
      <c r="C59" s="39">
        <v>194.20500000000001</v>
      </c>
      <c r="D59" s="39">
        <v>267.46600000000001</v>
      </c>
      <c r="E59" s="45">
        <v>812.32899999999995</v>
      </c>
      <c r="F59" s="39">
        <v>1274</v>
      </c>
      <c r="G59" s="39">
        <v>50</v>
      </c>
      <c r="H59" s="47">
        <v>400</v>
      </c>
      <c r="I59" s="39">
        <v>695</v>
      </c>
      <c r="J59" s="39">
        <v>0</v>
      </c>
      <c r="K59" s="40"/>
      <c r="L59" s="49"/>
      <c r="M59" s="40"/>
      <c r="N59" s="40"/>
      <c r="O59" s="40"/>
      <c r="P59" s="40"/>
      <c r="Q59" s="40"/>
      <c r="R59" s="40"/>
      <c r="S59" s="40"/>
      <c r="T59" s="40"/>
    </row>
    <row r="60" spans="1:20" ht="15.75">
      <c r="A60" s="13">
        <v>42948</v>
      </c>
      <c r="B60" s="48">
        <v>31</v>
      </c>
      <c r="C60" s="39">
        <v>194.20500000000001</v>
      </c>
      <c r="D60" s="39">
        <v>267.46600000000001</v>
      </c>
      <c r="E60" s="45">
        <v>812.32899999999995</v>
      </c>
      <c r="F60" s="39">
        <v>1274</v>
      </c>
      <c r="G60" s="39">
        <v>50</v>
      </c>
      <c r="H60" s="47">
        <v>400</v>
      </c>
      <c r="I60" s="39">
        <v>695</v>
      </c>
      <c r="J60" s="39">
        <v>0</v>
      </c>
      <c r="K60" s="40"/>
      <c r="L60" s="49"/>
      <c r="M60" s="40"/>
      <c r="N60" s="40"/>
      <c r="O60" s="40"/>
      <c r="P60" s="40"/>
      <c r="Q60" s="40"/>
      <c r="R60" s="40"/>
      <c r="S60" s="40"/>
      <c r="T60" s="40"/>
    </row>
    <row r="61" spans="1:20" ht="15.75">
      <c r="A61" s="13">
        <v>42979</v>
      </c>
      <c r="B61" s="48">
        <v>30</v>
      </c>
      <c r="C61" s="39">
        <v>194.20500000000001</v>
      </c>
      <c r="D61" s="39">
        <v>267.46600000000001</v>
      </c>
      <c r="E61" s="45">
        <v>812.32899999999995</v>
      </c>
      <c r="F61" s="39">
        <v>1274</v>
      </c>
      <c r="G61" s="39">
        <v>50</v>
      </c>
      <c r="H61" s="47">
        <v>400</v>
      </c>
      <c r="I61" s="39">
        <v>695</v>
      </c>
      <c r="J61" s="39">
        <v>0</v>
      </c>
      <c r="K61" s="40"/>
      <c r="L61" s="49"/>
      <c r="M61" s="40"/>
      <c r="N61" s="40"/>
      <c r="O61" s="40"/>
      <c r="P61" s="40"/>
      <c r="Q61" s="40"/>
      <c r="R61" s="40"/>
      <c r="S61" s="40"/>
      <c r="T61" s="40"/>
    </row>
    <row r="62" spans="1:20" ht="15.75">
      <c r="A62" s="13">
        <v>43009</v>
      </c>
      <c r="B62" s="48">
        <v>31</v>
      </c>
      <c r="C62" s="39">
        <v>131.881</v>
      </c>
      <c r="D62" s="39">
        <v>277.16699999999997</v>
      </c>
      <c r="E62" s="45">
        <v>829.952</v>
      </c>
      <c r="F62" s="39">
        <v>1239</v>
      </c>
      <c r="G62" s="39">
        <v>75</v>
      </c>
      <c r="H62" s="47">
        <v>400</v>
      </c>
      <c r="I62" s="39">
        <v>695</v>
      </c>
      <c r="J62" s="39">
        <v>0</v>
      </c>
      <c r="K62" s="40"/>
      <c r="L62" s="49"/>
      <c r="M62" s="40"/>
      <c r="N62" s="40"/>
      <c r="O62" s="40"/>
      <c r="P62" s="40"/>
      <c r="Q62" s="40"/>
      <c r="R62" s="40"/>
      <c r="S62" s="40"/>
      <c r="T62" s="40"/>
    </row>
    <row r="63" spans="1:20" ht="15.75">
      <c r="A63" s="13">
        <v>43040</v>
      </c>
      <c r="B63" s="48">
        <v>30</v>
      </c>
      <c r="C63" s="39">
        <v>122.58</v>
      </c>
      <c r="D63" s="39">
        <v>297.94099999999997</v>
      </c>
      <c r="E63" s="45">
        <v>729.47900000000004</v>
      </c>
      <c r="F63" s="39">
        <v>1150</v>
      </c>
      <c r="G63" s="39">
        <v>100</v>
      </c>
      <c r="H63" s="47">
        <v>400</v>
      </c>
      <c r="I63" s="39">
        <v>695</v>
      </c>
      <c r="J63" s="39">
        <v>50</v>
      </c>
      <c r="K63" s="40"/>
      <c r="L63" s="49"/>
      <c r="M63" s="40"/>
      <c r="N63" s="40"/>
      <c r="O63" s="40"/>
      <c r="P63" s="40"/>
      <c r="Q63" s="40"/>
      <c r="R63" s="40"/>
      <c r="S63" s="40"/>
      <c r="T63" s="40"/>
    </row>
    <row r="64" spans="1:20" ht="15.75">
      <c r="A64" s="13">
        <v>43070</v>
      </c>
      <c r="B64" s="48">
        <v>31</v>
      </c>
      <c r="C64" s="39">
        <v>122.58</v>
      </c>
      <c r="D64" s="39">
        <v>297.94099999999997</v>
      </c>
      <c r="E64" s="45">
        <v>729.47900000000004</v>
      </c>
      <c r="F64" s="39">
        <v>1150</v>
      </c>
      <c r="G64" s="39">
        <v>100</v>
      </c>
      <c r="H64" s="47">
        <v>400</v>
      </c>
      <c r="I64" s="39">
        <v>695</v>
      </c>
      <c r="J64" s="39">
        <v>50</v>
      </c>
      <c r="K64" s="40"/>
      <c r="L64" s="49"/>
      <c r="M64" s="40"/>
      <c r="N64" s="40"/>
      <c r="O64" s="40"/>
      <c r="P64" s="40"/>
      <c r="Q64" s="40"/>
      <c r="R64" s="40"/>
      <c r="S64" s="40"/>
      <c r="T64" s="40"/>
    </row>
    <row r="65" spans="1:20" ht="15.75">
      <c r="A65" s="13">
        <v>43101</v>
      </c>
      <c r="B65" s="48">
        <v>31</v>
      </c>
      <c r="C65" s="39">
        <v>122.58</v>
      </c>
      <c r="D65" s="39">
        <v>297.94099999999997</v>
      </c>
      <c r="E65" s="45">
        <v>729.47900000000004</v>
      </c>
      <c r="F65" s="39">
        <v>1150</v>
      </c>
      <c r="G65" s="39">
        <v>100</v>
      </c>
      <c r="H65" s="47">
        <v>400</v>
      </c>
      <c r="I65" s="39">
        <v>695</v>
      </c>
      <c r="J65" s="39">
        <v>50</v>
      </c>
      <c r="K65" s="40"/>
      <c r="L65" s="49"/>
      <c r="M65" s="40"/>
      <c r="N65" s="40"/>
      <c r="O65" s="40"/>
      <c r="P65" s="40"/>
      <c r="Q65" s="40"/>
      <c r="R65" s="40"/>
      <c r="S65" s="40"/>
      <c r="T65" s="40"/>
    </row>
    <row r="66" spans="1:20" ht="15.75">
      <c r="A66" s="13">
        <v>43132</v>
      </c>
      <c r="B66" s="48">
        <v>28</v>
      </c>
      <c r="C66" s="39">
        <v>122.58</v>
      </c>
      <c r="D66" s="39">
        <v>297.94099999999997</v>
      </c>
      <c r="E66" s="45">
        <v>729.47900000000004</v>
      </c>
      <c r="F66" s="39">
        <v>1150</v>
      </c>
      <c r="G66" s="39">
        <v>100</v>
      </c>
      <c r="H66" s="47">
        <v>400</v>
      </c>
      <c r="I66" s="39">
        <v>695</v>
      </c>
      <c r="J66" s="39">
        <v>50</v>
      </c>
      <c r="K66" s="40"/>
      <c r="L66" s="49"/>
      <c r="M66" s="40"/>
      <c r="N66" s="40"/>
      <c r="O66" s="40"/>
      <c r="P66" s="40"/>
      <c r="Q66" s="40"/>
      <c r="R66" s="40"/>
      <c r="S66" s="40"/>
      <c r="T66" s="40"/>
    </row>
    <row r="67" spans="1:20" ht="15.75">
      <c r="A67" s="13">
        <v>43160</v>
      </c>
      <c r="B67" s="48">
        <v>31</v>
      </c>
      <c r="C67" s="39">
        <v>122.58</v>
      </c>
      <c r="D67" s="39">
        <v>297.94099999999997</v>
      </c>
      <c r="E67" s="45">
        <v>729.47900000000004</v>
      </c>
      <c r="F67" s="39">
        <v>1150</v>
      </c>
      <c r="G67" s="39">
        <v>100</v>
      </c>
      <c r="H67" s="47">
        <v>400</v>
      </c>
      <c r="I67" s="39">
        <v>695</v>
      </c>
      <c r="J67" s="39">
        <v>50</v>
      </c>
      <c r="K67" s="40"/>
      <c r="L67" s="49"/>
      <c r="M67" s="40"/>
      <c r="N67" s="40"/>
      <c r="O67" s="40"/>
      <c r="P67" s="40"/>
      <c r="Q67" s="40"/>
      <c r="R67" s="40"/>
      <c r="S67" s="40"/>
      <c r="T67" s="40"/>
    </row>
    <row r="68" spans="1:20" ht="15.75">
      <c r="A68" s="13">
        <v>43191</v>
      </c>
      <c r="B68" s="48">
        <v>30</v>
      </c>
      <c r="C68" s="39">
        <v>141.29300000000001</v>
      </c>
      <c r="D68" s="39">
        <v>267.99299999999999</v>
      </c>
      <c r="E68" s="45">
        <v>829.71400000000006</v>
      </c>
      <c r="F68" s="39">
        <v>1239</v>
      </c>
      <c r="G68" s="39">
        <v>100</v>
      </c>
      <c r="H68" s="47">
        <v>400</v>
      </c>
      <c r="I68" s="39">
        <v>695</v>
      </c>
      <c r="J68" s="39">
        <v>50</v>
      </c>
      <c r="K68" s="40"/>
      <c r="L68" s="49"/>
      <c r="M68" s="40"/>
      <c r="N68" s="40"/>
      <c r="O68" s="40"/>
      <c r="P68" s="40"/>
      <c r="Q68" s="40"/>
      <c r="R68" s="40"/>
      <c r="S68" s="40"/>
      <c r="T68" s="40"/>
    </row>
    <row r="69" spans="1:20" ht="15.75">
      <c r="A69" s="13">
        <v>43221</v>
      </c>
      <c r="B69" s="48">
        <v>31</v>
      </c>
      <c r="C69" s="39">
        <v>194.20500000000001</v>
      </c>
      <c r="D69" s="39">
        <v>267.46600000000001</v>
      </c>
      <c r="E69" s="45">
        <v>812.32899999999995</v>
      </c>
      <c r="F69" s="39">
        <v>1274</v>
      </c>
      <c r="G69" s="39">
        <v>75</v>
      </c>
      <c r="H69" s="47">
        <v>400</v>
      </c>
      <c r="I69" s="39">
        <v>695</v>
      </c>
      <c r="J69" s="39">
        <v>50</v>
      </c>
      <c r="K69" s="40"/>
      <c r="L69" s="49"/>
      <c r="M69" s="40"/>
      <c r="N69" s="40"/>
      <c r="O69" s="40"/>
      <c r="P69" s="40"/>
      <c r="Q69" s="40"/>
      <c r="R69" s="40"/>
      <c r="S69" s="40"/>
      <c r="T69" s="40"/>
    </row>
    <row r="70" spans="1:20" ht="15.75">
      <c r="A70" s="13">
        <v>43252</v>
      </c>
      <c r="B70" s="48">
        <v>30</v>
      </c>
      <c r="C70" s="39">
        <v>194.20500000000001</v>
      </c>
      <c r="D70" s="39">
        <v>267.46600000000001</v>
      </c>
      <c r="E70" s="45">
        <v>812.32899999999995</v>
      </c>
      <c r="F70" s="39">
        <v>1274</v>
      </c>
      <c r="G70" s="39">
        <v>50</v>
      </c>
      <c r="H70" s="47">
        <v>400</v>
      </c>
      <c r="I70" s="39">
        <v>695</v>
      </c>
      <c r="J70" s="39">
        <v>50</v>
      </c>
      <c r="K70" s="40"/>
      <c r="L70" s="49"/>
      <c r="M70" s="40"/>
      <c r="N70" s="40"/>
      <c r="O70" s="40"/>
      <c r="P70" s="40"/>
      <c r="Q70" s="40"/>
      <c r="R70" s="40"/>
      <c r="S70" s="40"/>
      <c r="T70" s="40"/>
    </row>
    <row r="71" spans="1:20" ht="15.75">
      <c r="A71" s="13">
        <v>43282</v>
      </c>
      <c r="B71" s="48">
        <v>31</v>
      </c>
      <c r="C71" s="39">
        <v>194.20500000000001</v>
      </c>
      <c r="D71" s="39">
        <v>267.46600000000001</v>
      </c>
      <c r="E71" s="45">
        <v>812.32899999999995</v>
      </c>
      <c r="F71" s="39">
        <v>1274</v>
      </c>
      <c r="G71" s="39">
        <v>50</v>
      </c>
      <c r="H71" s="47">
        <v>400</v>
      </c>
      <c r="I71" s="39">
        <v>695</v>
      </c>
      <c r="J71" s="39">
        <v>0</v>
      </c>
      <c r="K71" s="40"/>
      <c r="L71" s="49"/>
      <c r="M71" s="40"/>
      <c r="N71" s="40"/>
      <c r="O71" s="40"/>
      <c r="P71" s="40"/>
      <c r="Q71" s="40"/>
      <c r="R71" s="40"/>
      <c r="S71" s="40"/>
      <c r="T71" s="40"/>
    </row>
    <row r="72" spans="1:20" ht="15.75">
      <c r="A72" s="13">
        <v>43313</v>
      </c>
      <c r="B72" s="48">
        <v>31</v>
      </c>
      <c r="C72" s="39">
        <v>194.20500000000001</v>
      </c>
      <c r="D72" s="39">
        <v>267.46600000000001</v>
      </c>
      <c r="E72" s="45">
        <v>812.32899999999995</v>
      </c>
      <c r="F72" s="39">
        <v>1274</v>
      </c>
      <c r="G72" s="39">
        <v>50</v>
      </c>
      <c r="H72" s="47">
        <v>400</v>
      </c>
      <c r="I72" s="39">
        <v>695</v>
      </c>
      <c r="J72" s="39">
        <v>0</v>
      </c>
      <c r="K72" s="40"/>
      <c r="L72" s="49"/>
      <c r="M72" s="40"/>
      <c r="N72" s="40"/>
      <c r="O72" s="40"/>
      <c r="P72" s="40"/>
      <c r="Q72" s="40"/>
      <c r="R72" s="40"/>
      <c r="S72" s="40"/>
      <c r="T72" s="40"/>
    </row>
    <row r="73" spans="1:20" ht="15.75">
      <c r="A73" s="13">
        <v>43344</v>
      </c>
      <c r="B73" s="48">
        <v>30</v>
      </c>
      <c r="C73" s="39">
        <v>194.20500000000001</v>
      </c>
      <c r="D73" s="39">
        <v>267.46600000000001</v>
      </c>
      <c r="E73" s="45">
        <v>812.32899999999995</v>
      </c>
      <c r="F73" s="39">
        <v>1274</v>
      </c>
      <c r="G73" s="39">
        <v>50</v>
      </c>
      <c r="H73" s="47">
        <v>400</v>
      </c>
      <c r="I73" s="39">
        <v>695</v>
      </c>
      <c r="J73" s="39">
        <v>0</v>
      </c>
      <c r="K73" s="40"/>
      <c r="L73" s="49"/>
      <c r="M73" s="40"/>
      <c r="N73" s="40"/>
      <c r="O73" s="40"/>
      <c r="P73" s="40"/>
      <c r="Q73" s="40"/>
      <c r="R73" s="40"/>
      <c r="S73" s="40"/>
      <c r="T73" s="40"/>
    </row>
    <row r="74" spans="1:20" ht="15.75">
      <c r="A74" s="13">
        <v>43374</v>
      </c>
      <c r="B74" s="48">
        <v>31</v>
      </c>
      <c r="C74" s="39">
        <v>131.881</v>
      </c>
      <c r="D74" s="39">
        <v>277.16699999999997</v>
      </c>
      <c r="E74" s="45">
        <v>829.952</v>
      </c>
      <c r="F74" s="39">
        <v>1239</v>
      </c>
      <c r="G74" s="39">
        <v>75</v>
      </c>
      <c r="H74" s="47">
        <v>400</v>
      </c>
      <c r="I74" s="39">
        <v>695</v>
      </c>
      <c r="J74" s="39">
        <v>0</v>
      </c>
      <c r="K74" s="40"/>
      <c r="L74" s="49"/>
      <c r="M74" s="40"/>
      <c r="N74" s="40"/>
      <c r="O74" s="40"/>
      <c r="P74" s="40"/>
      <c r="Q74" s="40"/>
      <c r="R74" s="40"/>
      <c r="S74" s="40"/>
      <c r="T74" s="40"/>
    </row>
    <row r="75" spans="1:20" ht="15.75">
      <c r="A75" s="13">
        <v>43405</v>
      </c>
      <c r="B75" s="48">
        <v>30</v>
      </c>
      <c r="C75" s="39">
        <v>122.58</v>
      </c>
      <c r="D75" s="39">
        <v>297.94099999999997</v>
      </c>
      <c r="E75" s="45">
        <v>729.47900000000004</v>
      </c>
      <c r="F75" s="39">
        <v>1150</v>
      </c>
      <c r="G75" s="39">
        <v>100</v>
      </c>
      <c r="H75" s="47">
        <v>400</v>
      </c>
      <c r="I75" s="39">
        <v>695</v>
      </c>
      <c r="J75" s="39">
        <v>50</v>
      </c>
      <c r="K75" s="40"/>
      <c r="L75" s="49"/>
      <c r="M75" s="40"/>
      <c r="N75" s="40"/>
      <c r="O75" s="40"/>
      <c r="P75" s="40"/>
      <c r="Q75" s="40"/>
      <c r="R75" s="40"/>
      <c r="S75" s="40"/>
      <c r="T75" s="40"/>
    </row>
    <row r="76" spans="1:20" ht="15.75">
      <c r="A76" s="13">
        <v>43435</v>
      </c>
      <c r="B76" s="48">
        <v>31</v>
      </c>
      <c r="C76" s="39">
        <v>122.58</v>
      </c>
      <c r="D76" s="39">
        <v>297.94099999999997</v>
      </c>
      <c r="E76" s="45">
        <v>729.47900000000004</v>
      </c>
      <c r="F76" s="39">
        <v>1150</v>
      </c>
      <c r="G76" s="39">
        <v>100</v>
      </c>
      <c r="H76" s="47">
        <v>400</v>
      </c>
      <c r="I76" s="39">
        <v>695</v>
      </c>
      <c r="J76" s="39">
        <v>50</v>
      </c>
      <c r="K76" s="40"/>
      <c r="L76" s="49"/>
      <c r="M76" s="40"/>
      <c r="N76" s="40"/>
      <c r="O76" s="40"/>
      <c r="P76" s="40"/>
      <c r="Q76" s="40"/>
      <c r="R76" s="40"/>
      <c r="S76" s="40"/>
      <c r="T76" s="40"/>
    </row>
    <row r="77" spans="1:20" ht="15.75">
      <c r="A77" s="13">
        <v>43466</v>
      </c>
      <c r="B77" s="48">
        <v>31</v>
      </c>
      <c r="C77" s="39">
        <v>122.58</v>
      </c>
      <c r="D77" s="39">
        <v>297.94099999999997</v>
      </c>
      <c r="E77" s="45">
        <v>729.47900000000004</v>
      </c>
      <c r="F77" s="39">
        <v>1150</v>
      </c>
      <c r="G77" s="39">
        <v>100</v>
      </c>
      <c r="H77" s="47">
        <v>400</v>
      </c>
      <c r="I77" s="39">
        <v>695</v>
      </c>
      <c r="J77" s="39">
        <v>50</v>
      </c>
      <c r="K77" s="40"/>
      <c r="L77" s="40"/>
      <c r="M77" s="40"/>
      <c r="N77" s="40"/>
      <c r="O77" s="40"/>
      <c r="P77" s="40"/>
      <c r="Q77" s="40"/>
      <c r="R77" s="40"/>
      <c r="S77" s="40"/>
      <c r="T77" s="40"/>
    </row>
    <row r="78" spans="1:20" ht="15.75">
      <c r="A78" s="13">
        <v>43497</v>
      </c>
      <c r="B78" s="48">
        <v>28</v>
      </c>
      <c r="C78" s="39">
        <v>122.58</v>
      </c>
      <c r="D78" s="39">
        <v>297.94099999999997</v>
      </c>
      <c r="E78" s="45">
        <v>729.47900000000004</v>
      </c>
      <c r="F78" s="39">
        <v>1150</v>
      </c>
      <c r="G78" s="39">
        <v>100</v>
      </c>
      <c r="H78" s="47">
        <v>400</v>
      </c>
      <c r="I78" s="39">
        <v>695</v>
      </c>
      <c r="J78" s="39">
        <v>50</v>
      </c>
      <c r="K78" s="40"/>
      <c r="L78" s="40"/>
      <c r="M78" s="40"/>
      <c r="N78" s="40"/>
      <c r="O78" s="40"/>
      <c r="P78" s="40"/>
      <c r="Q78" s="40"/>
      <c r="R78" s="40"/>
      <c r="S78" s="40"/>
      <c r="T78" s="40"/>
    </row>
    <row r="79" spans="1:20" ht="15.75">
      <c r="A79" s="13">
        <v>43525</v>
      </c>
      <c r="B79" s="48">
        <v>31</v>
      </c>
      <c r="C79" s="39">
        <v>122.58</v>
      </c>
      <c r="D79" s="39">
        <v>297.94099999999997</v>
      </c>
      <c r="E79" s="45">
        <v>729.47900000000004</v>
      </c>
      <c r="F79" s="39">
        <v>1150</v>
      </c>
      <c r="G79" s="39">
        <v>100</v>
      </c>
      <c r="H79" s="47">
        <v>400</v>
      </c>
      <c r="I79" s="39">
        <v>695</v>
      </c>
      <c r="J79" s="39">
        <v>50</v>
      </c>
      <c r="K79" s="40"/>
      <c r="L79" s="40"/>
      <c r="M79" s="40"/>
      <c r="N79" s="40"/>
      <c r="O79" s="40"/>
      <c r="P79" s="40"/>
      <c r="Q79" s="40"/>
      <c r="R79" s="40"/>
      <c r="S79" s="40"/>
      <c r="T79" s="40"/>
    </row>
    <row r="80" spans="1:20" ht="15.75">
      <c r="A80" s="13">
        <v>43556</v>
      </c>
      <c r="B80" s="48">
        <v>30</v>
      </c>
      <c r="C80" s="39">
        <v>141.29300000000001</v>
      </c>
      <c r="D80" s="39">
        <v>267.99299999999999</v>
      </c>
      <c r="E80" s="45">
        <v>829.71400000000006</v>
      </c>
      <c r="F80" s="39">
        <v>1239</v>
      </c>
      <c r="G80" s="39">
        <v>100</v>
      </c>
      <c r="H80" s="47">
        <v>400</v>
      </c>
      <c r="I80" s="39">
        <v>695</v>
      </c>
      <c r="J80" s="39">
        <v>50</v>
      </c>
      <c r="K80" s="40"/>
      <c r="L80" s="40"/>
      <c r="M80" s="40"/>
      <c r="N80" s="40"/>
      <c r="O80" s="40"/>
      <c r="P80" s="40"/>
      <c r="Q80" s="40"/>
      <c r="R80" s="40"/>
      <c r="S80" s="40"/>
      <c r="T80" s="40"/>
    </row>
    <row r="81" spans="1:20" ht="15.75">
      <c r="A81" s="13">
        <v>43586</v>
      </c>
      <c r="B81" s="48">
        <v>31</v>
      </c>
      <c r="C81" s="39">
        <v>194.20500000000001</v>
      </c>
      <c r="D81" s="39">
        <v>267.46600000000001</v>
      </c>
      <c r="E81" s="45">
        <v>812.32899999999995</v>
      </c>
      <c r="F81" s="39">
        <v>1274</v>
      </c>
      <c r="G81" s="39">
        <v>75</v>
      </c>
      <c r="H81" s="47">
        <v>400</v>
      </c>
      <c r="I81" s="39">
        <v>695</v>
      </c>
      <c r="J81" s="39">
        <v>50</v>
      </c>
      <c r="K81" s="40"/>
      <c r="L81" s="40"/>
      <c r="M81" s="40"/>
      <c r="N81" s="40"/>
      <c r="O81" s="40"/>
      <c r="P81" s="40"/>
      <c r="Q81" s="40"/>
      <c r="R81" s="40"/>
      <c r="S81" s="40"/>
      <c r="T81" s="40"/>
    </row>
    <row r="82" spans="1:20" ht="15.75">
      <c r="A82" s="13">
        <v>43617</v>
      </c>
      <c r="B82" s="48">
        <v>30</v>
      </c>
      <c r="C82" s="39">
        <v>194.20500000000001</v>
      </c>
      <c r="D82" s="39">
        <v>267.46600000000001</v>
      </c>
      <c r="E82" s="45">
        <v>812.32899999999995</v>
      </c>
      <c r="F82" s="39">
        <v>1274</v>
      </c>
      <c r="G82" s="39">
        <v>50</v>
      </c>
      <c r="H82" s="47">
        <v>400</v>
      </c>
      <c r="I82" s="39">
        <v>695</v>
      </c>
      <c r="J82" s="39">
        <v>50</v>
      </c>
      <c r="K82" s="40"/>
      <c r="L82" s="40"/>
      <c r="M82" s="40"/>
      <c r="N82" s="40"/>
      <c r="O82" s="40"/>
      <c r="P82" s="40"/>
      <c r="Q82" s="40"/>
      <c r="R82" s="40"/>
      <c r="S82" s="40"/>
      <c r="T82" s="40"/>
    </row>
    <row r="83" spans="1:20" ht="15.75">
      <c r="A83" s="13">
        <v>43647</v>
      </c>
      <c r="B83" s="48">
        <v>31</v>
      </c>
      <c r="C83" s="39">
        <v>194.20500000000001</v>
      </c>
      <c r="D83" s="39">
        <v>267.46600000000001</v>
      </c>
      <c r="E83" s="45">
        <v>812.32899999999995</v>
      </c>
      <c r="F83" s="39">
        <v>1274</v>
      </c>
      <c r="G83" s="39">
        <v>50</v>
      </c>
      <c r="H83" s="47">
        <v>400</v>
      </c>
      <c r="I83" s="39">
        <v>695</v>
      </c>
      <c r="J83" s="39">
        <v>0</v>
      </c>
      <c r="K83" s="40"/>
      <c r="L83" s="40"/>
      <c r="M83" s="40"/>
      <c r="N83" s="40"/>
      <c r="O83" s="40"/>
      <c r="P83" s="40"/>
      <c r="Q83" s="40"/>
      <c r="R83" s="40"/>
      <c r="S83" s="40"/>
      <c r="T83" s="40"/>
    </row>
    <row r="84" spans="1:20" ht="15.75">
      <c r="A84" s="13">
        <v>43678</v>
      </c>
      <c r="B84" s="48">
        <v>31</v>
      </c>
      <c r="C84" s="39">
        <v>194.20500000000001</v>
      </c>
      <c r="D84" s="39">
        <v>267.46600000000001</v>
      </c>
      <c r="E84" s="45">
        <v>812.32899999999995</v>
      </c>
      <c r="F84" s="39">
        <v>1274</v>
      </c>
      <c r="G84" s="39">
        <v>50</v>
      </c>
      <c r="H84" s="47">
        <v>400</v>
      </c>
      <c r="I84" s="39">
        <v>695</v>
      </c>
      <c r="J84" s="39">
        <v>0</v>
      </c>
      <c r="K84" s="40"/>
      <c r="L84" s="40"/>
      <c r="M84" s="40"/>
      <c r="N84" s="40"/>
      <c r="O84" s="40"/>
      <c r="P84" s="40"/>
      <c r="Q84" s="40"/>
      <c r="R84" s="40"/>
      <c r="S84" s="40"/>
      <c r="T84" s="40"/>
    </row>
    <row r="85" spans="1:20" ht="15.75">
      <c r="A85" s="13">
        <v>43709</v>
      </c>
      <c r="B85" s="48">
        <v>30</v>
      </c>
      <c r="C85" s="39">
        <v>194.20500000000001</v>
      </c>
      <c r="D85" s="39">
        <v>267.46600000000001</v>
      </c>
      <c r="E85" s="45">
        <v>812.32899999999995</v>
      </c>
      <c r="F85" s="39">
        <v>1274</v>
      </c>
      <c r="G85" s="39">
        <v>50</v>
      </c>
      <c r="H85" s="47">
        <v>400</v>
      </c>
      <c r="I85" s="39">
        <v>695</v>
      </c>
      <c r="J85" s="39">
        <v>0</v>
      </c>
      <c r="K85" s="40"/>
      <c r="L85" s="40"/>
      <c r="M85" s="40"/>
      <c r="N85" s="40"/>
      <c r="O85" s="40"/>
      <c r="P85" s="40"/>
      <c r="Q85" s="40"/>
      <c r="R85" s="40"/>
      <c r="S85" s="40"/>
      <c r="T85" s="40"/>
    </row>
    <row r="86" spans="1:20" ht="15.75">
      <c r="A86" s="13">
        <v>43739</v>
      </c>
      <c r="B86" s="48">
        <v>31</v>
      </c>
      <c r="C86" s="39">
        <v>131.881</v>
      </c>
      <c r="D86" s="39">
        <v>277.16699999999997</v>
      </c>
      <c r="E86" s="45">
        <v>829.952</v>
      </c>
      <c r="F86" s="39">
        <v>1239</v>
      </c>
      <c r="G86" s="39">
        <v>75</v>
      </c>
      <c r="H86" s="47">
        <v>400</v>
      </c>
      <c r="I86" s="39">
        <v>695</v>
      </c>
      <c r="J86" s="39">
        <v>0</v>
      </c>
      <c r="K86" s="40"/>
      <c r="L86" s="40"/>
      <c r="M86" s="40"/>
      <c r="N86" s="40"/>
      <c r="O86" s="40"/>
      <c r="P86" s="40"/>
      <c r="Q86" s="40"/>
      <c r="R86" s="40"/>
      <c r="S86" s="40"/>
      <c r="T86" s="40"/>
    </row>
    <row r="87" spans="1:20" ht="15.75">
      <c r="A87" s="13">
        <v>43770</v>
      </c>
      <c r="B87" s="48">
        <v>30</v>
      </c>
      <c r="C87" s="39">
        <v>122.58</v>
      </c>
      <c r="D87" s="39">
        <v>297.94099999999997</v>
      </c>
      <c r="E87" s="45">
        <v>729.47900000000004</v>
      </c>
      <c r="F87" s="39">
        <v>1150</v>
      </c>
      <c r="G87" s="39">
        <v>100</v>
      </c>
      <c r="H87" s="47">
        <v>400</v>
      </c>
      <c r="I87" s="39">
        <v>695</v>
      </c>
      <c r="J87" s="39">
        <v>50</v>
      </c>
      <c r="K87" s="40"/>
      <c r="L87" s="40"/>
      <c r="M87" s="40"/>
      <c r="N87" s="40"/>
      <c r="O87" s="40"/>
      <c r="P87" s="40"/>
      <c r="Q87" s="40"/>
      <c r="R87" s="40"/>
      <c r="S87" s="40"/>
      <c r="T87" s="40"/>
    </row>
    <row r="88" spans="1:20" ht="15.75">
      <c r="A88" s="13">
        <v>43800</v>
      </c>
      <c r="B88" s="48">
        <v>31</v>
      </c>
      <c r="C88" s="39">
        <v>122.58</v>
      </c>
      <c r="D88" s="39">
        <v>297.94099999999997</v>
      </c>
      <c r="E88" s="45">
        <v>729.47900000000004</v>
      </c>
      <c r="F88" s="39">
        <v>1150</v>
      </c>
      <c r="G88" s="39">
        <v>100</v>
      </c>
      <c r="H88" s="47">
        <v>400</v>
      </c>
      <c r="I88" s="39">
        <v>695</v>
      </c>
      <c r="J88" s="39">
        <v>50</v>
      </c>
      <c r="K88" s="40"/>
      <c r="L88" s="40"/>
      <c r="M88" s="40"/>
      <c r="N88" s="40"/>
      <c r="O88" s="40"/>
      <c r="P88" s="40"/>
      <c r="Q88" s="40"/>
      <c r="R88" s="40"/>
      <c r="S88" s="40"/>
      <c r="T88" s="40"/>
    </row>
    <row r="89" spans="1:20" ht="15.75">
      <c r="A89" s="13">
        <v>43831</v>
      </c>
      <c r="B89" s="48">
        <v>31</v>
      </c>
      <c r="C89" s="39">
        <v>122.58</v>
      </c>
      <c r="D89" s="39">
        <v>297.94099999999997</v>
      </c>
      <c r="E89" s="45">
        <v>729.47900000000004</v>
      </c>
      <c r="F89" s="39">
        <v>1150</v>
      </c>
      <c r="G89" s="39">
        <v>100</v>
      </c>
      <c r="H89" s="47">
        <v>400</v>
      </c>
      <c r="I89" s="39">
        <v>695</v>
      </c>
      <c r="J89" s="39">
        <v>50</v>
      </c>
      <c r="K89" s="40"/>
      <c r="L89" s="40"/>
      <c r="M89" s="40"/>
      <c r="N89" s="40"/>
      <c r="O89" s="40"/>
      <c r="P89" s="40"/>
      <c r="Q89" s="40"/>
      <c r="R89" s="40"/>
      <c r="S89" s="40"/>
      <c r="T89" s="40"/>
    </row>
    <row r="90" spans="1:20" ht="15.75">
      <c r="A90" s="13">
        <v>43862</v>
      </c>
      <c r="B90" s="48">
        <v>29</v>
      </c>
      <c r="C90" s="39">
        <v>122.58</v>
      </c>
      <c r="D90" s="39">
        <v>297.94099999999997</v>
      </c>
      <c r="E90" s="45">
        <v>729.47900000000004</v>
      </c>
      <c r="F90" s="39">
        <v>1150</v>
      </c>
      <c r="G90" s="39">
        <v>100</v>
      </c>
      <c r="H90" s="47">
        <v>400</v>
      </c>
      <c r="I90" s="39">
        <v>695</v>
      </c>
      <c r="J90" s="39">
        <v>50</v>
      </c>
      <c r="K90" s="40"/>
      <c r="L90" s="40"/>
      <c r="M90" s="40"/>
      <c r="N90" s="40"/>
      <c r="O90" s="40"/>
      <c r="P90" s="40"/>
      <c r="Q90" s="40"/>
      <c r="R90" s="40"/>
      <c r="S90" s="40"/>
      <c r="T90" s="40"/>
    </row>
    <row r="91" spans="1:20" ht="15.75">
      <c r="A91" s="13">
        <v>43891</v>
      </c>
      <c r="B91" s="48">
        <v>31</v>
      </c>
      <c r="C91" s="39">
        <v>122.58</v>
      </c>
      <c r="D91" s="39">
        <v>297.94099999999997</v>
      </c>
      <c r="E91" s="45">
        <v>729.47900000000004</v>
      </c>
      <c r="F91" s="39">
        <v>1150</v>
      </c>
      <c r="G91" s="39">
        <v>100</v>
      </c>
      <c r="H91" s="47">
        <v>400</v>
      </c>
      <c r="I91" s="39">
        <v>695</v>
      </c>
      <c r="J91" s="39">
        <v>50</v>
      </c>
      <c r="K91" s="40"/>
      <c r="L91" s="40"/>
      <c r="M91" s="40"/>
      <c r="N91" s="40"/>
      <c r="O91" s="40"/>
      <c r="P91" s="40"/>
      <c r="Q91" s="40"/>
      <c r="R91" s="40"/>
      <c r="S91" s="40"/>
      <c r="T91" s="40"/>
    </row>
    <row r="92" spans="1:20" ht="15.75">
      <c r="A92" s="13">
        <v>43922</v>
      </c>
      <c r="B92" s="48">
        <v>30</v>
      </c>
      <c r="C92" s="39">
        <v>141.29300000000001</v>
      </c>
      <c r="D92" s="39">
        <v>267.99299999999999</v>
      </c>
      <c r="E92" s="45">
        <v>829.71400000000006</v>
      </c>
      <c r="F92" s="39">
        <v>1239</v>
      </c>
      <c r="G92" s="39">
        <v>100</v>
      </c>
      <c r="H92" s="47">
        <v>400</v>
      </c>
      <c r="I92" s="39">
        <v>695</v>
      </c>
      <c r="J92" s="39">
        <v>50</v>
      </c>
      <c r="K92" s="40"/>
      <c r="L92" s="40"/>
      <c r="M92" s="40"/>
      <c r="N92" s="40"/>
      <c r="O92" s="40"/>
      <c r="P92" s="40"/>
      <c r="Q92" s="40"/>
      <c r="R92" s="40"/>
      <c r="S92" s="40"/>
      <c r="T92" s="40"/>
    </row>
    <row r="93" spans="1:20" ht="15.75">
      <c r="A93" s="13">
        <v>43952</v>
      </c>
      <c r="B93" s="48">
        <v>31</v>
      </c>
      <c r="C93" s="39">
        <v>194.20500000000001</v>
      </c>
      <c r="D93" s="39">
        <v>267.46600000000001</v>
      </c>
      <c r="E93" s="45">
        <v>812.32899999999995</v>
      </c>
      <c r="F93" s="39">
        <v>1274</v>
      </c>
      <c r="G93" s="39">
        <v>75</v>
      </c>
      <c r="H93" s="47">
        <v>600</v>
      </c>
      <c r="I93" s="39">
        <v>695</v>
      </c>
      <c r="J93" s="39">
        <v>50</v>
      </c>
      <c r="K93" s="40"/>
      <c r="L93" s="40"/>
      <c r="M93" s="40"/>
      <c r="N93" s="40"/>
      <c r="O93" s="40"/>
      <c r="P93" s="40"/>
      <c r="Q93" s="40"/>
      <c r="R93" s="40"/>
      <c r="S93" s="40"/>
      <c r="T93" s="40"/>
    </row>
    <row r="94" spans="1:20" ht="15.75">
      <c r="A94" s="13">
        <v>43983</v>
      </c>
      <c r="B94" s="48">
        <v>30</v>
      </c>
      <c r="C94" s="39">
        <v>194.20500000000001</v>
      </c>
      <c r="D94" s="39">
        <v>267.46600000000001</v>
      </c>
      <c r="E94" s="45">
        <v>812.32899999999995</v>
      </c>
      <c r="F94" s="39">
        <v>1274</v>
      </c>
      <c r="G94" s="39">
        <v>50</v>
      </c>
      <c r="H94" s="47">
        <v>600</v>
      </c>
      <c r="I94" s="39">
        <v>695</v>
      </c>
      <c r="J94" s="39">
        <v>50</v>
      </c>
      <c r="K94" s="40"/>
      <c r="L94" s="40"/>
      <c r="M94" s="40"/>
      <c r="N94" s="40"/>
      <c r="O94" s="40"/>
      <c r="P94" s="40"/>
      <c r="Q94" s="40"/>
      <c r="R94" s="40"/>
      <c r="S94" s="40"/>
      <c r="T94" s="40"/>
    </row>
    <row r="95" spans="1:20" ht="15.75">
      <c r="A95" s="13">
        <v>44013</v>
      </c>
      <c r="B95" s="48">
        <v>31</v>
      </c>
      <c r="C95" s="39">
        <v>194.20500000000001</v>
      </c>
      <c r="D95" s="39">
        <v>267.46600000000001</v>
      </c>
      <c r="E95" s="45">
        <v>812.32899999999995</v>
      </c>
      <c r="F95" s="39">
        <v>1274</v>
      </c>
      <c r="G95" s="39">
        <v>50</v>
      </c>
      <c r="H95" s="47">
        <v>600</v>
      </c>
      <c r="I95" s="39">
        <v>695</v>
      </c>
      <c r="J95" s="39">
        <v>0</v>
      </c>
      <c r="K95" s="40"/>
      <c r="L95" s="40"/>
      <c r="M95" s="40"/>
      <c r="N95" s="40"/>
      <c r="O95" s="40"/>
      <c r="P95" s="40"/>
      <c r="Q95" s="40"/>
      <c r="R95" s="40"/>
      <c r="S95" s="40"/>
      <c r="T95" s="40"/>
    </row>
    <row r="96" spans="1:20" ht="15.75">
      <c r="A96" s="13">
        <v>44044</v>
      </c>
      <c r="B96" s="48">
        <v>31</v>
      </c>
      <c r="C96" s="39">
        <v>194.20500000000001</v>
      </c>
      <c r="D96" s="39">
        <v>267.46600000000001</v>
      </c>
      <c r="E96" s="45">
        <v>812.32899999999995</v>
      </c>
      <c r="F96" s="39">
        <v>1274</v>
      </c>
      <c r="G96" s="39">
        <v>50</v>
      </c>
      <c r="H96" s="47">
        <v>600</v>
      </c>
      <c r="I96" s="39">
        <v>695</v>
      </c>
      <c r="J96" s="39">
        <v>0</v>
      </c>
      <c r="K96" s="40"/>
      <c r="L96" s="40"/>
      <c r="M96" s="40"/>
      <c r="N96" s="40"/>
      <c r="O96" s="40"/>
      <c r="P96" s="40"/>
      <c r="Q96" s="40"/>
      <c r="R96" s="40"/>
      <c r="S96" s="40"/>
      <c r="T96" s="40"/>
    </row>
    <row r="97" spans="1:20" ht="15.75">
      <c r="A97" s="13">
        <v>44075</v>
      </c>
      <c r="B97" s="48">
        <v>30</v>
      </c>
      <c r="C97" s="39">
        <v>194.20500000000001</v>
      </c>
      <c r="D97" s="39">
        <v>267.46600000000001</v>
      </c>
      <c r="E97" s="45">
        <v>812.32899999999995</v>
      </c>
      <c r="F97" s="39">
        <v>1274</v>
      </c>
      <c r="G97" s="39">
        <v>50</v>
      </c>
      <c r="H97" s="47">
        <v>600</v>
      </c>
      <c r="I97" s="39">
        <v>695</v>
      </c>
      <c r="J97" s="39">
        <v>0</v>
      </c>
      <c r="K97" s="40"/>
      <c r="L97" s="40"/>
      <c r="M97" s="40"/>
      <c r="N97" s="40"/>
      <c r="O97" s="40"/>
      <c r="P97" s="40"/>
      <c r="Q97" s="40"/>
      <c r="R97" s="40"/>
      <c r="S97" s="40"/>
      <c r="T97" s="40"/>
    </row>
    <row r="98" spans="1:20" ht="15.75">
      <c r="A98" s="13">
        <v>44105</v>
      </c>
      <c r="B98" s="48">
        <v>31</v>
      </c>
      <c r="C98" s="39">
        <v>131.881</v>
      </c>
      <c r="D98" s="39">
        <v>277.16699999999997</v>
      </c>
      <c r="E98" s="45">
        <v>829.952</v>
      </c>
      <c r="F98" s="39">
        <v>1239</v>
      </c>
      <c r="G98" s="39">
        <v>75</v>
      </c>
      <c r="H98" s="47">
        <v>600</v>
      </c>
      <c r="I98" s="39">
        <v>695</v>
      </c>
      <c r="J98" s="39">
        <v>0</v>
      </c>
      <c r="K98" s="40"/>
      <c r="L98" s="40"/>
      <c r="M98" s="40"/>
      <c r="N98" s="40"/>
      <c r="O98" s="40"/>
      <c r="P98" s="40"/>
      <c r="Q98" s="40"/>
      <c r="R98" s="40"/>
      <c r="S98" s="40"/>
      <c r="T98" s="40"/>
    </row>
    <row r="99" spans="1:20" ht="15.75">
      <c r="A99" s="13">
        <v>44136</v>
      </c>
      <c r="B99" s="48">
        <v>30</v>
      </c>
      <c r="C99" s="39">
        <v>122.58</v>
      </c>
      <c r="D99" s="39">
        <v>297.94099999999997</v>
      </c>
      <c r="E99" s="45">
        <v>729.47900000000004</v>
      </c>
      <c r="F99" s="39">
        <v>1150</v>
      </c>
      <c r="G99" s="39">
        <v>100</v>
      </c>
      <c r="H99" s="47">
        <v>600</v>
      </c>
      <c r="I99" s="39">
        <v>695</v>
      </c>
      <c r="J99" s="39">
        <v>50</v>
      </c>
      <c r="K99" s="40"/>
      <c r="L99" s="40"/>
      <c r="M99" s="40"/>
      <c r="N99" s="40"/>
      <c r="O99" s="40"/>
      <c r="P99" s="40"/>
      <c r="Q99" s="40"/>
      <c r="R99" s="40"/>
      <c r="S99" s="40"/>
      <c r="T99" s="40"/>
    </row>
    <row r="100" spans="1:20" ht="15.75">
      <c r="A100" s="13">
        <v>44166</v>
      </c>
      <c r="B100" s="48">
        <v>31</v>
      </c>
      <c r="C100" s="39">
        <v>122.58</v>
      </c>
      <c r="D100" s="39">
        <v>297.94099999999997</v>
      </c>
      <c r="E100" s="45">
        <v>729.47900000000004</v>
      </c>
      <c r="F100" s="39">
        <v>1150</v>
      </c>
      <c r="G100" s="39">
        <v>100</v>
      </c>
      <c r="H100" s="47">
        <v>600</v>
      </c>
      <c r="I100" s="39">
        <v>695</v>
      </c>
      <c r="J100" s="39">
        <v>50</v>
      </c>
      <c r="K100" s="40"/>
      <c r="L100" s="40"/>
      <c r="M100" s="40"/>
      <c r="N100" s="40"/>
      <c r="O100" s="40"/>
      <c r="P100" s="40"/>
      <c r="Q100" s="40"/>
      <c r="R100" s="40"/>
      <c r="S100" s="40"/>
      <c r="T100" s="40"/>
    </row>
    <row r="101" spans="1:20" ht="15.75">
      <c r="A101" s="13">
        <v>44197</v>
      </c>
      <c r="B101" s="48">
        <v>31</v>
      </c>
      <c r="C101" s="39">
        <v>122.58</v>
      </c>
      <c r="D101" s="39">
        <v>297.94099999999997</v>
      </c>
      <c r="E101" s="45">
        <v>729.47900000000004</v>
      </c>
      <c r="F101" s="39">
        <v>1150</v>
      </c>
      <c r="G101" s="39">
        <v>100</v>
      </c>
      <c r="H101" s="47">
        <v>600</v>
      </c>
      <c r="I101" s="39">
        <v>695</v>
      </c>
      <c r="J101" s="39">
        <v>50</v>
      </c>
      <c r="K101" s="40"/>
      <c r="L101" s="40"/>
      <c r="M101" s="40"/>
      <c r="N101" s="40"/>
      <c r="O101" s="40"/>
      <c r="P101" s="40"/>
      <c r="Q101" s="40"/>
      <c r="R101" s="40"/>
      <c r="S101" s="40"/>
      <c r="T101" s="40"/>
    </row>
    <row r="102" spans="1:20" ht="15.75">
      <c r="A102" s="13">
        <v>44228</v>
      </c>
      <c r="B102" s="48">
        <v>28</v>
      </c>
      <c r="C102" s="39">
        <v>122.58</v>
      </c>
      <c r="D102" s="39">
        <v>297.94099999999997</v>
      </c>
      <c r="E102" s="45">
        <v>729.47900000000004</v>
      </c>
      <c r="F102" s="39">
        <v>1150</v>
      </c>
      <c r="G102" s="39">
        <v>100</v>
      </c>
      <c r="H102" s="47">
        <v>600</v>
      </c>
      <c r="I102" s="39">
        <v>695</v>
      </c>
      <c r="J102" s="39">
        <v>50</v>
      </c>
      <c r="K102" s="40"/>
      <c r="L102" s="40"/>
      <c r="M102" s="40"/>
      <c r="N102" s="40"/>
      <c r="O102" s="40"/>
      <c r="P102" s="40"/>
      <c r="Q102" s="40"/>
      <c r="R102" s="40"/>
      <c r="S102" s="40"/>
      <c r="T102" s="40"/>
    </row>
    <row r="103" spans="1:20" ht="15.75">
      <c r="A103" s="13">
        <v>44256</v>
      </c>
      <c r="B103" s="48">
        <v>31</v>
      </c>
      <c r="C103" s="39">
        <v>122.58</v>
      </c>
      <c r="D103" s="39">
        <v>297.94099999999997</v>
      </c>
      <c r="E103" s="45">
        <v>729.47900000000004</v>
      </c>
      <c r="F103" s="39">
        <v>1150</v>
      </c>
      <c r="G103" s="39">
        <v>100</v>
      </c>
      <c r="H103" s="47">
        <v>600</v>
      </c>
      <c r="I103" s="39">
        <v>695</v>
      </c>
      <c r="J103" s="39">
        <v>50</v>
      </c>
      <c r="K103" s="40"/>
      <c r="L103" s="40"/>
      <c r="M103" s="40"/>
      <c r="N103" s="40"/>
      <c r="O103" s="40"/>
      <c r="P103" s="40"/>
      <c r="Q103" s="40"/>
      <c r="R103" s="40"/>
      <c r="S103" s="40"/>
      <c r="T103" s="40"/>
    </row>
    <row r="104" spans="1:20" ht="15.75">
      <c r="A104" s="13">
        <v>44287</v>
      </c>
      <c r="B104" s="48">
        <v>30</v>
      </c>
      <c r="C104" s="39">
        <v>141.29300000000001</v>
      </c>
      <c r="D104" s="39">
        <v>267.99299999999999</v>
      </c>
      <c r="E104" s="45">
        <v>829.71400000000006</v>
      </c>
      <c r="F104" s="39">
        <v>1239</v>
      </c>
      <c r="G104" s="39">
        <v>100</v>
      </c>
      <c r="H104" s="47">
        <v>600</v>
      </c>
      <c r="I104" s="39">
        <v>695</v>
      </c>
      <c r="J104" s="39">
        <v>50</v>
      </c>
      <c r="K104" s="40"/>
      <c r="L104" s="40"/>
      <c r="M104" s="40"/>
      <c r="N104" s="40"/>
      <c r="O104" s="40"/>
      <c r="P104" s="40"/>
      <c r="Q104" s="40"/>
      <c r="R104" s="40"/>
      <c r="S104" s="40"/>
      <c r="T104" s="40"/>
    </row>
    <row r="105" spans="1:20" ht="15.75">
      <c r="A105" s="13">
        <v>44317</v>
      </c>
      <c r="B105" s="48">
        <v>31</v>
      </c>
      <c r="C105" s="39">
        <v>194.20500000000001</v>
      </c>
      <c r="D105" s="39">
        <v>267.46600000000001</v>
      </c>
      <c r="E105" s="45">
        <v>812.32899999999995</v>
      </c>
      <c r="F105" s="39">
        <v>1274</v>
      </c>
      <c r="G105" s="39">
        <v>75</v>
      </c>
      <c r="H105" s="47">
        <v>600</v>
      </c>
      <c r="I105" s="39">
        <v>695</v>
      </c>
      <c r="J105" s="39">
        <v>50</v>
      </c>
      <c r="K105" s="40"/>
      <c r="L105" s="40"/>
      <c r="M105" s="40"/>
      <c r="N105" s="40"/>
      <c r="O105" s="40"/>
      <c r="P105" s="40"/>
      <c r="Q105" s="40"/>
      <c r="R105" s="40"/>
      <c r="S105" s="40"/>
      <c r="T105" s="40"/>
    </row>
    <row r="106" spans="1:20" ht="15.75">
      <c r="A106" s="13">
        <v>44348</v>
      </c>
      <c r="B106" s="48">
        <v>30</v>
      </c>
      <c r="C106" s="39">
        <v>194.20500000000001</v>
      </c>
      <c r="D106" s="39">
        <v>267.46600000000001</v>
      </c>
      <c r="E106" s="45">
        <v>812.32899999999995</v>
      </c>
      <c r="F106" s="39">
        <v>1274</v>
      </c>
      <c r="G106" s="39">
        <v>50</v>
      </c>
      <c r="H106" s="47">
        <v>600</v>
      </c>
      <c r="I106" s="39">
        <v>695</v>
      </c>
      <c r="J106" s="39">
        <v>50</v>
      </c>
      <c r="K106" s="40"/>
      <c r="L106" s="40"/>
      <c r="M106" s="40"/>
      <c r="N106" s="40"/>
      <c r="O106" s="40"/>
      <c r="P106" s="40"/>
      <c r="Q106" s="40"/>
      <c r="R106" s="40"/>
      <c r="S106" s="40"/>
      <c r="T106" s="40"/>
    </row>
    <row r="107" spans="1:20" ht="15.75">
      <c r="A107" s="13">
        <v>44378</v>
      </c>
      <c r="B107" s="48">
        <v>31</v>
      </c>
      <c r="C107" s="39">
        <v>194.20500000000001</v>
      </c>
      <c r="D107" s="39">
        <v>267.46600000000001</v>
      </c>
      <c r="E107" s="45">
        <v>812.32899999999995</v>
      </c>
      <c r="F107" s="39">
        <v>1274</v>
      </c>
      <c r="G107" s="39">
        <v>50</v>
      </c>
      <c r="H107" s="47">
        <v>600</v>
      </c>
      <c r="I107" s="39">
        <v>695</v>
      </c>
      <c r="J107" s="39">
        <v>0</v>
      </c>
      <c r="K107" s="40"/>
      <c r="L107" s="40"/>
      <c r="M107" s="40"/>
      <c r="N107" s="40"/>
      <c r="O107" s="40"/>
      <c r="P107" s="40"/>
      <c r="Q107" s="40"/>
      <c r="R107" s="40"/>
      <c r="S107" s="40"/>
      <c r="T107" s="40"/>
    </row>
    <row r="108" spans="1:20" ht="15.75">
      <c r="A108" s="13">
        <v>44409</v>
      </c>
      <c r="B108" s="48">
        <v>31</v>
      </c>
      <c r="C108" s="39">
        <v>194.20500000000001</v>
      </c>
      <c r="D108" s="39">
        <v>267.46600000000001</v>
      </c>
      <c r="E108" s="45">
        <v>812.32899999999995</v>
      </c>
      <c r="F108" s="39">
        <v>1274</v>
      </c>
      <c r="G108" s="39">
        <v>50</v>
      </c>
      <c r="H108" s="47">
        <v>600</v>
      </c>
      <c r="I108" s="39">
        <v>695</v>
      </c>
      <c r="J108" s="39">
        <v>0</v>
      </c>
      <c r="K108" s="40"/>
      <c r="L108" s="40"/>
      <c r="M108" s="40"/>
      <c r="N108" s="40"/>
      <c r="O108" s="40"/>
      <c r="P108" s="40"/>
      <c r="Q108" s="40"/>
      <c r="R108" s="40"/>
      <c r="S108" s="40"/>
      <c r="T108" s="40"/>
    </row>
    <row r="109" spans="1:20" ht="15.75">
      <c r="A109" s="13">
        <v>44440</v>
      </c>
      <c r="B109" s="48">
        <v>30</v>
      </c>
      <c r="C109" s="39">
        <v>194.20500000000001</v>
      </c>
      <c r="D109" s="39">
        <v>267.46600000000001</v>
      </c>
      <c r="E109" s="45">
        <v>812.32899999999995</v>
      </c>
      <c r="F109" s="39">
        <v>1274</v>
      </c>
      <c r="G109" s="39">
        <v>50</v>
      </c>
      <c r="H109" s="47">
        <v>600</v>
      </c>
      <c r="I109" s="39">
        <v>695</v>
      </c>
      <c r="J109" s="39">
        <v>0</v>
      </c>
      <c r="K109" s="40"/>
      <c r="L109" s="40"/>
      <c r="M109" s="40"/>
      <c r="N109" s="40"/>
      <c r="O109" s="40"/>
      <c r="P109" s="40"/>
      <c r="Q109" s="40"/>
      <c r="R109" s="40"/>
      <c r="S109" s="40"/>
      <c r="T109" s="40"/>
    </row>
    <row r="110" spans="1:20" ht="15.75">
      <c r="A110" s="13">
        <v>44470</v>
      </c>
      <c r="B110" s="48">
        <v>31</v>
      </c>
      <c r="C110" s="39">
        <v>131.881</v>
      </c>
      <c r="D110" s="39">
        <v>277.16699999999997</v>
      </c>
      <c r="E110" s="45">
        <v>829.952</v>
      </c>
      <c r="F110" s="39">
        <v>1239</v>
      </c>
      <c r="G110" s="39">
        <v>75</v>
      </c>
      <c r="H110" s="47">
        <v>600</v>
      </c>
      <c r="I110" s="39">
        <v>695</v>
      </c>
      <c r="J110" s="39">
        <v>0</v>
      </c>
      <c r="K110" s="40"/>
      <c r="L110" s="40"/>
      <c r="M110" s="40"/>
      <c r="N110" s="40"/>
      <c r="O110" s="40"/>
      <c r="P110" s="40"/>
      <c r="Q110" s="40"/>
      <c r="R110" s="40"/>
      <c r="S110" s="40"/>
      <c r="T110" s="40"/>
    </row>
    <row r="111" spans="1:20" ht="15.75">
      <c r="A111" s="13">
        <v>44501</v>
      </c>
      <c r="B111" s="48">
        <v>30</v>
      </c>
      <c r="C111" s="39">
        <v>122.58</v>
      </c>
      <c r="D111" s="39">
        <v>297.94099999999997</v>
      </c>
      <c r="E111" s="45">
        <v>729.47900000000004</v>
      </c>
      <c r="F111" s="39">
        <v>1150</v>
      </c>
      <c r="G111" s="39">
        <v>100</v>
      </c>
      <c r="H111" s="47">
        <v>600</v>
      </c>
      <c r="I111" s="39">
        <v>695</v>
      </c>
      <c r="J111" s="39">
        <v>50</v>
      </c>
      <c r="K111" s="40"/>
      <c r="L111" s="40"/>
      <c r="M111" s="40"/>
      <c r="N111" s="40"/>
      <c r="O111" s="40"/>
      <c r="P111" s="40"/>
      <c r="Q111" s="40"/>
      <c r="R111" s="40"/>
      <c r="S111" s="40"/>
      <c r="T111" s="40"/>
    </row>
    <row r="112" spans="1:20" ht="15.75">
      <c r="A112" s="13">
        <v>44531</v>
      </c>
      <c r="B112" s="48">
        <v>31</v>
      </c>
      <c r="C112" s="39">
        <v>122.58</v>
      </c>
      <c r="D112" s="39">
        <v>297.94099999999997</v>
      </c>
      <c r="E112" s="45">
        <v>729.47900000000004</v>
      </c>
      <c r="F112" s="39">
        <v>1150</v>
      </c>
      <c r="G112" s="39">
        <v>100</v>
      </c>
      <c r="H112" s="47">
        <v>600</v>
      </c>
      <c r="I112" s="39">
        <v>695</v>
      </c>
      <c r="J112" s="39">
        <v>50</v>
      </c>
      <c r="K112" s="40"/>
      <c r="L112" s="40"/>
      <c r="M112" s="40"/>
      <c r="N112" s="40"/>
      <c r="O112" s="40"/>
      <c r="P112" s="40"/>
      <c r="Q112" s="40"/>
      <c r="R112" s="40"/>
      <c r="S112" s="40"/>
      <c r="T112" s="40"/>
    </row>
    <row r="113" spans="1:20" ht="15.75">
      <c r="A113" s="13">
        <v>44562</v>
      </c>
      <c r="B113" s="48">
        <v>31</v>
      </c>
      <c r="C113" s="39">
        <v>122.58</v>
      </c>
      <c r="D113" s="39">
        <v>297.94099999999997</v>
      </c>
      <c r="E113" s="45">
        <v>729.47900000000004</v>
      </c>
      <c r="F113" s="39">
        <v>1150</v>
      </c>
      <c r="G113" s="39">
        <v>100</v>
      </c>
      <c r="H113" s="47">
        <v>600</v>
      </c>
      <c r="I113" s="39">
        <v>695</v>
      </c>
      <c r="J113" s="39">
        <v>50</v>
      </c>
      <c r="K113" s="40"/>
      <c r="L113" s="40"/>
      <c r="M113" s="40"/>
      <c r="N113" s="40"/>
      <c r="O113" s="40"/>
      <c r="P113" s="40"/>
      <c r="Q113" s="40"/>
      <c r="R113" s="40"/>
      <c r="S113" s="40"/>
      <c r="T113" s="40"/>
    </row>
    <row r="114" spans="1:20" ht="15.75">
      <c r="A114" s="13">
        <v>44593</v>
      </c>
      <c r="B114" s="48">
        <v>28</v>
      </c>
      <c r="C114" s="39">
        <v>122.58</v>
      </c>
      <c r="D114" s="39">
        <v>297.94099999999997</v>
      </c>
      <c r="E114" s="45">
        <v>729.47900000000004</v>
      </c>
      <c r="F114" s="39">
        <v>1150</v>
      </c>
      <c r="G114" s="39">
        <v>100</v>
      </c>
      <c r="H114" s="47">
        <v>600</v>
      </c>
      <c r="I114" s="39">
        <v>695</v>
      </c>
      <c r="J114" s="39">
        <v>50</v>
      </c>
      <c r="K114" s="40"/>
      <c r="L114" s="40"/>
      <c r="M114" s="40"/>
      <c r="N114" s="40"/>
      <c r="O114" s="40"/>
      <c r="P114" s="40"/>
      <c r="Q114" s="40"/>
      <c r="R114" s="40"/>
      <c r="S114" s="40"/>
      <c r="T114" s="40"/>
    </row>
    <row r="115" spans="1:20" ht="15.75">
      <c r="A115" s="13">
        <v>44621</v>
      </c>
      <c r="B115" s="48">
        <v>31</v>
      </c>
      <c r="C115" s="39">
        <v>122.58</v>
      </c>
      <c r="D115" s="39">
        <v>297.94099999999997</v>
      </c>
      <c r="E115" s="45">
        <v>729.47900000000004</v>
      </c>
      <c r="F115" s="39">
        <v>1150</v>
      </c>
      <c r="G115" s="39">
        <v>100</v>
      </c>
      <c r="H115" s="47">
        <v>600</v>
      </c>
      <c r="I115" s="39">
        <v>695</v>
      </c>
      <c r="J115" s="39">
        <v>50</v>
      </c>
      <c r="K115" s="40"/>
      <c r="L115" s="40"/>
      <c r="M115" s="40"/>
      <c r="N115" s="40"/>
      <c r="O115" s="40"/>
      <c r="P115" s="40"/>
      <c r="Q115" s="40"/>
      <c r="R115" s="40"/>
      <c r="S115" s="40"/>
      <c r="T115" s="40"/>
    </row>
    <row r="116" spans="1:20" ht="15.75">
      <c r="A116" s="13">
        <v>44652</v>
      </c>
      <c r="B116" s="48">
        <v>30</v>
      </c>
      <c r="C116" s="39">
        <v>141.29300000000001</v>
      </c>
      <c r="D116" s="39">
        <v>267.99299999999999</v>
      </c>
      <c r="E116" s="45">
        <v>829.71400000000006</v>
      </c>
      <c r="F116" s="39">
        <v>1239</v>
      </c>
      <c r="G116" s="39">
        <v>100</v>
      </c>
      <c r="H116" s="47">
        <v>600</v>
      </c>
      <c r="I116" s="39">
        <v>695</v>
      </c>
      <c r="J116" s="39">
        <v>50</v>
      </c>
      <c r="K116" s="40"/>
      <c r="L116" s="40"/>
      <c r="M116" s="40"/>
      <c r="N116" s="40"/>
      <c r="O116" s="40"/>
      <c r="P116" s="40"/>
      <c r="Q116" s="40"/>
      <c r="R116" s="40"/>
      <c r="S116" s="40"/>
      <c r="T116" s="40"/>
    </row>
    <row r="117" spans="1:20" ht="15.75">
      <c r="A117" s="13">
        <v>44682</v>
      </c>
      <c r="B117" s="48">
        <v>31</v>
      </c>
      <c r="C117" s="39">
        <v>194.20500000000001</v>
      </c>
      <c r="D117" s="39">
        <v>267.46600000000001</v>
      </c>
      <c r="E117" s="45">
        <v>812.32899999999995</v>
      </c>
      <c r="F117" s="39">
        <v>1274</v>
      </c>
      <c r="G117" s="39">
        <v>75</v>
      </c>
      <c r="H117" s="47">
        <v>600</v>
      </c>
      <c r="I117" s="39">
        <v>695</v>
      </c>
      <c r="J117" s="39">
        <v>50</v>
      </c>
      <c r="K117" s="40"/>
      <c r="L117" s="40"/>
      <c r="M117" s="40"/>
      <c r="N117" s="40"/>
      <c r="O117" s="40"/>
      <c r="P117" s="40"/>
      <c r="Q117" s="40"/>
      <c r="R117" s="40"/>
      <c r="S117" s="40"/>
      <c r="T117" s="40"/>
    </row>
    <row r="118" spans="1:20" ht="15.75">
      <c r="A118" s="13">
        <v>44713</v>
      </c>
      <c r="B118" s="48">
        <v>30</v>
      </c>
      <c r="C118" s="39">
        <v>194.20500000000001</v>
      </c>
      <c r="D118" s="39">
        <v>267.46600000000001</v>
      </c>
      <c r="E118" s="45">
        <v>812.32899999999995</v>
      </c>
      <c r="F118" s="39">
        <v>1274</v>
      </c>
      <c r="G118" s="39">
        <v>50</v>
      </c>
      <c r="H118" s="47">
        <v>600</v>
      </c>
      <c r="I118" s="39">
        <v>695</v>
      </c>
      <c r="J118" s="39">
        <v>50</v>
      </c>
      <c r="K118" s="40"/>
      <c r="L118" s="40"/>
      <c r="M118" s="40"/>
      <c r="N118" s="40"/>
      <c r="O118" s="40"/>
      <c r="P118" s="40"/>
      <c r="Q118" s="40"/>
      <c r="R118" s="40"/>
      <c r="S118" s="40"/>
      <c r="T118" s="40"/>
    </row>
    <row r="119" spans="1:20" ht="15.75">
      <c r="A119" s="13">
        <v>44743</v>
      </c>
      <c r="B119" s="48">
        <v>31</v>
      </c>
      <c r="C119" s="39">
        <v>194.20500000000001</v>
      </c>
      <c r="D119" s="39">
        <v>267.46600000000001</v>
      </c>
      <c r="E119" s="45">
        <v>812.32899999999995</v>
      </c>
      <c r="F119" s="39">
        <v>1274</v>
      </c>
      <c r="G119" s="39">
        <v>50</v>
      </c>
      <c r="H119" s="47">
        <v>600</v>
      </c>
      <c r="I119" s="39">
        <v>695</v>
      </c>
      <c r="J119" s="39">
        <v>0</v>
      </c>
      <c r="K119" s="40"/>
      <c r="L119" s="40"/>
      <c r="M119" s="40"/>
      <c r="N119" s="40"/>
      <c r="O119" s="40"/>
      <c r="P119" s="40"/>
      <c r="Q119" s="40"/>
      <c r="R119" s="40"/>
      <c r="S119" s="40"/>
      <c r="T119" s="40"/>
    </row>
    <row r="120" spans="1:20" ht="15.75">
      <c r="A120" s="13">
        <v>44774</v>
      </c>
      <c r="B120" s="48">
        <v>31</v>
      </c>
      <c r="C120" s="39">
        <v>194.20500000000001</v>
      </c>
      <c r="D120" s="39">
        <v>267.46600000000001</v>
      </c>
      <c r="E120" s="45">
        <v>812.32899999999995</v>
      </c>
      <c r="F120" s="39">
        <v>1274</v>
      </c>
      <c r="G120" s="39">
        <v>50</v>
      </c>
      <c r="H120" s="47">
        <v>600</v>
      </c>
      <c r="I120" s="39">
        <v>695</v>
      </c>
      <c r="J120" s="39">
        <v>0</v>
      </c>
      <c r="K120" s="40"/>
      <c r="L120" s="40"/>
      <c r="M120" s="40"/>
      <c r="N120" s="40"/>
      <c r="O120" s="40"/>
      <c r="P120" s="40"/>
      <c r="Q120" s="40"/>
      <c r="R120" s="40"/>
      <c r="S120" s="40"/>
      <c r="T120" s="40"/>
    </row>
    <row r="121" spans="1:20" ht="15.75">
      <c r="A121" s="13">
        <v>44805</v>
      </c>
      <c r="B121" s="48">
        <v>30</v>
      </c>
      <c r="C121" s="39">
        <v>194.20500000000001</v>
      </c>
      <c r="D121" s="39">
        <v>267.46600000000001</v>
      </c>
      <c r="E121" s="45">
        <v>812.32899999999995</v>
      </c>
      <c r="F121" s="39">
        <v>1274</v>
      </c>
      <c r="G121" s="39">
        <v>50</v>
      </c>
      <c r="H121" s="47">
        <v>600</v>
      </c>
      <c r="I121" s="39">
        <v>695</v>
      </c>
      <c r="J121" s="39">
        <v>0</v>
      </c>
      <c r="K121" s="40"/>
      <c r="L121" s="40"/>
      <c r="M121" s="40"/>
      <c r="N121" s="40"/>
      <c r="O121" s="40"/>
      <c r="P121" s="40"/>
      <c r="Q121" s="40"/>
      <c r="R121" s="40"/>
      <c r="S121" s="40"/>
      <c r="T121" s="40"/>
    </row>
    <row r="122" spans="1:20" ht="15.75">
      <c r="A122" s="13">
        <v>44835</v>
      </c>
      <c r="B122" s="48">
        <v>31</v>
      </c>
      <c r="C122" s="39">
        <v>131.881</v>
      </c>
      <c r="D122" s="39">
        <v>277.16699999999997</v>
      </c>
      <c r="E122" s="45">
        <v>829.952</v>
      </c>
      <c r="F122" s="39">
        <v>1239</v>
      </c>
      <c r="G122" s="39">
        <v>75</v>
      </c>
      <c r="H122" s="47">
        <v>600</v>
      </c>
      <c r="I122" s="39">
        <v>695</v>
      </c>
      <c r="J122" s="39">
        <v>0</v>
      </c>
      <c r="K122" s="40"/>
      <c r="L122" s="40"/>
      <c r="M122" s="40"/>
      <c r="N122" s="40"/>
      <c r="O122" s="40"/>
      <c r="P122" s="40"/>
      <c r="Q122" s="40"/>
      <c r="R122" s="40"/>
      <c r="S122" s="40"/>
      <c r="T122" s="40"/>
    </row>
    <row r="123" spans="1:20" ht="15.75">
      <c r="A123" s="13">
        <v>44866</v>
      </c>
      <c r="B123" s="48">
        <v>30</v>
      </c>
      <c r="C123" s="39">
        <v>122.58</v>
      </c>
      <c r="D123" s="39">
        <v>297.94099999999997</v>
      </c>
      <c r="E123" s="45">
        <v>729.47900000000004</v>
      </c>
      <c r="F123" s="39">
        <v>1150</v>
      </c>
      <c r="G123" s="39">
        <v>100</v>
      </c>
      <c r="H123" s="47">
        <v>600</v>
      </c>
      <c r="I123" s="39">
        <v>695</v>
      </c>
      <c r="J123" s="39">
        <v>50</v>
      </c>
      <c r="K123" s="40"/>
      <c r="L123" s="40"/>
      <c r="M123" s="40"/>
      <c r="N123" s="40"/>
      <c r="O123" s="40"/>
      <c r="P123" s="40"/>
      <c r="Q123" s="40"/>
      <c r="R123" s="40"/>
      <c r="S123" s="40"/>
      <c r="T123" s="40"/>
    </row>
    <row r="124" spans="1:20" ht="15.75">
      <c r="A124" s="13">
        <v>44896</v>
      </c>
      <c r="B124" s="48">
        <v>31</v>
      </c>
      <c r="C124" s="39">
        <v>122.58</v>
      </c>
      <c r="D124" s="39">
        <v>297.94099999999997</v>
      </c>
      <c r="E124" s="45">
        <v>729.47900000000004</v>
      </c>
      <c r="F124" s="39">
        <v>1150</v>
      </c>
      <c r="G124" s="39">
        <v>100</v>
      </c>
      <c r="H124" s="47">
        <v>600</v>
      </c>
      <c r="I124" s="39">
        <v>695</v>
      </c>
      <c r="J124" s="39">
        <v>50</v>
      </c>
      <c r="K124" s="40"/>
      <c r="L124" s="40"/>
      <c r="M124" s="40"/>
      <c r="N124" s="40"/>
      <c r="O124" s="40"/>
      <c r="P124" s="40"/>
      <c r="Q124" s="40"/>
      <c r="R124" s="40"/>
      <c r="S124" s="40"/>
      <c r="T124" s="40"/>
    </row>
    <row r="125" spans="1:20" ht="15.75">
      <c r="A125" s="13">
        <v>44927</v>
      </c>
      <c r="B125" s="48">
        <v>31</v>
      </c>
      <c r="C125" s="39">
        <v>122.58</v>
      </c>
      <c r="D125" s="39">
        <v>297.94099999999997</v>
      </c>
      <c r="E125" s="45">
        <v>729.47900000000004</v>
      </c>
      <c r="F125" s="39">
        <v>1150</v>
      </c>
      <c r="G125" s="39">
        <v>100</v>
      </c>
      <c r="H125" s="47">
        <v>600</v>
      </c>
      <c r="I125" s="39">
        <v>695</v>
      </c>
      <c r="J125" s="39">
        <v>50</v>
      </c>
      <c r="K125" s="40"/>
      <c r="L125" s="40"/>
      <c r="M125" s="40"/>
      <c r="N125" s="40"/>
      <c r="O125" s="40"/>
      <c r="P125" s="40"/>
      <c r="Q125" s="40"/>
      <c r="R125" s="40"/>
      <c r="S125" s="40"/>
      <c r="T125" s="40"/>
    </row>
    <row r="126" spans="1:20" ht="15.75">
      <c r="A126" s="13">
        <v>44958</v>
      </c>
      <c r="B126" s="48">
        <v>28</v>
      </c>
      <c r="C126" s="39">
        <v>122.58</v>
      </c>
      <c r="D126" s="39">
        <v>297.94099999999997</v>
      </c>
      <c r="E126" s="45">
        <v>729.47900000000004</v>
      </c>
      <c r="F126" s="39">
        <v>1150</v>
      </c>
      <c r="G126" s="39">
        <v>100</v>
      </c>
      <c r="H126" s="47">
        <v>600</v>
      </c>
      <c r="I126" s="39">
        <v>695</v>
      </c>
      <c r="J126" s="39">
        <v>50</v>
      </c>
      <c r="K126" s="40"/>
      <c r="L126" s="40"/>
      <c r="M126" s="40"/>
      <c r="N126" s="40"/>
      <c r="O126" s="40"/>
      <c r="P126" s="40"/>
      <c r="Q126" s="40"/>
      <c r="R126" s="40"/>
      <c r="S126" s="40"/>
      <c r="T126" s="40"/>
    </row>
    <row r="127" spans="1:20" ht="15.75">
      <c r="A127" s="13">
        <v>44986</v>
      </c>
      <c r="B127" s="48">
        <v>31</v>
      </c>
      <c r="C127" s="39">
        <v>122.58</v>
      </c>
      <c r="D127" s="39">
        <v>297.94099999999997</v>
      </c>
      <c r="E127" s="45">
        <v>729.47900000000004</v>
      </c>
      <c r="F127" s="39">
        <v>1150</v>
      </c>
      <c r="G127" s="39">
        <v>100</v>
      </c>
      <c r="H127" s="47">
        <v>600</v>
      </c>
      <c r="I127" s="39">
        <v>695</v>
      </c>
      <c r="J127" s="39">
        <v>50</v>
      </c>
      <c r="K127" s="40"/>
      <c r="L127" s="40"/>
      <c r="M127" s="40"/>
      <c r="N127" s="40"/>
      <c r="O127" s="40"/>
      <c r="P127" s="40"/>
      <c r="Q127" s="40"/>
      <c r="R127" s="40"/>
      <c r="S127" s="40"/>
      <c r="T127" s="40"/>
    </row>
    <row r="128" spans="1:20" ht="15.75">
      <c r="A128" s="13">
        <v>45017</v>
      </c>
      <c r="B128" s="48">
        <v>30</v>
      </c>
      <c r="C128" s="39">
        <v>141.29300000000001</v>
      </c>
      <c r="D128" s="39">
        <v>267.99299999999999</v>
      </c>
      <c r="E128" s="45">
        <v>829.71400000000006</v>
      </c>
      <c r="F128" s="39">
        <v>1239</v>
      </c>
      <c r="G128" s="39">
        <v>100</v>
      </c>
      <c r="H128" s="47">
        <v>600</v>
      </c>
      <c r="I128" s="39">
        <v>695</v>
      </c>
      <c r="J128" s="39">
        <v>50</v>
      </c>
      <c r="K128" s="40"/>
      <c r="L128" s="40"/>
      <c r="M128" s="40"/>
      <c r="N128" s="40"/>
      <c r="O128" s="40"/>
      <c r="P128" s="40"/>
      <c r="Q128" s="40"/>
      <c r="R128" s="40"/>
      <c r="S128" s="40"/>
      <c r="T128" s="40"/>
    </row>
    <row r="129" spans="1:20" ht="15.75">
      <c r="A129" s="13">
        <v>45047</v>
      </c>
      <c r="B129" s="48">
        <v>31</v>
      </c>
      <c r="C129" s="39">
        <v>194.20500000000001</v>
      </c>
      <c r="D129" s="39">
        <v>267.46600000000001</v>
      </c>
      <c r="E129" s="45">
        <v>812.32899999999995</v>
      </c>
      <c r="F129" s="39">
        <v>1274</v>
      </c>
      <c r="G129" s="39">
        <v>75</v>
      </c>
      <c r="H129" s="47">
        <v>600</v>
      </c>
      <c r="I129" s="39">
        <v>695</v>
      </c>
      <c r="J129" s="39">
        <v>50</v>
      </c>
      <c r="K129" s="40"/>
      <c r="L129" s="40"/>
      <c r="M129" s="40"/>
      <c r="N129" s="40"/>
      <c r="O129" s="40"/>
      <c r="P129" s="40"/>
      <c r="Q129" s="40"/>
      <c r="R129" s="40"/>
      <c r="S129" s="40"/>
      <c r="T129" s="40"/>
    </row>
    <row r="130" spans="1:20" ht="15.75">
      <c r="A130" s="13">
        <v>45078</v>
      </c>
      <c r="B130" s="48">
        <v>30</v>
      </c>
      <c r="C130" s="39">
        <v>194.20500000000001</v>
      </c>
      <c r="D130" s="39">
        <v>267.46600000000001</v>
      </c>
      <c r="E130" s="45">
        <v>812.32899999999995</v>
      </c>
      <c r="F130" s="39">
        <v>1274</v>
      </c>
      <c r="G130" s="39">
        <v>50</v>
      </c>
      <c r="H130" s="47">
        <v>600</v>
      </c>
      <c r="I130" s="39">
        <v>695</v>
      </c>
      <c r="J130" s="39">
        <v>50</v>
      </c>
      <c r="K130" s="40"/>
      <c r="L130" s="40"/>
      <c r="M130" s="40"/>
      <c r="N130" s="40"/>
      <c r="O130" s="40"/>
      <c r="P130" s="40"/>
      <c r="Q130" s="40"/>
      <c r="R130" s="40"/>
      <c r="S130" s="40"/>
      <c r="T130" s="40"/>
    </row>
    <row r="131" spans="1:20" ht="15.75">
      <c r="A131" s="13">
        <v>45108</v>
      </c>
      <c r="B131" s="48">
        <v>31</v>
      </c>
      <c r="C131" s="39">
        <v>194.20500000000001</v>
      </c>
      <c r="D131" s="39">
        <v>267.46600000000001</v>
      </c>
      <c r="E131" s="45">
        <v>812.32899999999995</v>
      </c>
      <c r="F131" s="39">
        <v>1274</v>
      </c>
      <c r="G131" s="39">
        <v>50</v>
      </c>
      <c r="H131" s="47">
        <v>600</v>
      </c>
      <c r="I131" s="39">
        <v>695</v>
      </c>
      <c r="J131" s="39">
        <v>0</v>
      </c>
      <c r="K131" s="40"/>
      <c r="L131" s="40"/>
      <c r="M131" s="40"/>
      <c r="N131" s="40"/>
      <c r="O131" s="40"/>
      <c r="P131" s="40"/>
      <c r="Q131" s="40"/>
      <c r="R131" s="40"/>
      <c r="S131" s="40"/>
      <c r="T131" s="40"/>
    </row>
    <row r="132" spans="1:20" ht="15.75">
      <c r="A132" s="13">
        <v>45139</v>
      </c>
      <c r="B132" s="48">
        <v>31</v>
      </c>
      <c r="C132" s="39">
        <v>194.20500000000001</v>
      </c>
      <c r="D132" s="39">
        <v>267.46600000000001</v>
      </c>
      <c r="E132" s="45">
        <v>812.32899999999995</v>
      </c>
      <c r="F132" s="39">
        <v>1274</v>
      </c>
      <c r="G132" s="39">
        <v>50</v>
      </c>
      <c r="H132" s="47">
        <v>600</v>
      </c>
      <c r="I132" s="39">
        <v>695</v>
      </c>
      <c r="J132" s="39">
        <v>0</v>
      </c>
      <c r="K132" s="40"/>
      <c r="L132" s="40"/>
      <c r="M132" s="40"/>
      <c r="N132" s="40"/>
      <c r="O132" s="40"/>
      <c r="P132" s="40"/>
      <c r="Q132" s="40"/>
      <c r="R132" s="40"/>
      <c r="S132" s="40"/>
      <c r="T132" s="40"/>
    </row>
    <row r="133" spans="1:20" ht="15.75">
      <c r="A133" s="13">
        <v>45170</v>
      </c>
      <c r="B133" s="48">
        <v>30</v>
      </c>
      <c r="C133" s="39">
        <v>194.20500000000001</v>
      </c>
      <c r="D133" s="39">
        <v>267.46600000000001</v>
      </c>
      <c r="E133" s="45">
        <v>812.32899999999995</v>
      </c>
      <c r="F133" s="39">
        <v>1274</v>
      </c>
      <c r="G133" s="39">
        <v>50</v>
      </c>
      <c r="H133" s="47">
        <v>600</v>
      </c>
      <c r="I133" s="39">
        <v>695</v>
      </c>
      <c r="J133" s="39">
        <v>0</v>
      </c>
      <c r="K133" s="40"/>
      <c r="L133" s="40"/>
      <c r="M133" s="40"/>
      <c r="N133" s="40"/>
      <c r="O133" s="40"/>
      <c r="P133" s="40"/>
      <c r="Q133" s="40"/>
      <c r="R133" s="40"/>
      <c r="S133" s="40"/>
      <c r="T133" s="40"/>
    </row>
    <row r="134" spans="1:20" ht="15.75">
      <c r="A134" s="13">
        <v>45200</v>
      </c>
      <c r="B134" s="48">
        <v>31</v>
      </c>
      <c r="C134" s="39">
        <v>131.881</v>
      </c>
      <c r="D134" s="39">
        <v>277.16699999999997</v>
      </c>
      <c r="E134" s="45">
        <v>829.952</v>
      </c>
      <c r="F134" s="39">
        <v>1239</v>
      </c>
      <c r="G134" s="39">
        <v>75</v>
      </c>
      <c r="H134" s="47">
        <v>600</v>
      </c>
      <c r="I134" s="39">
        <v>695</v>
      </c>
      <c r="J134" s="39">
        <v>0</v>
      </c>
      <c r="K134" s="40"/>
      <c r="L134" s="40"/>
      <c r="M134" s="40"/>
      <c r="N134" s="40"/>
      <c r="O134" s="40"/>
      <c r="P134" s="40"/>
      <c r="Q134" s="40"/>
      <c r="R134" s="40"/>
      <c r="S134" s="40"/>
      <c r="T134" s="40"/>
    </row>
    <row r="135" spans="1:20" ht="15.75">
      <c r="A135" s="13">
        <v>45231</v>
      </c>
      <c r="B135" s="48">
        <v>30</v>
      </c>
      <c r="C135" s="39">
        <v>122.58</v>
      </c>
      <c r="D135" s="39">
        <v>297.94099999999997</v>
      </c>
      <c r="E135" s="45">
        <v>729.47900000000004</v>
      </c>
      <c r="F135" s="39">
        <v>1150</v>
      </c>
      <c r="G135" s="39">
        <v>100</v>
      </c>
      <c r="H135" s="47">
        <v>600</v>
      </c>
      <c r="I135" s="39">
        <v>695</v>
      </c>
      <c r="J135" s="39">
        <v>50</v>
      </c>
      <c r="K135" s="40"/>
      <c r="L135" s="40"/>
      <c r="M135" s="40"/>
      <c r="N135" s="40"/>
      <c r="O135" s="40"/>
      <c r="P135" s="40"/>
      <c r="Q135" s="40"/>
      <c r="R135" s="40"/>
      <c r="S135" s="40"/>
      <c r="T135" s="40"/>
    </row>
    <row r="136" spans="1:20" ht="15.75">
      <c r="A136" s="13">
        <v>45261</v>
      </c>
      <c r="B136" s="48">
        <v>31</v>
      </c>
      <c r="C136" s="39">
        <v>122.58</v>
      </c>
      <c r="D136" s="39">
        <v>297.94099999999997</v>
      </c>
      <c r="E136" s="45">
        <v>729.47900000000004</v>
      </c>
      <c r="F136" s="39">
        <v>1150</v>
      </c>
      <c r="G136" s="39">
        <v>100</v>
      </c>
      <c r="H136" s="47">
        <v>600</v>
      </c>
      <c r="I136" s="39">
        <v>695</v>
      </c>
      <c r="J136" s="39">
        <v>50</v>
      </c>
      <c r="K136" s="40"/>
      <c r="L136" s="40"/>
      <c r="M136" s="40"/>
      <c r="N136" s="40"/>
      <c r="O136" s="40"/>
      <c r="P136" s="40"/>
      <c r="Q136" s="40"/>
      <c r="R136" s="40"/>
      <c r="S136" s="40"/>
      <c r="T136" s="40"/>
    </row>
    <row r="137" spans="1:20" ht="15.75">
      <c r="A137" s="13">
        <v>45292</v>
      </c>
      <c r="B137" s="48">
        <v>31</v>
      </c>
      <c r="C137" s="39">
        <v>122.58</v>
      </c>
      <c r="D137" s="39">
        <v>297.94099999999997</v>
      </c>
      <c r="E137" s="45">
        <v>729.47900000000004</v>
      </c>
      <c r="F137" s="39">
        <v>1150</v>
      </c>
      <c r="G137" s="39">
        <v>100</v>
      </c>
      <c r="H137" s="47">
        <v>600</v>
      </c>
      <c r="I137" s="39">
        <v>695</v>
      </c>
      <c r="J137" s="39">
        <v>50</v>
      </c>
      <c r="K137" s="40"/>
      <c r="L137" s="40"/>
      <c r="M137" s="40"/>
      <c r="N137" s="40"/>
      <c r="O137" s="40"/>
      <c r="P137" s="40"/>
      <c r="Q137" s="40"/>
      <c r="R137" s="40"/>
      <c r="S137" s="40"/>
      <c r="T137" s="40"/>
    </row>
    <row r="138" spans="1:20" ht="15.75">
      <c r="A138" s="13">
        <v>45323</v>
      </c>
      <c r="B138" s="48">
        <v>29</v>
      </c>
      <c r="C138" s="39">
        <v>122.58</v>
      </c>
      <c r="D138" s="39">
        <v>297.94099999999997</v>
      </c>
      <c r="E138" s="45">
        <v>729.47900000000004</v>
      </c>
      <c r="F138" s="39">
        <v>1150</v>
      </c>
      <c r="G138" s="39">
        <v>100</v>
      </c>
      <c r="H138" s="47">
        <v>600</v>
      </c>
      <c r="I138" s="39">
        <v>695</v>
      </c>
      <c r="J138" s="39">
        <v>50</v>
      </c>
      <c r="K138" s="40"/>
      <c r="L138" s="40"/>
      <c r="M138" s="40"/>
      <c r="N138" s="40"/>
      <c r="O138" s="40"/>
      <c r="P138" s="40"/>
      <c r="Q138" s="40"/>
      <c r="R138" s="40"/>
      <c r="S138" s="40"/>
      <c r="T138" s="40"/>
    </row>
    <row r="139" spans="1:20" ht="15.75">
      <c r="A139" s="13">
        <v>45352</v>
      </c>
      <c r="B139" s="48">
        <v>31</v>
      </c>
      <c r="C139" s="39">
        <v>122.58</v>
      </c>
      <c r="D139" s="39">
        <v>297.94099999999997</v>
      </c>
      <c r="E139" s="45">
        <v>729.47900000000004</v>
      </c>
      <c r="F139" s="39">
        <v>1150</v>
      </c>
      <c r="G139" s="39">
        <v>100</v>
      </c>
      <c r="H139" s="47">
        <v>600</v>
      </c>
      <c r="I139" s="39">
        <v>695</v>
      </c>
      <c r="J139" s="39">
        <v>50</v>
      </c>
      <c r="K139" s="40"/>
      <c r="L139" s="40"/>
      <c r="M139" s="40"/>
      <c r="N139" s="40"/>
      <c r="O139" s="40"/>
      <c r="P139" s="40"/>
      <c r="Q139" s="40"/>
      <c r="R139" s="40"/>
      <c r="S139" s="40"/>
      <c r="T139" s="40"/>
    </row>
    <row r="140" spans="1:20" ht="15.75">
      <c r="A140" s="13">
        <v>45383</v>
      </c>
      <c r="B140" s="48">
        <v>30</v>
      </c>
      <c r="C140" s="39">
        <v>141.29300000000001</v>
      </c>
      <c r="D140" s="39">
        <v>267.99299999999999</v>
      </c>
      <c r="E140" s="45">
        <v>829.71400000000006</v>
      </c>
      <c r="F140" s="39">
        <v>1239</v>
      </c>
      <c r="G140" s="39">
        <v>100</v>
      </c>
      <c r="H140" s="47">
        <v>600</v>
      </c>
      <c r="I140" s="39">
        <v>695</v>
      </c>
      <c r="J140" s="39">
        <v>50</v>
      </c>
      <c r="K140" s="40"/>
      <c r="L140" s="40"/>
      <c r="M140" s="40"/>
      <c r="N140" s="40"/>
      <c r="O140" s="40"/>
      <c r="P140" s="40"/>
      <c r="Q140" s="40"/>
      <c r="R140" s="40"/>
      <c r="S140" s="40"/>
      <c r="T140" s="40"/>
    </row>
    <row r="141" spans="1:20" ht="15.75">
      <c r="A141" s="13">
        <v>45413</v>
      </c>
      <c r="B141" s="48">
        <v>31</v>
      </c>
      <c r="C141" s="39">
        <v>194.20500000000001</v>
      </c>
      <c r="D141" s="39">
        <v>267.46600000000001</v>
      </c>
      <c r="E141" s="45">
        <v>812.32899999999995</v>
      </c>
      <c r="F141" s="39">
        <v>1274</v>
      </c>
      <c r="G141" s="39">
        <v>75</v>
      </c>
      <c r="H141" s="47">
        <v>600</v>
      </c>
      <c r="I141" s="39">
        <v>695</v>
      </c>
      <c r="J141" s="39">
        <v>50</v>
      </c>
      <c r="K141" s="40"/>
      <c r="L141" s="40"/>
      <c r="M141" s="40"/>
      <c r="N141" s="40"/>
      <c r="O141" s="40"/>
      <c r="P141" s="40"/>
      <c r="Q141" s="40"/>
      <c r="R141" s="40"/>
      <c r="S141" s="40"/>
      <c r="T141" s="40"/>
    </row>
    <row r="142" spans="1:20" ht="15.75">
      <c r="A142" s="13">
        <v>45444</v>
      </c>
      <c r="B142" s="48">
        <v>30</v>
      </c>
      <c r="C142" s="39">
        <v>194.20500000000001</v>
      </c>
      <c r="D142" s="39">
        <v>267.46600000000001</v>
      </c>
      <c r="E142" s="45">
        <v>812.32899999999995</v>
      </c>
      <c r="F142" s="39">
        <v>1274</v>
      </c>
      <c r="G142" s="39">
        <v>50</v>
      </c>
      <c r="H142" s="47">
        <v>600</v>
      </c>
      <c r="I142" s="39">
        <v>695</v>
      </c>
      <c r="J142" s="39">
        <v>50</v>
      </c>
      <c r="K142" s="40"/>
      <c r="L142" s="40"/>
      <c r="M142" s="40"/>
      <c r="N142" s="40"/>
      <c r="O142" s="40"/>
      <c r="P142" s="40"/>
      <c r="Q142" s="40"/>
      <c r="R142" s="40"/>
      <c r="S142" s="40"/>
      <c r="T142" s="40"/>
    </row>
    <row r="143" spans="1:20" ht="15.75">
      <c r="A143" s="13">
        <v>45474</v>
      </c>
      <c r="B143" s="48">
        <v>31</v>
      </c>
      <c r="C143" s="39">
        <v>194.20500000000001</v>
      </c>
      <c r="D143" s="39">
        <v>267.46600000000001</v>
      </c>
      <c r="E143" s="45">
        <v>812.32899999999995</v>
      </c>
      <c r="F143" s="39">
        <v>1274</v>
      </c>
      <c r="G143" s="39">
        <v>50</v>
      </c>
      <c r="H143" s="47">
        <v>600</v>
      </c>
      <c r="I143" s="39">
        <v>695</v>
      </c>
      <c r="J143" s="39">
        <v>0</v>
      </c>
      <c r="K143" s="40"/>
      <c r="L143" s="40"/>
      <c r="M143" s="40"/>
      <c r="N143" s="40"/>
      <c r="O143" s="40"/>
      <c r="P143" s="40"/>
      <c r="Q143" s="40"/>
      <c r="R143" s="40"/>
      <c r="S143" s="40"/>
      <c r="T143" s="40"/>
    </row>
    <row r="144" spans="1:20" ht="15.75">
      <c r="A144" s="13">
        <v>45505</v>
      </c>
      <c r="B144" s="48">
        <v>31</v>
      </c>
      <c r="C144" s="39">
        <v>194.20500000000001</v>
      </c>
      <c r="D144" s="39">
        <v>267.46600000000001</v>
      </c>
      <c r="E144" s="45">
        <v>812.32899999999995</v>
      </c>
      <c r="F144" s="39">
        <v>1274</v>
      </c>
      <c r="G144" s="39">
        <v>50</v>
      </c>
      <c r="H144" s="47">
        <v>600</v>
      </c>
      <c r="I144" s="39">
        <v>695</v>
      </c>
      <c r="J144" s="39">
        <v>0</v>
      </c>
      <c r="K144" s="40"/>
      <c r="L144" s="40"/>
      <c r="M144" s="40"/>
      <c r="N144" s="40"/>
      <c r="O144" s="40"/>
      <c r="P144" s="40"/>
      <c r="Q144" s="40"/>
      <c r="R144" s="40"/>
      <c r="S144" s="40"/>
      <c r="T144" s="40"/>
    </row>
    <row r="145" spans="1:20" ht="15.75">
      <c r="A145" s="13">
        <v>45536</v>
      </c>
      <c r="B145" s="48">
        <v>30</v>
      </c>
      <c r="C145" s="39">
        <v>194.20500000000001</v>
      </c>
      <c r="D145" s="39">
        <v>267.46600000000001</v>
      </c>
      <c r="E145" s="45">
        <v>812.32899999999995</v>
      </c>
      <c r="F145" s="39">
        <v>1274</v>
      </c>
      <c r="G145" s="39">
        <v>50</v>
      </c>
      <c r="H145" s="47">
        <v>600</v>
      </c>
      <c r="I145" s="39">
        <v>695</v>
      </c>
      <c r="J145" s="39">
        <v>0</v>
      </c>
      <c r="K145" s="40"/>
      <c r="L145" s="40"/>
      <c r="M145" s="40"/>
      <c r="N145" s="40"/>
      <c r="O145" s="40"/>
      <c r="P145" s="40"/>
      <c r="Q145" s="40"/>
      <c r="R145" s="40"/>
      <c r="S145" s="40"/>
      <c r="T145" s="40"/>
    </row>
    <row r="146" spans="1:20" ht="15.75">
      <c r="A146" s="13">
        <v>45566</v>
      </c>
      <c r="B146" s="48">
        <v>31</v>
      </c>
      <c r="C146" s="39">
        <v>131.881</v>
      </c>
      <c r="D146" s="39">
        <v>277.16699999999997</v>
      </c>
      <c r="E146" s="45">
        <v>829.952</v>
      </c>
      <c r="F146" s="39">
        <v>1239</v>
      </c>
      <c r="G146" s="39">
        <v>75</v>
      </c>
      <c r="H146" s="47">
        <v>600</v>
      </c>
      <c r="I146" s="39">
        <v>695</v>
      </c>
      <c r="J146" s="39">
        <v>0</v>
      </c>
      <c r="K146" s="40"/>
      <c r="L146" s="40"/>
      <c r="M146" s="40"/>
      <c r="N146" s="40"/>
      <c r="O146" s="40"/>
      <c r="P146" s="40"/>
      <c r="Q146" s="40"/>
      <c r="R146" s="40"/>
      <c r="S146" s="40"/>
      <c r="T146" s="40"/>
    </row>
    <row r="147" spans="1:20" ht="15.75">
      <c r="A147" s="13">
        <v>45597</v>
      </c>
      <c r="B147" s="48">
        <v>30</v>
      </c>
      <c r="C147" s="39">
        <v>122.58</v>
      </c>
      <c r="D147" s="39">
        <v>297.94099999999997</v>
      </c>
      <c r="E147" s="45">
        <v>729.47900000000004</v>
      </c>
      <c r="F147" s="39">
        <v>1150</v>
      </c>
      <c r="G147" s="39">
        <v>100</v>
      </c>
      <c r="H147" s="47">
        <v>600</v>
      </c>
      <c r="I147" s="39">
        <v>695</v>
      </c>
      <c r="J147" s="39">
        <v>50</v>
      </c>
      <c r="K147" s="40"/>
      <c r="L147" s="40"/>
      <c r="M147" s="40"/>
      <c r="N147" s="40"/>
      <c r="O147" s="40"/>
      <c r="P147" s="40"/>
      <c r="Q147" s="40"/>
      <c r="R147" s="40"/>
      <c r="S147" s="40"/>
      <c r="T147" s="40"/>
    </row>
    <row r="148" spans="1:20" ht="15.75">
      <c r="A148" s="13">
        <v>45627</v>
      </c>
      <c r="B148" s="48">
        <v>31</v>
      </c>
      <c r="C148" s="39">
        <v>122.58</v>
      </c>
      <c r="D148" s="39">
        <v>297.94099999999997</v>
      </c>
      <c r="E148" s="45">
        <v>729.47900000000004</v>
      </c>
      <c r="F148" s="39">
        <v>1150</v>
      </c>
      <c r="G148" s="39">
        <v>100</v>
      </c>
      <c r="H148" s="47">
        <v>600</v>
      </c>
      <c r="I148" s="39">
        <v>695</v>
      </c>
      <c r="J148" s="39">
        <v>50</v>
      </c>
      <c r="K148" s="40"/>
      <c r="L148" s="40"/>
      <c r="M148" s="40"/>
      <c r="N148" s="40"/>
      <c r="O148" s="40"/>
      <c r="P148" s="40"/>
      <c r="Q148" s="40"/>
      <c r="R148" s="40"/>
      <c r="S148" s="40"/>
      <c r="T148" s="40"/>
    </row>
    <row r="149" spans="1:20" ht="15.75">
      <c r="A149" s="13">
        <v>45658</v>
      </c>
      <c r="B149" s="48">
        <v>31</v>
      </c>
      <c r="C149" s="39">
        <v>122.58</v>
      </c>
      <c r="D149" s="39">
        <v>297.94099999999997</v>
      </c>
      <c r="E149" s="45">
        <v>729.47900000000004</v>
      </c>
      <c r="F149" s="39">
        <v>1150</v>
      </c>
      <c r="G149" s="39">
        <v>100</v>
      </c>
      <c r="H149" s="47">
        <v>600</v>
      </c>
      <c r="I149" s="39">
        <v>695</v>
      </c>
      <c r="J149" s="39">
        <v>50</v>
      </c>
      <c r="K149" s="40"/>
      <c r="L149" s="40"/>
      <c r="M149" s="40"/>
      <c r="N149" s="40"/>
      <c r="O149" s="40"/>
      <c r="P149" s="40"/>
      <c r="Q149" s="40"/>
      <c r="R149" s="40"/>
      <c r="S149" s="40"/>
      <c r="T149" s="40"/>
    </row>
    <row r="150" spans="1:20" ht="15.75">
      <c r="A150" s="13">
        <v>45689</v>
      </c>
      <c r="B150" s="48">
        <v>28</v>
      </c>
      <c r="C150" s="39">
        <v>122.58</v>
      </c>
      <c r="D150" s="39">
        <v>297.94099999999997</v>
      </c>
      <c r="E150" s="45">
        <v>729.47900000000004</v>
      </c>
      <c r="F150" s="39">
        <v>1150</v>
      </c>
      <c r="G150" s="39">
        <v>100</v>
      </c>
      <c r="H150" s="47">
        <v>600</v>
      </c>
      <c r="I150" s="39">
        <v>695</v>
      </c>
      <c r="J150" s="39">
        <v>50</v>
      </c>
      <c r="K150" s="40"/>
      <c r="L150" s="40"/>
      <c r="M150" s="40"/>
      <c r="N150" s="40"/>
      <c r="O150" s="40"/>
      <c r="P150" s="40"/>
      <c r="Q150" s="40"/>
      <c r="R150" s="40"/>
      <c r="S150" s="40"/>
      <c r="T150" s="40"/>
    </row>
    <row r="151" spans="1:20" ht="15.75">
      <c r="A151" s="13">
        <v>45717</v>
      </c>
      <c r="B151" s="48">
        <v>31</v>
      </c>
      <c r="C151" s="39">
        <v>122.58</v>
      </c>
      <c r="D151" s="39">
        <v>297.94099999999997</v>
      </c>
      <c r="E151" s="45">
        <v>729.47900000000004</v>
      </c>
      <c r="F151" s="39">
        <v>1150</v>
      </c>
      <c r="G151" s="39">
        <v>100</v>
      </c>
      <c r="H151" s="47">
        <v>600</v>
      </c>
      <c r="I151" s="39">
        <v>695</v>
      </c>
      <c r="J151" s="39">
        <v>50</v>
      </c>
      <c r="K151" s="40"/>
      <c r="L151" s="40"/>
      <c r="M151" s="40"/>
      <c r="N151" s="40"/>
      <c r="O151" s="40"/>
      <c r="P151" s="40"/>
      <c r="Q151" s="40"/>
      <c r="R151" s="40"/>
      <c r="S151" s="40"/>
      <c r="T151" s="40"/>
    </row>
    <row r="152" spans="1:20" ht="15.75">
      <c r="A152" s="13">
        <v>45748</v>
      </c>
      <c r="B152" s="48">
        <v>30</v>
      </c>
      <c r="C152" s="39">
        <v>141.29300000000001</v>
      </c>
      <c r="D152" s="39">
        <v>267.99299999999999</v>
      </c>
      <c r="E152" s="45">
        <v>829.71400000000006</v>
      </c>
      <c r="F152" s="39">
        <v>1239</v>
      </c>
      <c r="G152" s="39">
        <v>100</v>
      </c>
      <c r="H152" s="47">
        <v>600</v>
      </c>
      <c r="I152" s="39">
        <v>695</v>
      </c>
      <c r="J152" s="39">
        <v>50</v>
      </c>
      <c r="K152" s="40"/>
      <c r="L152" s="40"/>
      <c r="M152" s="40"/>
      <c r="N152" s="40"/>
      <c r="O152" s="40"/>
      <c r="P152" s="40"/>
      <c r="Q152" s="40"/>
      <c r="R152" s="40"/>
      <c r="S152" s="40"/>
      <c r="T152" s="40"/>
    </row>
    <row r="153" spans="1:20" ht="15.75">
      <c r="A153" s="13">
        <v>45778</v>
      </c>
      <c r="B153" s="48">
        <v>31</v>
      </c>
      <c r="C153" s="39">
        <v>194.20500000000001</v>
      </c>
      <c r="D153" s="39">
        <v>267.46600000000001</v>
      </c>
      <c r="E153" s="45">
        <v>812.32899999999995</v>
      </c>
      <c r="F153" s="39">
        <v>1274</v>
      </c>
      <c r="G153" s="39">
        <v>75</v>
      </c>
      <c r="H153" s="47">
        <v>600</v>
      </c>
      <c r="I153" s="39">
        <v>695</v>
      </c>
      <c r="J153" s="39">
        <v>50</v>
      </c>
      <c r="K153" s="40"/>
      <c r="L153" s="40"/>
      <c r="M153" s="40"/>
      <c r="N153" s="40"/>
      <c r="O153" s="40"/>
      <c r="P153" s="40"/>
      <c r="Q153" s="40"/>
      <c r="R153" s="40"/>
      <c r="S153" s="40"/>
      <c r="T153" s="40"/>
    </row>
    <row r="154" spans="1:20" ht="15.75">
      <c r="A154" s="13">
        <v>45809</v>
      </c>
      <c r="B154" s="48">
        <v>30</v>
      </c>
      <c r="C154" s="39">
        <v>194.20500000000001</v>
      </c>
      <c r="D154" s="39">
        <v>267.46600000000001</v>
      </c>
      <c r="E154" s="45">
        <v>812.32899999999995</v>
      </c>
      <c r="F154" s="39">
        <v>1274</v>
      </c>
      <c r="G154" s="39">
        <v>50</v>
      </c>
      <c r="H154" s="47">
        <v>600</v>
      </c>
      <c r="I154" s="39">
        <v>695</v>
      </c>
      <c r="J154" s="39">
        <v>50</v>
      </c>
      <c r="K154" s="40"/>
      <c r="L154" s="40"/>
      <c r="M154" s="40"/>
      <c r="N154" s="40"/>
      <c r="O154" s="40"/>
      <c r="P154" s="40"/>
      <c r="Q154" s="40"/>
      <c r="R154" s="40"/>
      <c r="S154" s="40"/>
      <c r="T154" s="40"/>
    </row>
    <row r="155" spans="1:20" ht="15.75">
      <c r="A155" s="13">
        <v>45839</v>
      </c>
      <c r="B155" s="48">
        <v>31</v>
      </c>
      <c r="C155" s="39">
        <v>194.20500000000001</v>
      </c>
      <c r="D155" s="39">
        <v>267.46600000000001</v>
      </c>
      <c r="E155" s="45">
        <v>812.32899999999995</v>
      </c>
      <c r="F155" s="39">
        <v>1274</v>
      </c>
      <c r="G155" s="39">
        <v>50</v>
      </c>
      <c r="H155" s="47">
        <v>600</v>
      </c>
      <c r="I155" s="39">
        <v>695</v>
      </c>
      <c r="J155" s="39">
        <v>0</v>
      </c>
      <c r="K155" s="40"/>
      <c r="L155" s="40"/>
      <c r="M155" s="40"/>
      <c r="N155" s="40"/>
      <c r="O155" s="40"/>
      <c r="P155" s="40"/>
      <c r="Q155" s="40"/>
      <c r="R155" s="40"/>
      <c r="S155" s="40"/>
      <c r="T155" s="40"/>
    </row>
    <row r="156" spans="1:20" ht="15.75">
      <c r="A156" s="13">
        <v>45870</v>
      </c>
      <c r="B156" s="48">
        <v>31</v>
      </c>
      <c r="C156" s="39">
        <v>194.20500000000001</v>
      </c>
      <c r="D156" s="39">
        <v>267.46600000000001</v>
      </c>
      <c r="E156" s="45">
        <v>812.32899999999995</v>
      </c>
      <c r="F156" s="39">
        <v>1274</v>
      </c>
      <c r="G156" s="39">
        <v>50</v>
      </c>
      <c r="H156" s="47">
        <v>600</v>
      </c>
      <c r="I156" s="39">
        <v>695</v>
      </c>
      <c r="J156" s="39">
        <v>0</v>
      </c>
      <c r="K156" s="40"/>
      <c r="L156" s="40"/>
      <c r="M156" s="40"/>
      <c r="N156" s="40"/>
      <c r="O156" s="40"/>
      <c r="P156" s="40"/>
      <c r="Q156" s="40"/>
      <c r="R156" s="40"/>
      <c r="S156" s="40"/>
      <c r="T156" s="40"/>
    </row>
    <row r="157" spans="1:20" ht="15.75">
      <c r="A157" s="13">
        <v>45901</v>
      </c>
      <c r="B157" s="48">
        <v>30</v>
      </c>
      <c r="C157" s="39">
        <v>194.20500000000001</v>
      </c>
      <c r="D157" s="39">
        <v>267.46600000000001</v>
      </c>
      <c r="E157" s="45">
        <v>812.32899999999995</v>
      </c>
      <c r="F157" s="39">
        <v>1274</v>
      </c>
      <c r="G157" s="39">
        <v>50</v>
      </c>
      <c r="H157" s="47">
        <v>600</v>
      </c>
      <c r="I157" s="39">
        <v>695</v>
      </c>
      <c r="J157" s="39">
        <v>0</v>
      </c>
      <c r="K157" s="40"/>
      <c r="L157" s="40"/>
      <c r="M157" s="40"/>
      <c r="N157" s="40"/>
      <c r="O157" s="40"/>
      <c r="P157" s="40"/>
      <c r="Q157" s="40"/>
      <c r="R157" s="40"/>
      <c r="S157" s="40"/>
      <c r="T157" s="40"/>
    </row>
    <row r="158" spans="1:20" ht="15.75">
      <c r="A158" s="13">
        <v>45931</v>
      </c>
      <c r="B158" s="48">
        <v>31</v>
      </c>
      <c r="C158" s="39">
        <v>131.881</v>
      </c>
      <c r="D158" s="39">
        <v>277.16699999999997</v>
      </c>
      <c r="E158" s="45">
        <v>829.952</v>
      </c>
      <c r="F158" s="39">
        <v>1239</v>
      </c>
      <c r="G158" s="39">
        <v>75</v>
      </c>
      <c r="H158" s="47">
        <v>600</v>
      </c>
      <c r="I158" s="39">
        <v>695</v>
      </c>
      <c r="J158" s="39">
        <v>0</v>
      </c>
      <c r="K158" s="40"/>
      <c r="L158" s="40"/>
      <c r="M158" s="40"/>
      <c r="N158" s="40"/>
      <c r="O158" s="40"/>
      <c r="P158" s="40"/>
      <c r="Q158" s="40"/>
      <c r="R158" s="40"/>
      <c r="S158" s="40"/>
      <c r="T158" s="40"/>
    </row>
    <row r="159" spans="1:20" ht="15.75">
      <c r="A159" s="13">
        <v>45962</v>
      </c>
      <c r="B159" s="48">
        <v>30</v>
      </c>
      <c r="C159" s="39">
        <v>122.58</v>
      </c>
      <c r="D159" s="39">
        <v>297.94099999999997</v>
      </c>
      <c r="E159" s="45">
        <v>729.47900000000004</v>
      </c>
      <c r="F159" s="39">
        <v>1150</v>
      </c>
      <c r="G159" s="39">
        <v>100</v>
      </c>
      <c r="H159" s="47">
        <v>600</v>
      </c>
      <c r="I159" s="39">
        <v>695</v>
      </c>
      <c r="J159" s="39">
        <v>50</v>
      </c>
      <c r="K159" s="40"/>
      <c r="L159" s="40"/>
      <c r="M159" s="40"/>
      <c r="N159" s="40"/>
      <c r="O159" s="40"/>
      <c r="P159" s="40"/>
      <c r="Q159" s="40"/>
      <c r="R159" s="40"/>
      <c r="S159" s="40"/>
      <c r="T159" s="40"/>
    </row>
    <row r="160" spans="1:20" ht="15.75">
      <c r="A160" s="13">
        <v>45992</v>
      </c>
      <c r="B160" s="48">
        <v>31</v>
      </c>
      <c r="C160" s="39">
        <v>122.58</v>
      </c>
      <c r="D160" s="39">
        <v>297.94099999999997</v>
      </c>
      <c r="E160" s="45">
        <v>729.47900000000004</v>
      </c>
      <c r="F160" s="39">
        <v>1150</v>
      </c>
      <c r="G160" s="39">
        <v>100</v>
      </c>
      <c r="H160" s="47">
        <v>600</v>
      </c>
      <c r="I160" s="39">
        <v>695</v>
      </c>
      <c r="J160" s="39">
        <v>50</v>
      </c>
      <c r="K160" s="40"/>
      <c r="L160" s="40"/>
      <c r="M160" s="40"/>
      <c r="N160" s="40"/>
      <c r="O160" s="40"/>
      <c r="P160" s="40"/>
      <c r="Q160" s="40"/>
      <c r="R160" s="40"/>
      <c r="S160" s="40"/>
      <c r="T160" s="40"/>
    </row>
    <row r="161" spans="1:20" ht="15.75">
      <c r="A161" s="13">
        <v>46023</v>
      </c>
      <c r="B161" s="48">
        <v>31</v>
      </c>
      <c r="C161" s="39">
        <v>122.58</v>
      </c>
      <c r="D161" s="39">
        <v>297.94099999999997</v>
      </c>
      <c r="E161" s="45">
        <v>729.47900000000004</v>
      </c>
      <c r="F161" s="39">
        <v>1150</v>
      </c>
      <c r="G161" s="39">
        <v>100</v>
      </c>
      <c r="H161" s="47">
        <v>600</v>
      </c>
      <c r="I161" s="39">
        <v>695</v>
      </c>
      <c r="J161" s="39">
        <v>50</v>
      </c>
      <c r="K161" s="40"/>
      <c r="L161" s="40"/>
      <c r="M161" s="40"/>
      <c r="N161" s="40"/>
      <c r="O161" s="40"/>
      <c r="P161" s="40"/>
      <c r="Q161" s="40"/>
      <c r="R161" s="40"/>
      <c r="S161" s="40"/>
      <c r="T161" s="40"/>
    </row>
    <row r="162" spans="1:20" ht="15.75">
      <c r="A162" s="13">
        <v>46054</v>
      </c>
      <c r="B162" s="48">
        <v>28</v>
      </c>
      <c r="C162" s="39">
        <v>122.58</v>
      </c>
      <c r="D162" s="39">
        <v>297.94099999999997</v>
      </c>
      <c r="E162" s="45">
        <v>729.47900000000004</v>
      </c>
      <c r="F162" s="39">
        <v>1150</v>
      </c>
      <c r="G162" s="39">
        <v>100</v>
      </c>
      <c r="H162" s="47">
        <v>600</v>
      </c>
      <c r="I162" s="39">
        <v>695</v>
      </c>
      <c r="J162" s="39">
        <v>50</v>
      </c>
      <c r="K162" s="40"/>
      <c r="L162" s="40"/>
      <c r="M162" s="40"/>
      <c r="N162" s="40"/>
      <c r="O162" s="40"/>
      <c r="P162" s="40"/>
      <c r="Q162" s="40"/>
      <c r="R162" s="40"/>
      <c r="S162" s="40"/>
      <c r="T162" s="40"/>
    </row>
    <row r="163" spans="1:20" ht="15.75">
      <c r="A163" s="13">
        <v>46082</v>
      </c>
      <c r="B163" s="48">
        <v>31</v>
      </c>
      <c r="C163" s="39">
        <v>122.58</v>
      </c>
      <c r="D163" s="39">
        <v>297.94099999999997</v>
      </c>
      <c r="E163" s="45">
        <v>729.47900000000004</v>
      </c>
      <c r="F163" s="39">
        <v>1150</v>
      </c>
      <c r="G163" s="39">
        <v>100</v>
      </c>
      <c r="H163" s="47">
        <v>600</v>
      </c>
      <c r="I163" s="39">
        <v>695</v>
      </c>
      <c r="J163" s="39">
        <v>50</v>
      </c>
      <c r="K163" s="40"/>
      <c r="L163" s="40"/>
      <c r="M163" s="40"/>
      <c r="N163" s="40"/>
      <c r="O163" s="40"/>
      <c r="P163" s="40"/>
      <c r="Q163" s="40"/>
      <c r="R163" s="40"/>
      <c r="S163" s="40"/>
      <c r="T163" s="40"/>
    </row>
    <row r="164" spans="1:20" ht="15.75">
      <c r="A164" s="13">
        <v>46113</v>
      </c>
      <c r="B164" s="48">
        <v>30</v>
      </c>
      <c r="C164" s="39">
        <v>141.29300000000001</v>
      </c>
      <c r="D164" s="39">
        <v>267.99299999999999</v>
      </c>
      <c r="E164" s="45">
        <v>829.71400000000006</v>
      </c>
      <c r="F164" s="39">
        <v>1239</v>
      </c>
      <c r="G164" s="39">
        <v>100</v>
      </c>
      <c r="H164" s="47">
        <v>600</v>
      </c>
      <c r="I164" s="39">
        <v>695</v>
      </c>
      <c r="J164" s="39">
        <v>50</v>
      </c>
      <c r="K164" s="40"/>
      <c r="L164" s="40"/>
      <c r="M164" s="40"/>
      <c r="N164" s="40"/>
      <c r="O164" s="40"/>
      <c r="P164" s="40"/>
      <c r="Q164" s="40"/>
      <c r="R164" s="40"/>
      <c r="S164" s="40"/>
      <c r="T164" s="40"/>
    </row>
    <row r="165" spans="1:20" ht="15.75">
      <c r="A165" s="13">
        <v>46143</v>
      </c>
      <c r="B165" s="48">
        <v>31</v>
      </c>
      <c r="C165" s="39">
        <v>194.20500000000001</v>
      </c>
      <c r="D165" s="39">
        <v>267.46600000000001</v>
      </c>
      <c r="E165" s="45">
        <v>812.32899999999995</v>
      </c>
      <c r="F165" s="39">
        <v>1274</v>
      </c>
      <c r="G165" s="39">
        <v>75</v>
      </c>
      <c r="H165" s="47">
        <v>600</v>
      </c>
      <c r="I165" s="39">
        <v>695</v>
      </c>
      <c r="J165" s="39">
        <v>50</v>
      </c>
      <c r="K165" s="40"/>
      <c r="L165" s="40"/>
      <c r="M165" s="40"/>
      <c r="N165" s="40"/>
      <c r="O165" s="40"/>
      <c r="P165" s="40"/>
      <c r="Q165" s="40"/>
      <c r="R165" s="40"/>
      <c r="S165" s="40"/>
      <c r="T165" s="40"/>
    </row>
    <row r="166" spans="1:20" ht="15.75">
      <c r="A166" s="13">
        <v>46174</v>
      </c>
      <c r="B166" s="48">
        <v>30</v>
      </c>
      <c r="C166" s="39">
        <v>194.20500000000001</v>
      </c>
      <c r="D166" s="39">
        <v>267.46600000000001</v>
      </c>
      <c r="E166" s="45">
        <v>812.32899999999995</v>
      </c>
      <c r="F166" s="39">
        <v>1274</v>
      </c>
      <c r="G166" s="39">
        <v>50</v>
      </c>
      <c r="H166" s="47">
        <v>600</v>
      </c>
      <c r="I166" s="39">
        <v>695</v>
      </c>
      <c r="J166" s="39">
        <v>50</v>
      </c>
      <c r="K166" s="40"/>
      <c r="L166" s="40"/>
      <c r="M166" s="40"/>
      <c r="N166" s="40"/>
      <c r="O166" s="40"/>
      <c r="P166" s="40"/>
      <c r="Q166" s="40"/>
      <c r="R166" s="40"/>
      <c r="S166" s="40"/>
      <c r="T166" s="40"/>
    </row>
    <row r="167" spans="1:20" ht="15.75">
      <c r="A167" s="13">
        <v>46204</v>
      </c>
      <c r="B167" s="48">
        <v>31</v>
      </c>
      <c r="C167" s="39">
        <v>194.20500000000001</v>
      </c>
      <c r="D167" s="39">
        <v>267.46600000000001</v>
      </c>
      <c r="E167" s="45">
        <v>812.32899999999995</v>
      </c>
      <c r="F167" s="39">
        <v>1274</v>
      </c>
      <c r="G167" s="39">
        <v>50</v>
      </c>
      <c r="H167" s="47">
        <v>600</v>
      </c>
      <c r="I167" s="39">
        <v>695</v>
      </c>
      <c r="J167" s="39">
        <v>0</v>
      </c>
      <c r="K167" s="40"/>
      <c r="L167" s="40"/>
      <c r="M167" s="40"/>
      <c r="N167" s="40"/>
      <c r="O167" s="40"/>
      <c r="P167" s="40"/>
      <c r="Q167" s="40"/>
      <c r="R167" s="40"/>
      <c r="S167" s="40"/>
      <c r="T167" s="40"/>
    </row>
    <row r="168" spans="1:20" ht="15.75">
      <c r="A168" s="13">
        <v>46235</v>
      </c>
      <c r="B168" s="48">
        <v>31</v>
      </c>
      <c r="C168" s="39">
        <v>194.20500000000001</v>
      </c>
      <c r="D168" s="39">
        <v>267.46600000000001</v>
      </c>
      <c r="E168" s="45">
        <v>812.32899999999995</v>
      </c>
      <c r="F168" s="39">
        <v>1274</v>
      </c>
      <c r="G168" s="39">
        <v>50</v>
      </c>
      <c r="H168" s="47">
        <v>600</v>
      </c>
      <c r="I168" s="39">
        <v>695</v>
      </c>
      <c r="J168" s="39">
        <v>0</v>
      </c>
      <c r="K168" s="40"/>
      <c r="L168" s="40"/>
      <c r="M168" s="40"/>
      <c r="N168" s="40"/>
      <c r="O168" s="40"/>
      <c r="P168" s="40"/>
      <c r="Q168" s="40"/>
      <c r="R168" s="40"/>
      <c r="S168" s="40"/>
      <c r="T168" s="40"/>
    </row>
    <row r="169" spans="1:20" ht="15.75">
      <c r="A169" s="13">
        <v>46266</v>
      </c>
      <c r="B169" s="48">
        <v>30</v>
      </c>
      <c r="C169" s="39">
        <v>194.20500000000001</v>
      </c>
      <c r="D169" s="39">
        <v>267.46600000000001</v>
      </c>
      <c r="E169" s="45">
        <v>812.32899999999995</v>
      </c>
      <c r="F169" s="39">
        <v>1274</v>
      </c>
      <c r="G169" s="39">
        <v>50</v>
      </c>
      <c r="H169" s="47">
        <v>600</v>
      </c>
      <c r="I169" s="39">
        <v>695</v>
      </c>
      <c r="J169" s="39">
        <v>0</v>
      </c>
      <c r="K169" s="40"/>
      <c r="L169" s="40"/>
      <c r="M169" s="40"/>
      <c r="N169" s="40"/>
      <c r="O169" s="40"/>
      <c r="P169" s="40"/>
      <c r="Q169" s="40"/>
      <c r="R169" s="40"/>
      <c r="S169" s="40"/>
      <c r="T169" s="40"/>
    </row>
    <row r="170" spans="1:20" ht="15.75">
      <c r="A170" s="13">
        <v>46296</v>
      </c>
      <c r="B170" s="48">
        <v>31</v>
      </c>
      <c r="C170" s="39">
        <v>131.881</v>
      </c>
      <c r="D170" s="39">
        <v>277.16699999999997</v>
      </c>
      <c r="E170" s="45">
        <v>829.952</v>
      </c>
      <c r="F170" s="39">
        <v>1239</v>
      </c>
      <c r="G170" s="39">
        <v>75</v>
      </c>
      <c r="H170" s="47">
        <v>600</v>
      </c>
      <c r="I170" s="39">
        <v>695</v>
      </c>
      <c r="J170" s="39">
        <v>0</v>
      </c>
      <c r="K170" s="40"/>
      <c r="L170" s="40"/>
      <c r="M170" s="40"/>
      <c r="N170" s="40"/>
      <c r="O170" s="40"/>
      <c r="P170" s="40"/>
      <c r="Q170" s="40"/>
      <c r="R170" s="40"/>
      <c r="S170" s="40"/>
      <c r="T170" s="40"/>
    </row>
    <row r="171" spans="1:20" ht="15.75">
      <c r="A171" s="13">
        <v>46327</v>
      </c>
      <c r="B171" s="48">
        <v>30</v>
      </c>
      <c r="C171" s="39">
        <v>122.58</v>
      </c>
      <c r="D171" s="39">
        <v>297.94099999999997</v>
      </c>
      <c r="E171" s="45">
        <v>729.47900000000004</v>
      </c>
      <c r="F171" s="39">
        <v>1150</v>
      </c>
      <c r="G171" s="39">
        <v>100</v>
      </c>
      <c r="H171" s="47">
        <v>600</v>
      </c>
      <c r="I171" s="39">
        <v>695</v>
      </c>
      <c r="J171" s="39">
        <v>50</v>
      </c>
      <c r="K171" s="40"/>
      <c r="L171" s="40"/>
      <c r="M171" s="40"/>
      <c r="N171" s="40"/>
      <c r="O171" s="40"/>
      <c r="P171" s="40"/>
      <c r="Q171" s="40"/>
      <c r="R171" s="40"/>
      <c r="S171" s="40"/>
      <c r="T171" s="40"/>
    </row>
    <row r="172" spans="1:20" ht="15.75">
      <c r="A172" s="13">
        <v>46357</v>
      </c>
      <c r="B172" s="48">
        <v>31</v>
      </c>
      <c r="C172" s="39">
        <v>122.58</v>
      </c>
      <c r="D172" s="39">
        <v>297.94099999999997</v>
      </c>
      <c r="E172" s="45">
        <v>729.47900000000004</v>
      </c>
      <c r="F172" s="39">
        <v>1150</v>
      </c>
      <c r="G172" s="39">
        <v>100</v>
      </c>
      <c r="H172" s="47">
        <v>600</v>
      </c>
      <c r="I172" s="39">
        <v>695</v>
      </c>
      <c r="J172" s="39">
        <v>50</v>
      </c>
      <c r="K172" s="40"/>
      <c r="L172" s="40"/>
      <c r="M172" s="40"/>
      <c r="N172" s="40"/>
      <c r="O172" s="40"/>
      <c r="P172" s="40"/>
      <c r="Q172" s="40"/>
      <c r="R172" s="40"/>
      <c r="S172" s="40"/>
      <c r="T172" s="40"/>
    </row>
    <row r="173" spans="1:20" ht="15.75">
      <c r="A173" s="13">
        <v>46388</v>
      </c>
      <c r="B173" s="48">
        <v>31</v>
      </c>
      <c r="C173" s="39">
        <v>122.58</v>
      </c>
      <c r="D173" s="39">
        <v>297.94099999999997</v>
      </c>
      <c r="E173" s="45">
        <v>729.47900000000004</v>
      </c>
      <c r="F173" s="39">
        <v>1150</v>
      </c>
      <c r="G173" s="39">
        <v>100</v>
      </c>
      <c r="H173" s="47">
        <v>600</v>
      </c>
      <c r="I173" s="39">
        <v>695</v>
      </c>
      <c r="J173" s="39">
        <v>50</v>
      </c>
      <c r="K173" s="40"/>
      <c r="L173" s="40"/>
      <c r="M173" s="40"/>
      <c r="N173" s="40"/>
      <c r="O173" s="40"/>
      <c r="P173" s="40"/>
      <c r="Q173" s="40"/>
      <c r="R173" s="40"/>
      <c r="S173" s="40"/>
      <c r="T173" s="40"/>
    </row>
    <row r="174" spans="1:20" ht="15.75">
      <c r="A174" s="13">
        <v>46419</v>
      </c>
      <c r="B174" s="48">
        <v>28</v>
      </c>
      <c r="C174" s="39">
        <v>122.58</v>
      </c>
      <c r="D174" s="39">
        <v>297.94099999999997</v>
      </c>
      <c r="E174" s="45">
        <v>729.47900000000004</v>
      </c>
      <c r="F174" s="39">
        <v>1150</v>
      </c>
      <c r="G174" s="39">
        <v>100</v>
      </c>
      <c r="H174" s="47">
        <v>600</v>
      </c>
      <c r="I174" s="39">
        <v>695</v>
      </c>
      <c r="J174" s="39">
        <v>50</v>
      </c>
      <c r="K174" s="40"/>
      <c r="L174" s="40"/>
      <c r="M174" s="40"/>
      <c r="N174" s="40"/>
      <c r="O174" s="40"/>
      <c r="P174" s="40"/>
      <c r="Q174" s="40"/>
      <c r="R174" s="40"/>
      <c r="S174" s="40"/>
      <c r="T174" s="40"/>
    </row>
    <row r="175" spans="1:20" ht="15.75">
      <c r="A175" s="13">
        <v>46447</v>
      </c>
      <c r="B175" s="48">
        <v>31</v>
      </c>
      <c r="C175" s="39">
        <v>122.58</v>
      </c>
      <c r="D175" s="39">
        <v>297.94099999999997</v>
      </c>
      <c r="E175" s="45">
        <v>729.47900000000004</v>
      </c>
      <c r="F175" s="39">
        <v>1150</v>
      </c>
      <c r="G175" s="39">
        <v>100</v>
      </c>
      <c r="H175" s="47">
        <v>600</v>
      </c>
      <c r="I175" s="39">
        <v>695</v>
      </c>
      <c r="J175" s="39">
        <v>50</v>
      </c>
      <c r="K175" s="40"/>
      <c r="L175" s="40"/>
      <c r="M175" s="40"/>
      <c r="N175" s="40"/>
      <c r="O175" s="40"/>
      <c r="P175" s="40"/>
      <c r="Q175" s="40"/>
      <c r="R175" s="40"/>
      <c r="S175" s="40"/>
      <c r="T175" s="40"/>
    </row>
    <row r="176" spans="1:20" ht="15.75">
      <c r="A176" s="13">
        <v>46478</v>
      </c>
      <c r="B176" s="48">
        <v>30</v>
      </c>
      <c r="C176" s="39">
        <v>141.29300000000001</v>
      </c>
      <c r="D176" s="39">
        <v>267.99299999999999</v>
      </c>
      <c r="E176" s="45">
        <v>829.71400000000006</v>
      </c>
      <c r="F176" s="39">
        <v>1239</v>
      </c>
      <c r="G176" s="39">
        <v>100</v>
      </c>
      <c r="H176" s="47">
        <v>600</v>
      </c>
      <c r="I176" s="39">
        <v>695</v>
      </c>
      <c r="J176" s="39">
        <v>50</v>
      </c>
      <c r="K176" s="40"/>
      <c r="L176" s="40"/>
      <c r="M176" s="40"/>
      <c r="N176" s="40"/>
      <c r="O176" s="40"/>
      <c r="P176" s="40"/>
      <c r="Q176" s="40"/>
      <c r="R176" s="40"/>
      <c r="S176" s="40"/>
      <c r="T176" s="40"/>
    </row>
    <row r="177" spans="1:20" ht="15.75">
      <c r="A177" s="13">
        <v>46508</v>
      </c>
      <c r="B177" s="48">
        <v>31</v>
      </c>
      <c r="C177" s="39">
        <v>194.20500000000001</v>
      </c>
      <c r="D177" s="39">
        <v>267.46600000000001</v>
      </c>
      <c r="E177" s="45">
        <v>812.32899999999995</v>
      </c>
      <c r="F177" s="39">
        <v>1274</v>
      </c>
      <c r="G177" s="39">
        <v>75</v>
      </c>
      <c r="H177" s="47">
        <v>600</v>
      </c>
      <c r="I177" s="39">
        <v>695</v>
      </c>
      <c r="J177" s="39">
        <v>50</v>
      </c>
      <c r="K177" s="40"/>
      <c r="L177" s="40"/>
      <c r="M177" s="40"/>
      <c r="N177" s="40"/>
      <c r="O177" s="40"/>
      <c r="P177" s="40"/>
      <c r="Q177" s="40"/>
      <c r="R177" s="40"/>
      <c r="S177" s="40"/>
      <c r="T177" s="40"/>
    </row>
    <row r="178" spans="1:20" ht="15.75">
      <c r="A178" s="13">
        <v>46539</v>
      </c>
      <c r="B178" s="48">
        <v>30</v>
      </c>
      <c r="C178" s="39">
        <v>194.20500000000001</v>
      </c>
      <c r="D178" s="39">
        <v>267.46600000000001</v>
      </c>
      <c r="E178" s="45">
        <v>812.32899999999995</v>
      </c>
      <c r="F178" s="39">
        <v>1274</v>
      </c>
      <c r="G178" s="39">
        <v>50</v>
      </c>
      <c r="H178" s="47">
        <v>600</v>
      </c>
      <c r="I178" s="39">
        <v>695</v>
      </c>
      <c r="J178" s="39">
        <v>50</v>
      </c>
      <c r="K178" s="40"/>
      <c r="L178" s="40"/>
      <c r="M178" s="40"/>
      <c r="N178" s="40"/>
      <c r="O178" s="40"/>
      <c r="P178" s="40"/>
      <c r="Q178" s="40"/>
      <c r="R178" s="40"/>
      <c r="S178" s="40"/>
      <c r="T178" s="40"/>
    </row>
    <row r="179" spans="1:20" ht="15.75">
      <c r="A179" s="13">
        <v>46569</v>
      </c>
      <c r="B179" s="48">
        <v>31</v>
      </c>
      <c r="C179" s="39">
        <v>194.20500000000001</v>
      </c>
      <c r="D179" s="39">
        <v>267.46600000000001</v>
      </c>
      <c r="E179" s="45">
        <v>812.32899999999995</v>
      </c>
      <c r="F179" s="39">
        <v>1274</v>
      </c>
      <c r="G179" s="39">
        <v>50</v>
      </c>
      <c r="H179" s="47">
        <v>600</v>
      </c>
      <c r="I179" s="39">
        <v>695</v>
      </c>
      <c r="J179" s="39">
        <v>0</v>
      </c>
      <c r="K179" s="40"/>
      <c r="L179" s="40"/>
      <c r="M179" s="40"/>
      <c r="N179" s="40"/>
      <c r="O179" s="40"/>
      <c r="P179" s="40"/>
      <c r="Q179" s="40"/>
      <c r="R179" s="40"/>
      <c r="S179" s="40"/>
      <c r="T179" s="40"/>
    </row>
    <row r="180" spans="1:20" ht="15.75">
      <c r="A180" s="13">
        <v>46600</v>
      </c>
      <c r="B180" s="48">
        <v>31</v>
      </c>
      <c r="C180" s="39">
        <v>194.20500000000001</v>
      </c>
      <c r="D180" s="39">
        <v>267.46600000000001</v>
      </c>
      <c r="E180" s="45">
        <v>812.32899999999995</v>
      </c>
      <c r="F180" s="39">
        <v>1274</v>
      </c>
      <c r="G180" s="39">
        <v>50</v>
      </c>
      <c r="H180" s="47">
        <v>600</v>
      </c>
      <c r="I180" s="39">
        <v>695</v>
      </c>
      <c r="J180" s="39">
        <v>0</v>
      </c>
      <c r="K180" s="40"/>
      <c r="L180" s="40"/>
      <c r="M180" s="40"/>
      <c r="N180" s="40"/>
      <c r="O180" s="40"/>
      <c r="P180" s="40"/>
      <c r="Q180" s="40"/>
      <c r="R180" s="40"/>
      <c r="S180" s="40"/>
      <c r="T180" s="40"/>
    </row>
    <row r="181" spans="1:20" ht="15.75">
      <c r="A181" s="13">
        <v>46631</v>
      </c>
      <c r="B181" s="48">
        <v>30</v>
      </c>
      <c r="C181" s="39">
        <v>194.20500000000001</v>
      </c>
      <c r="D181" s="39">
        <v>267.46600000000001</v>
      </c>
      <c r="E181" s="45">
        <v>812.32899999999995</v>
      </c>
      <c r="F181" s="39">
        <v>1274</v>
      </c>
      <c r="G181" s="39">
        <v>50</v>
      </c>
      <c r="H181" s="47">
        <v>600</v>
      </c>
      <c r="I181" s="39">
        <v>695</v>
      </c>
      <c r="J181" s="39">
        <v>0</v>
      </c>
      <c r="K181" s="40"/>
      <c r="L181" s="40"/>
      <c r="M181" s="40"/>
      <c r="N181" s="40"/>
      <c r="O181" s="40"/>
      <c r="P181" s="40"/>
      <c r="Q181" s="40"/>
      <c r="R181" s="40"/>
      <c r="S181" s="40"/>
      <c r="T181" s="40"/>
    </row>
    <row r="182" spans="1:20" ht="15.75">
      <c r="A182" s="13">
        <v>46661</v>
      </c>
      <c r="B182" s="48">
        <v>31</v>
      </c>
      <c r="C182" s="39">
        <v>131.881</v>
      </c>
      <c r="D182" s="39">
        <v>277.16699999999997</v>
      </c>
      <c r="E182" s="45">
        <v>829.952</v>
      </c>
      <c r="F182" s="39">
        <v>1239</v>
      </c>
      <c r="G182" s="39">
        <v>75</v>
      </c>
      <c r="H182" s="47">
        <v>600</v>
      </c>
      <c r="I182" s="39">
        <v>695</v>
      </c>
      <c r="J182" s="39">
        <v>0</v>
      </c>
      <c r="K182" s="40"/>
      <c r="L182" s="40"/>
      <c r="M182" s="40"/>
      <c r="N182" s="40"/>
      <c r="O182" s="40"/>
      <c r="P182" s="40"/>
      <c r="Q182" s="40"/>
      <c r="R182" s="40"/>
      <c r="S182" s="40"/>
      <c r="T182" s="40"/>
    </row>
    <row r="183" spans="1:20" ht="15.75">
      <c r="A183" s="13">
        <v>46692</v>
      </c>
      <c r="B183" s="48">
        <v>30</v>
      </c>
      <c r="C183" s="39">
        <v>122.58</v>
      </c>
      <c r="D183" s="39">
        <v>297.94099999999997</v>
      </c>
      <c r="E183" s="45">
        <v>729.47900000000004</v>
      </c>
      <c r="F183" s="39">
        <v>1150</v>
      </c>
      <c r="G183" s="39">
        <v>100</v>
      </c>
      <c r="H183" s="47">
        <v>600</v>
      </c>
      <c r="I183" s="39">
        <v>695</v>
      </c>
      <c r="J183" s="39">
        <v>50</v>
      </c>
      <c r="K183" s="40"/>
      <c r="L183" s="40"/>
      <c r="M183" s="40"/>
      <c r="N183" s="40"/>
      <c r="O183" s="40"/>
      <c r="P183" s="40"/>
      <c r="Q183" s="40"/>
      <c r="R183" s="40"/>
      <c r="S183" s="40"/>
      <c r="T183" s="40"/>
    </row>
    <row r="184" spans="1:20" ht="15.75">
      <c r="A184" s="13">
        <v>46722</v>
      </c>
      <c r="B184" s="48">
        <v>31</v>
      </c>
      <c r="C184" s="39">
        <v>122.58</v>
      </c>
      <c r="D184" s="39">
        <v>297.94099999999997</v>
      </c>
      <c r="E184" s="45">
        <v>729.47900000000004</v>
      </c>
      <c r="F184" s="39">
        <v>1150</v>
      </c>
      <c r="G184" s="39">
        <v>100</v>
      </c>
      <c r="H184" s="47">
        <v>600</v>
      </c>
      <c r="I184" s="39">
        <v>695</v>
      </c>
      <c r="J184" s="39">
        <v>50</v>
      </c>
      <c r="K184" s="40"/>
      <c r="L184" s="40"/>
      <c r="M184" s="40"/>
      <c r="N184" s="40"/>
      <c r="O184" s="40"/>
      <c r="P184" s="40"/>
      <c r="Q184" s="40"/>
      <c r="R184" s="40"/>
      <c r="S184" s="40"/>
      <c r="T184" s="40"/>
    </row>
    <row r="185" spans="1:20" ht="15.75">
      <c r="A185" s="13">
        <v>46753</v>
      </c>
      <c r="B185" s="48">
        <v>31</v>
      </c>
      <c r="C185" s="39">
        <v>122.58</v>
      </c>
      <c r="D185" s="39">
        <v>297.94099999999997</v>
      </c>
      <c r="E185" s="45">
        <v>729.47900000000004</v>
      </c>
      <c r="F185" s="39">
        <v>1150</v>
      </c>
      <c r="G185" s="39">
        <v>100</v>
      </c>
      <c r="H185" s="47">
        <v>600</v>
      </c>
      <c r="I185" s="39">
        <v>695</v>
      </c>
      <c r="J185" s="39">
        <v>50</v>
      </c>
      <c r="K185" s="40"/>
      <c r="L185" s="40"/>
      <c r="M185" s="40"/>
      <c r="N185" s="40"/>
      <c r="O185" s="40"/>
      <c r="P185" s="40"/>
      <c r="Q185" s="40"/>
      <c r="R185" s="40"/>
      <c r="S185" s="40"/>
      <c r="T185" s="40"/>
    </row>
    <row r="186" spans="1:20" ht="15.75">
      <c r="A186" s="13">
        <v>46784</v>
      </c>
      <c r="B186" s="48">
        <v>29</v>
      </c>
      <c r="C186" s="39">
        <v>122.58</v>
      </c>
      <c r="D186" s="39">
        <v>297.94099999999997</v>
      </c>
      <c r="E186" s="45">
        <v>729.47900000000004</v>
      </c>
      <c r="F186" s="39">
        <v>1150</v>
      </c>
      <c r="G186" s="39">
        <v>100</v>
      </c>
      <c r="H186" s="47">
        <v>600</v>
      </c>
      <c r="I186" s="39">
        <v>695</v>
      </c>
      <c r="J186" s="39">
        <v>50</v>
      </c>
      <c r="K186" s="40"/>
      <c r="L186" s="40"/>
      <c r="M186" s="40"/>
      <c r="N186" s="40"/>
      <c r="O186" s="40"/>
      <c r="P186" s="40"/>
      <c r="Q186" s="40"/>
      <c r="R186" s="40"/>
      <c r="S186" s="40"/>
      <c r="T186" s="40"/>
    </row>
    <row r="187" spans="1:20" ht="15.75">
      <c r="A187" s="13">
        <v>46813</v>
      </c>
      <c r="B187" s="48">
        <v>31</v>
      </c>
      <c r="C187" s="39">
        <v>122.58</v>
      </c>
      <c r="D187" s="39">
        <v>297.94099999999997</v>
      </c>
      <c r="E187" s="45">
        <v>729.47900000000004</v>
      </c>
      <c r="F187" s="39">
        <v>1150</v>
      </c>
      <c r="G187" s="39">
        <v>100</v>
      </c>
      <c r="H187" s="47">
        <v>600</v>
      </c>
      <c r="I187" s="39">
        <v>695</v>
      </c>
      <c r="J187" s="39">
        <v>50</v>
      </c>
      <c r="K187" s="40"/>
      <c r="L187" s="40"/>
      <c r="M187" s="40"/>
      <c r="N187" s="40"/>
      <c r="O187" s="40"/>
      <c r="P187" s="40"/>
      <c r="Q187" s="40"/>
      <c r="R187" s="40"/>
      <c r="S187" s="40"/>
      <c r="T187" s="40"/>
    </row>
    <row r="188" spans="1:20" ht="15.75">
      <c r="A188" s="13">
        <v>46844</v>
      </c>
      <c r="B188" s="48">
        <v>30</v>
      </c>
      <c r="C188" s="39">
        <v>141.29300000000001</v>
      </c>
      <c r="D188" s="39">
        <v>267.99299999999999</v>
      </c>
      <c r="E188" s="45">
        <v>829.71400000000006</v>
      </c>
      <c r="F188" s="39">
        <v>1239</v>
      </c>
      <c r="G188" s="39">
        <v>100</v>
      </c>
      <c r="H188" s="47">
        <v>600</v>
      </c>
      <c r="I188" s="39">
        <v>695</v>
      </c>
      <c r="J188" s="39">
        <v>50</v>
      </c>
      <c r="K188" s="40"/>
      <c r="L188" s="40"/>
      <c r="M188" s="40"/>
      <c r="N188" s="40"/>
      <c r="O188" s="40"/>
      <c r="P188" s="40"/>
      <c r="Q188" s="40"/>
      <c r="R188" s="40"/>
      <c r="S188" s="40"/>
      <c r="T188" s="40"/>
    </row>
    <row r="189" spans="1:20" ht="15.75">
      <c r="A189" s="13">
        <v>46874</v>
      </c>
      <c r="B189" s="48">
        <v>31</v>
      </c>
      <c r="C189" s="39">
        <v>194.20500000000001</v>
      </c>
      <c r="D189" s="39">
        <v>267.46600000000001</v>
      </c>
      <c r="E189" s="45">
        <v>812.32899999999995</v>
      </c>
      <c r="F189" s="39">
        <v>1274</v>
      </c>
      <c r="G189" s="39">
        <v>75</v>
      </c>
      <c r="H189" s="47">
        <v>600</v>
      </c>
      <c r="I189" s="39">
        <v>695</v>
      </c>
      <c r="J189" s="39">
        <v>50</v>
      </c>
      <c r="K189" s="40"/>
      <c r="L189" s="40"/>
      <c r="M189" s="40"/>
      <c r="N189" s="40"/>
      <c r="O189" s="40"/>
      <c r="P189" s="40"/>
      <c r="Q189" s="40"/>
      <c r="R189" s="40"/>
      <c r="S189" s="40"/>
      <c r="T189" s="40"/>
    </row>
    <row r="190" spans="1:20" ht="15.75">
      <c r="A190" s="13">
        <v>46905</v>
      </c>
      <c r="B190" s="48">
        <v>30</v>
      </c>
      <c r="C190" s="39">
        <v>194.20500000000001</v>
      </c>
      <c r="D190" s="39">
        <v>267.46600000000001</v>
      </c>
      <c r="E190" s="45">
        <v>812.32899999999995</v>
      </c>
      <c r="F190" s="39">
        <v>1274</v>
      </c>
      <c r="G190" s="39">
        <v>50</v>
      </c>
      <c r="H190" s="47">
        <v>600</v>
      </c>
      <c r="I190" s="39">
        <v>695</v>
      </c>
      <c r="J190" s="39">
        <v>50</v>
      </c>
      <c r="K190" s="40"/>
      <c r="L190" s="40"/>
      <c r="M190" s="40"/>
      <c r="N190" s="40"/>
      <c r="O190" s="40"/>
      <c r="P190" s="40"/>
      <c r="Q190" s="40"/>
      <c r="R190" s="40"/>
      <c r="S190" s="40"/>
      <c r="T190" s="40"/>
    </row>
    <row r="191" spans="1:20" ht="15.75">
      <c r="A191" s="13">
        <v>46935</v>
      </c>
      <c r="B191" s="48">
        <v>31</v>
      </c>
      <c r="C191" s="39">
        <v>194.20500000000001</v>
      </c>
      <c r="D191" s="39">
        <v>267.46600000000001</v>
      </c>
      <c r="E191" s="45">
        <v>812.32899999999995</v>
      </c>
      <c r="F191" s="39">
        <v>1274</v>
      </c>
      <c r="G191" s="39">
        <v>50</v>
      </c>
      <c r="H191" s="47">
        <v>600</v>
      </c>
      <c r="I191" s="39">
        <v>695</v>
      </c>
      <c r="J191" s="39">
        <v>0</v>
      </c>
      <c r="K191" s="40"/>
      <c r="L191" s="40"/>
      <c r="M191" s="40"/>
      <c r="N191" s="40"/>
      <c r="O191" s="40"/>
      <c r="P191" s="40"/>
      <c r="Q191" s="40"/>
      <c r="R191" s="40"/>
      <c r="S191" s="40"/>
      <c r="T191" s="40"/>
    </row>
    <row r="192" spans="1:20" ht="15.75">
      <c r="A192" s="13">
        <v>46966</v>
      </c>
      <c r="B192" s="48">
        <v>31</v>
      </c>
      <c r="C192" s="39">
        <v>194.20500000000001</v>
      </c>
      <c r="D192" s="39">
        <v>267.46600000000001</v>
      </c>
      <c r="E192" s="45">
        <v>812.32899999999995</v>
      </c>
      <c r="F192" s="39">
        <v>1274</v>
      </c>
      <c r="G192" s="39">
        <v>50</v>
      </c>
      <c r="H192" s="47">
        <v>600</v>
      </c>
      <c r="I192" s="39">
        <v>695</v>
      </c>
      <c r="J192" s="39">
        <v>0</v>
      </c>
      <c r="K192" s="40"/>
      <c r="L192" s="40"/>
      <c r="M192" s="40"/>
      <c r="N192" s="40"/>
      <c r="O192" s="40"/>
      <c r="P192" s="40"/>
      <c r="Q192" s="40"/>
      <c r="R192" s="40"/>
      <c r="S192" s="40"/>
      <c r="T192" s="40"/>
    </row>
    <row r="193" spans="1:20" ht="15.75">
      <c r="A193" s="13">
        <v>46997</v>
      </c>
      <c r="B193" s="48">
        <v>30</v>
      </c>
      <c r="C193" s="39">
        <v>194.20500000000001</v>
      </c>
      <c r="D193" s="39">
        <v>267.46600000000001</v>
      </c>
      <c r="E193" s="45">
        <v>812.32899999999995</v>
      </c>
      <c r="F193" s="39">
        <v>1274</v>
      </c>
      <c r="G193" s="39">
        <v>50</v>
      </c>
      <c r="H193" s="47">
        <v>600</v>
      </c>
      <c r="I193" s="39">
        <v>695</v>
      </c>
      <c r="J193" s="39">
        <v>0</v>
      </c>
      <c r="K193" s="40"/>
      <c r="L193" s="40"/>
      <c r="M193" s="40"/>
      <c r="N193" s="40"/>
      <c r="O193" s="40"/>
      <c r="P193" s="40"/>
      <c r="Q193" s="40"/>
      <c r="R193" s="40"/>
      <c r="S193" s="40"/>
      <c r="T193" s="40"/>
    </row>
    <row r="194" spans="1:20" ht="15.75">
      <c r="A194" s="13">
        <v>47027</v>
      </c>
      <c r="B194" s="48">
        <v>31</v>
      </c>
      <c r="C194" s="39">
        <v>131.881</v>
      </c>
      <c r="D194" s="39">
        <v>277.16699999999997</v>
      </c>
      <c r="E194" s="45">
        <v>829.952</v>
      </c>
      <c r="F194" s="39">
        <v>1239</v>
      </c>
      <c r="G194" s="39">
        <v>75</v>
      </c>
      <c r="H194" s="47">
        <v>600</v>
      </c>
      <c r="I194" s="39">
        <v>695</v>
      </c>
      <c r="J194" s="39">
        <v>0</v>
      </c>
      <c r="K194" s="40"/>
      <c r="L194" s="40"/>
      <c r="M194" s="40"/>
      <c r="N194" s="40"/>
      <c r="O194" s="40"/>
      <c r="P194" s="40"/>
      <c r="Q194" s="40"/>
      <c r="R194" s="40"/>
      <c r="S194" s="40"/>
      <c r="T194" s="40"/>
    </row>
    <row r="195" spans="1:20" ht="15.75">
      <c r="A195" s="13">
        <v>47058</v>
      </c>
      <c r="B195" s="48">
        <v>30</v>
      </c>
      <c r="C195" s="39">
        <v>122.58</v>
      </c>
      <c r="D195" s="39">
        <v>297.94099999999997</v>
      </c>
      <c r="E195" s="45">
        <v>729.47900000000004</v>
      </c>
      <c r="F195" s="39">
        <v>1150</v>
      </c>
      <c r="G195" s="39">
        <v>100</v>
      </c>
      <c r="H195" s="47">
        <v>600</v>
      </c>
      <c r="I195" s="39">
        <v>695</v>
      </c>
      <c r="J195" s="39">
        <v>50</v>
      </c>
      <c r="K195" s="40"/>
      <c r="L195" s="40"/>
      <c r="M195" s="40"/>
      <c r="N195" s="40"/>
      <c r="O195" s="40"/>
      <c r="P195" s="40"/>
      <c r="Q195" s="40"/>
      <c r="R195" s="40"/>
      <c r="S195" s="40"/>
      <c r="T195" s="40"/>
    </row>
    <row r="196" spans="1:20" ht="15.75">
      <c r="A196" s="13">
        <v>47088</v>
      </c>
      <c r="B196" s="48">
        <v>31</v>
      </c>
      <c r="C196" s="39">
        <v>122.58</v>
      </c>
      <c r="D196" s="39">
        <v>297.94099999999997</v>
      </c>
      <c r="E196" s="45">
        <v>729.47900000000004</v>
      </c>
      <c r="F196" s="39">
        <v>1150</v>
      </c>
      <c r="G196" s="39">
        <v>100</v>
      </c>
      <c r="H196" s="47">
        <v>600</v>
      </c>
      <c r="I196" s="39">
        <v>695</v>
      </c>
      <c r="J196" s="39">
        <v>50</v>
      </c>
      <c r="K196" s="40"/>
      <c r="L196" s="40"/>
      <c r="M196" s="40"/>
      <c r="N196" s="40"/>
      <c r="O196" s="40"/>
      <c r="P196" s="40"/>
      <c r="Q196" s="40"/>
      <c r="R196" s="40"/>
      <c r="S196" s="40"/>
      <c r="T196" s="40"/>
    </row>
    <row r="197" spans="1:20" ht="15.75">
      <c r="A197" s="13">
        <v>47119</v>
      </c>
      <c r="B197" s="48">
        <v>31</v>
      </c>
      <c r="C197" s="39">
        <v>122.58</v>
      </c>
      <c r="D197" s="39">
        <v>297.94099999999997</v>
      </c>
      <c r="E197" s="45">
        <v>729.47900000000004</v>
      </c>
      <c r="F197" s="39">
        <v>1150</v>
      </c>
      <c r="G197" s="39">
        <v>100</v>
      </c>
      <c r="H197" s="47">
        <v>600</v>
      </c>
      <c r="I197" s="39">
        <v>695</v>
      </c>
      <c r="J197" s="39">
        <v>50</v>
      </c>
      <c r="K197" s="40"/>
      <c r="L197" s="40"/>
      <c r="M197" s="40"/>
      <c r="N197" s="40"/>
      <c r="O197" s="40"/>
      <c r="P197" s="40"/>
      <c r="Q197" s="40"/>
      <c r="R197" s="40"/>
      <c r="S197" s="40"/>
      <c r="T197" s="40"/>
    </row>
    <row r="198" spans="1:20" ht="15.75">
      <c r="A198" s="13">
        <v>47150</v>
      </c>
      <c r="B198" s="48">
        <v>28</v>
      </c>
      <c r="C198" s="39">
        <v>122.58</v>
      </c>
      <c r="D198" s="39">
        <v>297.94099999999997</v>
      </c>
      <c r="E198" s="45">
        <v>729.47900000000004</v>
      </c>
      <c r="F198" s="39">
        <v>1150</v>
      </c>
      <c r="G198" s="39">
        <v>100</v>
      </c>
      <c r="H198" s="47">
        <v>600</v>
      </c>
      <c r="I198" s="39">
        <v>695</v>
      </c>
      <c r="J198" s="39">
        <v>50</v>
      </c>
      <c r="K198" s="40"/>
      <c r="L198" s="40"/>
      <c r="M198" s="40"/>
      <c r="N198" s="40"/>
      <c r="O198" s="40"/>
      <c r="P198" s="40"/>
      <c r="Q198" s="40"/>
      <c r="R198" s="40"/>
      <c r="S198" s="40"/>
      <c r="T198" s="40"/>
    </row>
    <row r="199" spans="1:20" ht="15.75">
      <c r="A199" s="13">
        <v>47178</v>
      </c>
      <c r="B199" s="48">
        <v>31</v>
      </c>
      <c r="C199" s="39">
        <v>122.58</v>
      </c>
      <c r="D199" s="39">
        <v>297.94099999999997</v>
      </c>
      <c r="E199" s="45">
        <v>729.47900000000004</v>
      </c>
      <c r="F199" s="39">
        <v>1150</v>
      </c>
      <c r="G199" s="39">
        <v>100</v>
      </c>
      <c r="H199" s="47">
        <v>600</v>
      </c>
      <c r="I199" s="39">
        <v>695</v>
      </c>
      <c r="J199" s="39">
        <v>50</v>
      </c>
      <c r="K199" s="40"/>
      <c r="L199" s="40"/>
      <c r="M199" s="40"/>
      <c r="N199" s="40"/>
      <c r="O199" s="40"/>
      <c r="P199" s="40"/>
      <c r="Q199" s="40"/>
      <c r="R199" s="40"/>
      <c r="S199" s="40"/>
      <c r="T199" s="40"/>
    </row>
    <row r="200" spans="1:20" ht="15.75">
      <c r="A200" s="13">
        <v>47209</v>
      </c>
      <c r="B200" s="48">
        <v>30</v>
      </c>
      <c r="C200" s="39">
        <v>141.29300000000001</v>
      </c>
      <c r="D200" s="39">
        <v>267.99299999999999</v>
      </c>
      <c r="E200" s="45">
        <v>829.71400000000006</v>
      </c>
      <c r="F200" s="39">
        <v>1239</v>
      </c>
      <c r="G200" s="39">
        <v>100</v>
      </c>
      <c r="H200" s="47">
        <v>600</v>
      </c>
      <c r="I200" s="39">
        <v>695</v>
      </c>
      <c r="J200" s="39">
        <v>50</v>
      </c>
      <c r="K200" s="40"/>
      <c r="L200" s="40"/>
      <c r="M200" s="40"/>
      <c r="N200" s="40"/>
      <c r="O200" s="40"/>
      <c r="P200" s="40"/>
      <c r="Q200" s="40"/>
      <c r="R200" s="40"/>
      <c r="S200" s="40"/>
      <c r="T200" s="40"/>
    </row>
    <row r="201" spans="1:20" ht="15.75">
      <c r="A201" s="13">
        <v>47239</v>
      </c>
      <c r="B201" s="48">
        <v>31</v>
      </c>
      <c r="C201" s="39">
        <v>194.20500000000001</v>
      </c>
      <c r="D201" s="39">
        <v>267.46600000000001</v>
      </c>
      <c r="E201" s="45">
        <v>812.32899999999995</v>
      </c>
      <c r="F201" s="39">
        <v>1274</v>
      </c>
      <c r="G201" s="39">
        <v>75</v>
      </c>
      <c r="H201" s="47">
        <v>600</v>
      </c>
      <c r="I201" s="39">
        <v>695</v>
      </c>
      <c r="J201" s="39">
        <v>50</v>
      </c>
      <c r="K201" s="40"/>
      <c r="L201" s="40"/>
      <c r="M201" s="40"/>
      <c r="N201" s="40"/>
      <c r="O201" s="40"/>
      <c r="P201" s="40"/>
      <c r="Q201" s="40"/>
      <c r="R201" s="40"/>
      <c r="S201" s="40"/>
      <c r="T201" s="40"/>
    </row>
    <row r="202" spans="1:20" ht="15.75">
      <c r="A202" s="13">
        <v>47270</v>
      </c>
      <c r="B202" s="48">
        <v>30</v>
      </c>
      <c r="C202" s="39">
        <v>194.20500000000001</v>
      </c>
      <c r="D202" s="39">
        <v>267.46600000000001</v>
      </c>
      <c r="E202" s="45">
        <v>812.32899999999995</v>
      </c>
      <c r="F202" s="39">
        <v>1274</v>
      </c>
      <c r="G202" s="39">
        <v>50</v>
      </c>
      <c r="H202" s="47">
        <v>600</v>
      </c>
      <c r="I202" s="39">
        <v>695</v>
      </c>
      <c r="J202" s="39">
        <v>50</v>
      </c>
      <c r="K202" s="40"/>
      <c r="L202" s="40"/>
      <c r="M202" s="40"/>
      <c r="N202" s="40"/>
      <c r="O202" s="40"/>
      <c r="P202" s="40"/>
      <c r="Q202" s="40"/>
      <c r="R202" s="40"/>
      <c r="S202" s="40"/>
      <c r="T202" s="40"/>
    </row>
    <row r="203" spans="1:20" ht="15.75">
      <c r="A203" s="13">
        <v>47300</v>
      </c>
      <c r="B203" s="48">
        <v>31</v>
      </c>
      <c r="C203" s="39">
        <v>194.20500000000001</v>
      </c>
      <c r="D203" s="39">
        <v>267.46600000000001</v>
      </c>
      <c r="E203" s="45">
        <v>812.32899999999995</v>
      </c>
      <c r="F203" s="39">
        <v>1274</v>
      </c>
      <c r="G203" s="39">
        <v>50</v>
      </c>
      <c r="H203" s="47">
        <v>600</v>
      </c>
      <c r="I203" s="39">
        <v>695</v>
      </c>
      <c r="J203" s="39">
        <v>0</v>
      </c>
      <c r="K203" s="40"/>
      <c r="L203" s="40"/>
      <c r="M203" s="40"/>
      <c r="N203" s="40"/>
      <c r="O203" s="40"/>
      <c r="P203" s="40"/>
      <c r="Q203" s="40"/>
      <c r="R203" s="40"/>
      <c r="S203" s="40"/>
      <c r="T203" s="40"/>
    </row>
    <row r="204" spans="1:20" ht="15.75">
      <c r="A204" s="13">
        <v>47331</v>
      </c>
      <c r="B204" s="48">
        <v>31</v>
      </c>
      <c r="C204" s="39">
        <v>194.20500000000001</v>
      </c>
      <c r="D204" s="39">
        <v>267.46600000000001</v>
      </c>
      <c r="E204" s="45">
        <v>812.32899999999995</v>
      </c>
      <c r="F204" s="39">
        <v>1274</v>
      </c>
      <c r="G204" s="39">
        <v>50</v>
      </c>
      <c r="H204" s="47">
        <v>600</v>
      </c>
      <c r="I204" s="39">
        <v>695</v>
      </c>
      <c r="J204" s="39">
        <v>0</v>
      </c>
      <c r="K204" s="40"/>
      <c r="L204" s="40"/>
      <c r="M204" s="40"/>
      <c r="N204" s="40"/>
      <c r="O204" s="40"/>
      <c r="P204" s="40"/>
      <c r="Q204" s="40"/>
      <c r="R204" s="40"/>
      <c r="S204" s="40"/>
      <c r="T204" s="40"/>
    </row>
    <row r="205" spans="1:20" ht="15.75">
      <c r="A205" s="13">
        <v>47362</v>
      </c>
      <c r="B205" s="48">
        <v>30</v>
      </c>
      <c r="C205" s="39">
        <v>194.20500000000001</v>
      </c>
      <c r="D205" s="39">
        <v>267.46600000000001</v>
      </c>
      <c r="E205" s="45">
        <v>812.32899999999995</v>
      </c>
      <c r="F205" s="39">
        <v>1274</v>
      </c>
      <c r="G205" s="39">
        <v>50</v>
      </c>
      <c r="H205" s="47">
        <v>600</v>
      </c>
      <c r="I205" s="39">
        <v>695</v>
      </c>
      <c r="J205" s="39">
        <v>0</v>
      </c>
      <c r="K205" s="40"/>
      <c r="L205" s="40"/>
      <c r="M205" s="40"/>
      <c r="N205" s="40"/>
      <c r="O205" s="40"/>
      <c r="P205" s="40"/>
      <c r="Q205" s="40"/>
      <c r="R205" s="40"/>
      <c r="S205" s="40"/>
      <c r="T205" s="40"/>
    </row>
    <row r="206" spans="1:20" ht="15.75">
      <c r="A206" s="13">
        <v>47392</v>
      </c>
      <c r="B206" s="48">
        <v>31</v>
      </c>
      <c r="C206" s="39">
        <v>131.881</v>
      </c>
      <c r="D206" s="39">
        <v>277.16699999999997</v>
      </c>
      <c r="E206" s="45">
        <v>829.952</v>
      </c>
      <c r="F206" s="39">
        <v>1239</v>
      </c>
      <c r="G206" s="39">
        <v>75</v>
      </c>
      <c r="H206" s="47">
        <v>600</v>
      </c>
      <c r="I206" s="39">
        <v>695</v>
      </c>
      <c r="J206" s="39">
        <v>0</v>
      </c>
      <c r="K206" s="40"/>
      <c r="L206" s="40"/>
      <c r="M206" s="40"/>
      <c r="N206" s="40"/>
      <c r="O206" s="40"/>
      <c r="P206" s="40"/>
      <c r="Q206" s="40"/>
      <c r="R206" s="40"/>
      <c r="S206" s="40"/>
      <c r="T206" s="40"/>
    </row>
    <row r="207" spans="1:20" ht="15.75">
      <c r="A207" s="13">
        <v>47423</v>
      </c>
      <c r="B207" s="48">
        <v>30</v>
      </c>
      <c r="C207" s="39">
        <v>122.58</v>
      </c>
      <c r="D207" s="39">
        <v>297.94099999999997</v>
      </c>
      <c r="E207" s="45">
        <v>729.47900000000004</v>
      </c>
      <c r="F207" s="39">
        <v>1150</v>
      </c>
      <c r="G207" s="39">
        <v>100</v>
      </c>
      <c r="H207" s="47">
        <v>600</v>
      </c>
      <c r="I207" s="39">
        <v>695</v>
      </c>
      <c r="J207" s="39">
        <v>50</v>
      </c>
      <c r="K207" s="40"/>
      <c r="L207" s="40"/>
      <c r="M207" s="40"/>
      <c r="N207" s="40"/>
      <c r="O207" s="40"/>
      <c r="P207" s="40"/>
      <c r="Q207" s="40"/>
      <c r="R207" s="40"/>
      <c r="S207" s="40"/>
      <c r="T207" s="40"/>
    </row>
    <row r="208" spans="1:20" ht="15.75">
      <c r="A208" s="13">
        <v>47453</v>
      </c>
      <c r="B208" s="48">
        <v>31</v>
      </c>
      <c r="C208" s="39">
        <v>122.58</v>
      </c>
      <c r="D208" s="39">
        <v>297.94099999999997</v>
      </c>
      <c r="E208" s="45">
        <v>729.47900000000004</v>
      </c>
      <c r="F208" s="39">
        <v>1150</v>
      </c>
      <c r="G208" s="39">
        <v>100</v>
      </c>
      <c r="H208" s="47">
        <v>600</v>
      </c>
      <c r="I208" s="39">
        <v>695</v>
      </c>
      <c r="J208" s="39">
        <v>50</v>
      </c>
      <c r="K208" s="40"/>
      <c r="L208" s="40"/>
      <c r="M208" s="40"/>
      <c r="N208" s="40"/>
      <c r="O208" s="40"/>
      <c r="P208" s="40"/>
      <c r="Q208" s="40"/>
      <c r="R208" s="40"/>
      <c r="S208" s="40"/>
      <c r="T208" s="40"/>
    </row>
    <row r="209" spans="1:20" ht="15.75">
      <c r="A209" s="13">
        <v>47484</v>
      </c>
      <c r="B209" s="48">
        <v>31</v>
      </c>
      <c r="C209" s="39">
        <v>122.58</v>
      </c>
      <c r="D209" s="39">
        <v>297.94099999999997</v>
      </c>
      <c r="E209" s="45">
        <v>729.47900000000004</v>
      </c>
      <c r="F209" s="39">
        <v>1150</v>
      </c>
      <c r="G209" s="39">
        <v>100</v>
      </c>
      <c r="H209" s="47">
        <v>600</v>
      </c>
      <c r="I209" s="39">
        <v>695</v>
      </c>
      <c r="J209" s="39">
        <v>50</v>
      </c>
      <c r="K209" s="40"/>
      <c r="L209" s="40"/>
      <c r="M209" s="40"/>
      <c r="N209" s="40"/>
      <c r="O209" s="40"/>
      <c r="P209" s="40"/>
      <c r="Q209" s="40"/>
      <c r="R209" s="40"/>
      <c r="S209" s="40"/>
      <c r="T209" s="40"/>
    </row>
    <row r="210" spans="1:20" ht="15.75">
      <c r="A210" s="13">
        <v>47515</v>
      </c>
      <c r="B210" s="48">
        <v>28</v>
      </c>
      <c r="C210" s="39">
        <v>122.58</v>
      </c>
      <c r="D210" s="39">
        <v>297.94099999999997</v>
      </c>
      <c r="E210" s="45">
        <v>729.47900000000004</v>
      </c>
      <c r="F210" s="39">
        <v>1150</v>
      </c>
      <c r="G210" s="39">
        <v>100</v>
      </c>
      <c r="H210" s="47">
        <v>600</v>
      </c>
      <c r="I210" s="39">
        <v>695</v>
      </c>
      <c r="J210" s="39">
        <v>50</v>
      </c>
      <c r="K210" s="40"/>
      <c r="L210" s="40"/>
      <c r="M210" s="40"/>
      <c r="N210" s="40"/>
      <c r="O210" s="40"/>
      <c r="P210" s="40"/>
      <c r="Q210" s="40"/>
      <c r="R210" s="40"/>
      <c r="S210" s="40"/>
      <c r="T210" s="40"/>
    </row>
    <row r="211" spans="1:20" ht="15.75">
      <c r="A211" s="13">
        <v>47543</v>
      </c>
      <c r="B211" s="48">
        <v>31</v>
      </c>
      <c r="C211" s="39">
        <v>122.58</v>
      </c>
      <c r="D211" s="39">
        <v>297.94099999999997</v>
      </c>
      <c r="E211" s="45">
        <v>729.47900000000004</v>
      </c>
      <c r="F211" s="39">
        <v>1150</v>
      </c>
      <c r="G211" s="39">
        <v>100</v>
      </c>
      <c r="H211" s="47">
        <v>600</v>
      </c>
      <c r="I211" s="39">
        <v>695</v>
      </c>
      <c r="J211" s="39">
        <v>50</v>
      </c>
      <c r="K211" s="40"/>
      <c r="L211" s="40"/>
      <c r="M211" s="40"/>
      <c r="N211" s="40"/>
      <c r="O211" s="40"/>
      <c r="P211" s="40"/>
      <c r="Q211" s="40"/>
      <c r="R211" s="40"/>
      <c r="S211" s="40"/>
      <c r="T211" s="40"/>
    </row>
    <row r="212" spans="1:20" ht="15.75">
      <c r="A212" s="13">
        <v>47574</v>
      </c>
      <c r="B212" s="48">
        <v>30</v>
      </c>
      <c r="C212" s="39">
        <v>141.29300000000001</v>
      </c>
      <c r="D212" s="39">
        <v>267.99299999999999</v>
      </c>
      <c r="E212" s="45">
        <v>829.71400000000006</v>
      </c>
      <c r="F212" s="39">
        <v>1239</v>
      </c>
      <c r="G212" s="39">
        <v>100</v>
      </c>
      <c r="H212" s="47">
        <v>600</v>
      </c>
      <c r="I212" s="39">
        <v>695</v>
      </c>
      <c r="J212" s="39">
        <v>50</v>
      </c>
      <c r="K212" s="40"/>
      <c r="L212" s="40"/>
      <c r="M212" s="40"/>
      <c r="N212" s="40"/>
      <c r="O212" s="40"/>
      <c r="P212" s="40"/>
      <c r="Q212" s="40"/>
      <c r="R212" s="40"/>
      <c r="S212" s="40"/>
      <c r="T212" s="40"/>
    </row>
    <row r="213" spans="1:20" ht="15.75">
      <c r="A213" s="13">
        <v>47604</v>
      </c>
      <c r="B213" s="48">
        <v>31</v>
      </c>
      <c r="C213" s="39">
        <v>194.20500000000001</v>
      </c>
      <c r="D213" s="39">
        <v>267.46600000000001</v>
      </c>
      <c r="E213" s="45">
        <v>812.32899999999995</v>
      </c>
      <c r="F213" s="39">
        <v>1274</v>
      </c>
      <c r="G213" s="39">
        <v>75</v>
      </c>
      <c r="H213" s="47">
        <v>600</v>
      </c>
      <c r="I213" s="39">
        <v>695</v>
      </c>
      <c r="J213" s="39">
        <v>50</v>
      </c>
      <c r="K213" s="40"/>
      <c r="L213" s="40"/>
      <c r="M213" s="40"/>
      <c r="N213" s="40"/>
      <c r="O213" s="40"/>
      <c r="P213" s="40"/>
      <c r="Q213" s="40"/>
      <c r="R213" s="40"/>
      <c r="S213" s="40"/>
      <c r="T213" s="40"/>
    </row>
    <row r="214" spans="1:20" ht="15.75">
      <c r="A214" s="13">
        <v>47635</v>
      </c>
      <c r="B214" s="48">
        <v>30</v>
      </c>
      <c r="C214" s="39">
        <v>194.20500000000001</v>
      </c>
      <c r="D214" s="39">
        <v>267.46600000000001</v>
      </c>
      <c r="E214" s="45">
        <v>812.32899999999995</v>
      </c>
      <c r="F214" s="39">
        <v>1274</v>
      </c>
      <c r="G214" s="39">
        <v>50</v>
      </c>
      <c r="H214" s="47">
        <v>600</v>
      </c>
      <c r="I214" s="39">
        <v>695</v>
      </c>
      <c r="J214" s="39">
        <v>50</v>
      </c>
      <c r="K214" s="40"/>
      <c r="L214" s="40"/>
      <c r="M214" s="40"/>
      <c r="N214" s="40"/>
      <c r="O214" s="40"/>
      <c r="P214" s="40"/>
      <c r="Q214" s="40"/>
      <c r="R214" s="40"/>
      <c r="S214" s="40"/>
      <c r="T214" s="40"/>
    </row>
    <row r="215" spans="1:20" ht="15.75">
      <c r="A215" s="13">
        <v>47665</v>
      </c>
      <c r="B215" s="48">
        <v>31</v>
      </c>
      <c r="C215" s="39">
        <v>194.20500000000001</v>
      </c>
      <c r="D215" s="39">
        <v>267.46600000000001</v>
      </c>
      <c r="E215" s="45">
        <v>812.32899999999995</v>
      </c>
      <c r="F215" s="39">
        <v>1274</v>
      </c>
      <c r="G215" s="39">
        <v>50</v>
      </c>
      <c r="H215" s="47">
        <v>600</v>
      </c>
      <c r="I215" s="39">
        <v>695</v>
      </c>
      <c r="J215" s="39">
        <v>0</v>
      </c>
      <c r="K215" s="40"/>
      <c r="L215" s="40"/>
      <c r="M215" s="40"/>
      <c r="N215" s="40"/>
      <c r="O215" s="40"/>
      <c r="P215" s="40"/>
      <c r="Q215" s="40"/>
      <c r="R215" s="40"/>
      <c r="S215" s="40"/>
      <c r="T215" s="40"/>
    </row>
    <row r="216" spans="1:20" ht="15.75">
      <c r="A216" s="13">
        <v>47696</v>
      </c>
      <c r="B216" s="48">
        <v>31</v>
      </c>
      <c r="C216" s="39">
        <v>194.20500000000001</v>
      </c>
      <c r="D216" s="39">
        <v>267.46600000000001</v>
      </c>
      <c r="E216" s="45">
        <v>812.32899999999995</v>
      </c>
      <c r="F216" s="39">
        <v>1274</v>
      </c>
      <c r="G216" s="39">
        <v>50</v>
      </c>
      <c r="H216" s="47">
        <v>600</v>
      </c>
      <c r="I216" s="39">
        <v>695</v>
      </c>
      <c r="J216" s="39">
        <v>0</v>
      </c>
      <c r="K216" s="40"/>
      <c r="L216" s="40"/>
      <c r="M216" s="40"/>
      <c r="N216" s="40"/>
      <c r="O216" s="40"/>
      <c r="P216" s="40"/>
      <c r="Q216" s="40"/>
      <c r="R216" s="40"/>
      <c r="S216" s="40"/>
      <c r="T216" s="40"/>
    </row>
    <row r="217" spans="1:20" ht="15.75">
      <c r="A217" s="13">
        <v>47727</v>
      </c>
      <c r="B217" s="48">
        <v>30</v>
      </c>
      <c r="C217" s="39">
        <v>194.20500000000001</v>
      </c>
      <c r="D217" s="39">
        <v>267.46600000000001</v>
      </c>
      <c r="E217" s="45">
        <v>812.32899999999995</v>
      </c>
      <c r="F217" s="39">
        <v>1274</v>
      </c>
      <c r="G217" s="39">
        <v>50</v>
      </c>
      <c r="H217" s="47">
        <v>600</v>
      </c>
      <c r="I217" s="39">
        <v>695</v>
      </c>
      <c r="J217" s="39">
        <v>0</v>
      </c>
      <c r="K217" s="40"/>
      <c r="L217" s="40"/>
      <c r="M217" s="40"/>
      <c r="N217" s="40"/>
      <c r="O217" s="40"/>
      <c r="P217" s="40"/>
      <c r="Q217" s="40"/>
      <c r="R217" s="40"/>
      <c r="S217" s="40"/>
      <c r="T217" s="40"/>
    </row>
    <row r="218" spans="1:20" ht="15.75">
      <c r="A218" s="13">
        <v>47757</v>
      </c>
      <c r="B218" s="48">
        <v>31</v>
      </c>
      <c r="C218" s="39">
        <v>131.881</v>
      </c>
      <c r="D218" s="39">
        <v>277.16699999999997</v>
      </c>
      <c r="E218" s="45">
        <v>829.952</v>
      </c>
      <c r="F218" s="39">
        <v>1239</v>
      </c>
      <c r="G218" s="39">
        <v>75</v>
      </c>
      <c r="H218" s="47">
        <v>600</v>
      </c>
      <c r="I218" s="39">
        <v>695</v>
      </c>
      <c r="J218" s="39">
        <v>0</v>
      </c>
      <c r="K218" s="40"/>
      <c r="L218" s="40"/>
      <c r="M218" s="40"/>
      <c r="N218" s="40"/>
      <c r="O218" s="40"/>
      <c r="P218" s="40"/>
      <c r="Q218" s="40"/>
      <c r="R218" s="40"/>
      <c r="S218" s="40"/>
      <c r="T218" s="40"/>
    </row>
    <row r="219" spans="1:20" ht="15.75">
      <c r="A219" s="13">
        <v>47788</v>
      </c>
      <c r="B219" s="48">
        <v>30</v>
      </c>
      <c r="C219" s="39">
        <v>122.58</v>
      </c>
      <c r="D219" s="39">
        <v>297.94099999999997</v>
      </c>
      <c r="E219" s="45">
        <v>729.47900000000004</v>
      </c>
      <c r="F219" s="39">
        <v>1150</v>
      </c>
      <c r="G219" s="39">
        <v>100</v>
      </c>
      <c r="H219" s="47">
        <v>600</v>
      </c>
      <c r="I219" s="39">
        <v>695</v>
      </c>
      <c r="J219" s="39">
        <v>50</v>
      </c>
      <c r="K219" s="40"/>
      <c r="L219" s="40"/>
      <c r="M219" s="40"/>
      <c r="N219" s="40"/>
      <c r="O219" s="40"/>
      <c r="P219" s="40"/>
      <c r="Q219" s="40"/>
      <c r="R219" s="40"/>
      <c r="S219" s="40"/>
      <c r="T219" s="40"/>
    </row>
    <row r="220" spans="1:20" ht="15.75">
      <c r="A220" s="13">
        <v>47818</v>
      </c>
      <c r="B220" s="48">
        <v>31</v>
      </c>
      <c r="C220" s="39">
        <v>122.58</v>
      </c>
      <c r="D220" s="39">
        <v>297.94099999999997</v>
      </c>
      <c r="E220" s="45">
        <v>729.47900000000004</v>
      </c>
      <c r="F220" s="39">
        <v>1150</v>
      </c>
      <c r="G220" s="39">
        <v>100</v>
      </c>
      <c r="H220" s="47">
        <v>600</v>
      </c>
      <c r="I220" s="39">
        <v>695</v>
      </c>
      <c r="J220" s="39">
        <v>50</v>
      </c>
      <c r="K220" s="40"/>
      <c r="L220" s="40"/>
      <c r="M220" s="40"/>
      <c r="N220" s="40"/>
      <c r="O220" s="40"/>
      <c r="P220" s="40"/>
      <c r="Q220" s="40"/>
      <c r="R220" s="40"/>
      <c r="S220" s="40"/>
      <c r="T220" s="40"/>
    </row>
    <row r="221" spans="1:20" ht="15.75">
      <c r="A221" s="13">
        <v>47849</v>
      </c>
      <c r="B221" s="48">
        <v>31</v>
      </c>
      <c r="C221" s="39">
        <v>122.58</v>
      </c>
      <c r="D221" s="39">
        <v>297.94099999999997</v>
      </c>
      <c r="E221" s="45">
        <v>729.47900000000004</v>
      </c>
      <c r="F221" s="39">
        <v>1150</v>
      </c>
      <c r="G221" s="39">
        <v>100</v>
      </c>
      <c r="H221" s="47">
        <v>600</v>
      </c>
      <c r="I221" s="39">
        <v>695</v>
      </c>
      <c r="J221" s="39">
        <v>50</v>
      </c>
      <c r="K221" s="40"/>
      <c r="L221" s="40"/>
      <c r="M221" s="40"/>
      <c r="N221" s="40"/>
      <c r="O221" s="40"/>
      <c r="P221" s="40"/>
      <c r="Q221" s="40"/>
      <c r="R221" s="40"/>
      <c r="S221" s="40"/>
      <c r="T221" s="40"/>
    </row>
    <row r="222" spans="1:20" ht="15.75">
      <c r="A222" s="13">
        <v>47880</v>
      </c>
      <c r="B222" s="48">
        <v>28</v>
      </c>
      <c r="C222" s="39">
        <v>122.58</v>
      </c>
      <c r="D222" s="39">
        <v>297.94099999999997</v>
      </c>
      <c r="E222" s="45">
        <v>729.47900000000004</v>
      </c>
      <c r="F222" s="39">
        <v>1150</v>
      </c>
      <c r="G222" s="39">
        <v>100</v>
      </c>
      <c r="H222" s="47">
        <v>600</v>
      </c>
      <c r="I222" s="39">
        <v>695</v>
      </c>
      <c r="J222" s="39">
        <v>50</v>
      </c>
      <c r="K222" s="40"/>
      <c r="L222" s="40"/>
      <c r="M222" s="40"/>
      <c r="N222" s="40"/>
      <c r="O222" s="40"/>
      <c r="P222" s="40"/>
      <c r="Q222" s="40"/>
      <c r="R222" s="40"/>
      <c r="S222" s="40"/>
      <c r="T222" s="40"/>
    </row>
    <row r="223" spans="1:20" ht="15.75">
      <c r="A223" s="13">
        <v>47908</v>
      </c>
      <c r="B223" s="48">
        <v>31</v>
      </c>
      <c r="C223" s="39">
        <v>122.58</v>
      </c>
      <c r="D223" s="39">
        <v>297.94099999999997</v>
      </c>
      <c r="E223" s="45">
        <v>729.47900000000004</v>
      </c>
      <c r="F223" s="39">
        <v>1150</v>
      </c>
      <c r="G223" s="39">
        <v>100</v>
      </c>
      <c r="H223" s="47">
        <v>600</v>
      </c>
      <c r="I223" s="39">
        <v>695</v>
      </c>
      <c r="J223" s="39">
        <v>50</v>
      </c>
      <c r="K223" s="40"/>
      <c r="L223" s="40"/>
      <c r="M223" s="40"/>
      <c r="N223" s="40"/>
      <c r="O223" s="40"/>
      <c r="P223" s="40"/>
      <c r="Q223" s="40"/>
      <c r="R223" s="40"/>
      <c r="S223" s="40"/>
      <c r="T223" s="40"/>
    </row>
    <row r="224" spans="1:20" ht="15.75">
      <c r="A224" s="13">
        <v>47939</v>
      </c>
      <c r="B224" s="48">
        <v>30</v>
      </c>
      <c r="C224" s="39">
        <v>141.29300000000001</v>
      </c>
      <c r="D224" s="39">
        <v>267.99299999999999</v>
      </c>
      <c r="E224" s="45">
        <v>829.71400000000006</v>
      </c>
      <c r="F224" s="39">
        <v>1239</v>
      </c>
      <c r="G224" s="39">
        <v>100</v>
      </c>
      <c r="H224" s="47">
        <v>600</v>
      </c>
      <c r="I224" s="39">
        <v>695</v>
      </c>
      <c r="J224" s="39">
        <v>50</v>
      </c>
      <c r="K224" s="40"/>
      <c r="L224" s="40"/>
      <c r="M224" s="40"/>
      <c r="N224" s="40"/>
      <c r="O224" s="40"/>
      <c r="P224" s="40"/>
      <c r="Q224" s="40"/>
      <c r="R224" s="40"/>
      <c r="S224" s="40"/>
      <c r="T224" s="40"/>
    </row>
    <row r="225" spans="1:20" ht="15.75">
      <c r="A225" s="13">
        <v>47969</v>
      </c>
      <c r="B225" s="48">
        <v>31</v>
      </c>
      <c r="C225" s="39">
        <v>194.20500000000001</v>
      </c>
      <c r="D225" s="39">
        <v>267.46600000000001</v>
      </c>
      <c r="E225" s="45">
        <v>812.32899999999995</v>
      </c>
      <c r="F225" s="39">
        <v>1274</v>
      </c>
      <c r="G225" s="39">
        <v>75</v>
      </c>
      <c r="H225" s="47">
        <v>600</v>
      </c>
      <c r="I225" s="39">
        <v>695</v>
      </c>
      <c r="J225" s="39">
        <v>50</v>
      </c>
      <c r="K225" s="40"/>
      <c r="L225" s="40"/>
      <c r="M225" s="40"/>
      <c r="N225" s="40"/>
      <c r="O225" s="40"/>
      <c r="P225" s="40"/>
      <c r="Q225" s="40"/>
      <c r="R225" s="40"/>
      <c r="S225" s="40"/>
      <c r="T225" s="40"/>
    </row>
    <row r="226" spans="1:20" ht="15.75">
      <c r="A226" s="13">
        <v>48000</v>
      </c>
      <c r="B226" s="48">
        <v>30</v>
      </c>
      <c r="C226" s="39">
        <v>194.20500000000001</v>
      </c>
      <c r="D226" s="39">
        <v>267.46600000000001</v>
      </c>
      <c r="E226" s="45">
        <v>812.32899999999995</v>
      </c>
      <c r="F226" s="39">
        <v>1274</v>
      </c>
      <c r="G226" s="39">
        <v>50</v>
      </c>
      <c r="H226" s="47">
        <v>600</v>
      </c>
      <c r="I226" s="39">
        <v>695</v>
      </c>
      <c r="J226" s="39">
        <v>50</v>
      </c>
      <c r="K226" s="40"/>
      <c r="L226" s="40"/>
      <c r="M226" s="40"/>
      <c r="N226" s="40"/>
      <c r="O226" s="40"/>
      <c r="P226" s="40"/>
      <c r="Q226" s="40"/>
      <c r="R226" s="40"/>
      <c r="S226" s="40"/>
      <c r="T226" s="40"/>
    </row>
    <row r="227" spans="1:20" ht="15.75">
      <c r="A227" s="13">
        <v>48030</v>
      </c>
      <c r="B227" s="48">
        <v>31</v>
      </c>
      <c r="C227" s="39">
        <v>194.20500000000001</v>
      </c>
      <c r="D227" s="39">
        <v>267.46600000000001</v>
      </c>
      <c r="E227" s="45">
        <v>812.32899999999995</v>
      </c>
      <c r="F227" s="39">
        <v>1274</v>
      </c>
      <c r="G227" s="39">
        <v>50</v>
      </c>
      <c r="H227" s="47">
        <v>600</v>
      </c>
      <c r="I227" s="39">
        <v>695</v>
      </c>
      <c r="J227" s="39">
        <v>0</v>
      </c>
      <c r="K227" s="40"/>
      <c r="L227" s="40"/>
      <c r="M227" s="40"/>
      <c r="N227" s="40"/>
      <c r="O227" s="40"/>
      <c r="P227" s="40"/>
      <c r="Q227" s="40"/>
      <c r="R227" s="40"/>
      <c r="S227" s="40"/>
      <c r="T227" s="40"/>
    </row>
    <row r="228" spans="1:20" ht="15.75">
      <c r="A228" s="13">
        <v>48061</v>
      </c>
      <c r="B228" s="48">
        <v>31</v>
      </c>
      <c r="C228" s="39">
        <v>194.20500000000001</v>
      </c>
      <c r="D228" s="39">
        <v>267.46600000000001</v>
      </c>
      <c r="E228" s="45">
        <v>812.32899999999995</v>
      </c>
      <c r="F228" s="39">
        <v>1274</v>
      </c>
      <c r="G228" s="39">
        <v>50</v>
      </c>
      <c r="H228" s="47">
        <v>600</v>
      </c>
      <c r="I228" s="39">
        <v>695</v>
      </c>
      <c r="J228" s="39">
        <v>0</v>
      </c>
      <c r="K228" s="40"/>
      <c r="L228" s="40"/>
      <c r="M228" s="40"/>
      <c r="N228" s="40"/>
      <c r="O228" s="40"/>
      <c r="P228" s="40"/>
      <c r="Q228" s="40"/>
      <c r="R228" s="40"/>
      <c r="S228" s="40"/>
      <c r="T228" s="40"/>
    </row>
    <row r="229" spans="1:20" ht="15.75">
      <c r="A229" s="13">
        <v>48092</v>
      </c>
      <c r="B229" s="48">
        <v>30</v>
      </c>
      <c r="C229" s="39">
        <v>194.20500000000001</v>
      </c>
      <c r="D229" s="39">
        <v>267.46600000000001</v>
      </c>
      <c r="E229" s="45">
        <v>812.32899999999995</v>
      </c>
      <c r="F229" s="39">
        <v>1274</v>
      </c>
      <c r="G229" s="39">
        <v>50</v>
      </c>
      <c r="H229" s="47">
        <v>600</v>
      </c>
      <c r="I229" s="39">
        <v>695</v>
      </c>
      <c r="J229" s="39">
        <v>0</v>
      </c>
      <c r="K229" s="40"/>
      <c r="L229" s="40"/>
      <c r="M229" s="40"/>
      <c r="N229" s="40"/>
      <c r="O229" s="40"/>
      <c r="P229" s="40"/>
      <c r="Q229" s="40"/>
      <c r="R229" s="40"/>
      <c r="S229" s="40"/>
      <c r="T229" s="40"/>
    </row>
    <row r="230" spans="1:20" ht="15.75">
      <c r="A230" s="13">
        <v>48122</v>
      </c>
      <c r="B230" s="48">
        <v>31</v>
      </c>
      <c r="C230" s="39">
        <v>131.881</v>
      </c>
      <c r="D230" s="39">
        <v>277.16699999999997</v>
      </c>
      <c r="E230" s="45">
        <v>829.952</v>
      </c>
      <c r="F230" s="39">
        <v>1239</v>
      </c>
      <c r="G230" s="39">
        <v>75</v>
      </c>
      <c r="H230" s="47">
        <v>600</v>
      </c>
      <c r="I230" s="39">
        <v>695</v>
      </c>
      <c r="J230" s="39">
        <v>0</v>
      </c>
      <c r="K230" s="40"/>
      <c r="L230" s="40"/>
      <c r="M230" s="40"/>
      <c r="N230" s="40"/>
      <c r="O230" s="40"/>
      <c r="P230" s="40"/>
      <c r="Q230" s="40"/>
      <c r="R230" s="40"/>
      <c r="S230" s="40"/>
      <c r="T230" s="40"/>
    </row>
    <row r="231" spans="1:20" ht="15.75">
      <c r="A231" s="13">
        <v>48153</v>
      </c>
      <c r="B231" s="48">
        <v>30</v>
      </c>
      <c r="C231" s="39">
        <v>122.58</v>
      </c>
      <c r="D231" s="39">
        <v>297.94099999999997</v>
      </c>
      <c r="E231" s="45">
        <v>729.47900000000004</v>
      </c>
      <c r="F231" s="39">
        <v>1150</v>
      </c>
      <c r="G231" s="39">
        <v>100</v>
      </c>
      <c r="H231" s="47">
        <v>600</v>
      </c>
      <c r="I231" s="39">
        <v>695</v>
      </c>
      <c r="J231" s="39">
        <v>50</v>
      </c>
      <c r="K231" s="40"/>
      <c r="L231" s="40"/>
      <c r="M231" s="40"/>
      <c r="N231" s="40"/>
      <c r="O231" s="40"/>
      <c r="P231" s="40"/>
      <c r="Q231" s="40"/>
      <c r="R231" s="40"/>
      <c r="S231" s="40"/>
      <c r="T231" s="40"/>
    </row>
    <row r="232" spans="1:20" ht="15.75">
      <c r="A232" s="13">
        <v>48183</v>
      </c>
      <c r="B232" s="48">
        <v>31</v>
      </c>
      <c r="C232" s="39">
        <v>122.58</v>
      </c>
      <c r="D232" s="39">
        <v>297.94099999999997</v>
      </c>
      <c r="E232" s="45">
        <v>729.47900000000004</v>
      </c>
      <c r="F232" s="39">
        <v>1150</v>
      </c>
      <c r="G232" s="39">
        <v>100</v>
      </c>
      <c r="H232" s="47">
        <v>600</v>
      </c>
      <c r="I232" s="39">
        <v>695</v>
      </c>
      <c r="J232" s="39">
        <v>50</v>
      </c>
      <c r="K232" s="40"/>
      <c r="L232" s="40"/>
      <c r="M232" s="40"/>
      <c r="N232" s="40"/>
      <c r="O232" s="40"/>
      <c r="P232" s="40"/>
      <c r="Q232" s="40"/>
      <c r="R232" s="40"/>
      <c r="S232" s="40"/>
      <c r="T232" s="40"/>
    </row>
    <row r="233" spans="1:20" ht="15.75">
      <c r="A233" s="13">
        <v>48214</v>
      </c>
      <c r="B233" s="48">
        <v>31</v>
      </c>
      <c r="C233" s="39">
        <v>122.58</v>
      </c>
      <c r="D233" s="39">
        <v>297.94099999999997</v>
      </c>
      <c r="E233" s="45">
        <v>729.47900000000004</v>
      </c>
      <c r="F233" s="39">
        <v>1150</v>
      </c>
      <c r="G233" s="39">
        <v>100</v>
      </c>
      <c r="H233" s="47">
        <v>600</v>
      </c>
      <c r="I233" s="39">
        <v>695</v>
      </c>
      <c r="J233" s="39">
        <v>50</v>
      </c>
      <c r="K233" s="40"/>
      <c r="L233" s="40"/>
      <c r="M233" s="40"/>
      <c r="N233" s="40"/>
      <c r="O233" s="40"/>
      <c r="P233" s="40"/>
      <c r="Q233" s="40"/>
      <c r="R233" s="40"/>
      <c r="S233" s="40"/>
      <c r="T233" s="40"/>
    </row>
    <row r="234" spans="1:20" ht="15.75">
      <c r="A234" s="13">
        <v>48245</v>
      </c>
      <c r="B234" s="48">
        <v>29</v>
      </c>
      <c r="C234" s="39">
        <v>122.58</v>
      </c>
      <c r="D234" s="39">
        <v>297.94099999999997</v>
      </c>
      <c r="E234" s="45">
        <v>729.47900000000004</v>
      </c>
      <c r="F234" s="39">
        <v>1150</v>
      </c>
      <c r="G234" s="39">
        <v>100</v>
      </c>
      <c r="H234" s="47">
        <v>600</v>
      </c>
      <c r="I234" s="39">
        <v>695</v>
      </c>
      <c r="J234" s="39">
        <v>50</v>
      </c>
      <c r="K234" s="40"/>
      <c r="L234" s="40"/>
      <c r="M234" s="40"/>
      <c r="N234" s="40"/>
      <c r="O234" s="40"/>
      <c r="P234" s="40"/>
      <c r="Q234" s="40"/>
      <c r="R234" s="40"/>
      <c r="S234" s="40"/>
      <c r="T234" s="40"/>
    </row>
    <row r="235" spans="1:20" ht="15.75">
      <c r="A235" s="13">
        <v>48274</v>
      </c>
      <c r="B235" s="48">
        <v>31</v>
      </c>
      <c r="C235" s="39">
        <v>122.58</v>
      </c>
      <c r="D235" s="39">
        <v>297.94099999999997</v>
      </c>
      <c r="E235" s="45">
        <v>729.47900000000004</v>
      </c>
      <c r="F235" s="39">
        <v>1150</v>
      </c>
      <c r="G235" s="39">
        <v>100</v>
      </c>
      <c r="H235" s="47">
        <v>600</v>
      </c>
      <c r="I235" s="39">
        <v>695</v>
      </c>
      <c r="J235" s="39">
        <v>50</v>
      </c>
      <c r="K235" s="40"/>
      <c r="L235" s="40"/>
      <c r="M235" s="40"/>
      <c r="N235" s="40"/>
      <c r="O235" s="40"/>
      <c r="P235" s="40"/>
      <c r="Q235" s="40"/>
      <c r="R235" s="40"/>
      <c r="S235" s="40"/>
      <c r="T235" s="40"/>
    </row>
    <row r="236" spans="1:20" ht="15.75">
      <c r="A236" s="13">
        <v>48305</v>
      </c>
      <c r="B236" s="48">
        <v>30</v>
      </c>
      <c r="C236" s="39">
        <v>141.29300000000001</v>
      </c>
      <c r="D236" s="39">
        <v>267.99299999999999</v>
      </c>
      <c r="E236" s="45">
        <v>829.71400000000006</v>
      </c>
      <c r="F236" s="39">
        <v>1239</v>
      </c>
      <c r="G236" s="39">
        <v>100</v>
      </c>
      <c r="H236" s="47">
        <v>600</v>
      </c>
      <c r="I236" s="39">
        <v>695</v>
      </c>
      <c r="J236" s="39">
        <v>50</v>
      </c>
      <c r="K236" s="40"/>
      <c r="L236" s="40"/>
      <c r="M236" s="40"/>
      <c r="N236" s="40"/>
      <c r="O236" s="40"/>
      <c r="P236" s="40"/>
      <c r="Q236" s="40"/>
      <c r="R236" s="40"/>
      <c r="S236" s="40"/>
      <c r="T236" s="40"/>
    </row>
    <row r="237" spans="1:20" ht="15.75">
      <c r="A237" s="13">
        <v>48335</v>
      </c>
      <c r="B237" s="48">
        <v>31</v>
      </c>
      <c r="C237" s="39">
        <v>194.20500000000001</v>
      </c>
      <c r="D237" s="39">
        <v>267.46600000000001</v>
      </c>
      <c r="E237" s="45">
        <v>812.32899999999995</v>
      </c>
      <c r="F237" s="39">
        <v>1274</v>
      </c>
      <c r="G237" s="39">
        <v>75</v>
      </c>
      <c r="H237" s="47">
        <v>600</v>
      </c>
      <c r="I237" s="39">
        <v>695</v>
      </c>
      <c r="J237" s="39">
        <v>50</v>
      </c>
      <c r="K237" s="40"/>
      <c r="L237" s="40"/>
      <c r="M237" s="40"/>
      <c r="N237" s="40"/>
      <c r="O237" s="40"/>
      <c r="P237" s="40"/>
      <c r="Q237" s="40"/>
      <c r="R237" s="40"/>
      <c r="S237" s="40"/>
      <c r="T237" s="40"/>
    </row>
    <row r="238" spans="1:20" ht="15.75">
      <c r="A238" s="13">
        <v>48366</v>
      </c>
      <c r="B238" s="48">
        <v>30</v>
      </c>
      <c r="C238" s="39">
        <v>194.20500000000001</v>
      </c>
      <c r="D238" s="39">
        <v>267.46600000000001</v>
      </c>
      <c r="E238" s="45">
        <v>812.32899999999995</v>
      </c>
      <c r="F238" s="39">
        <v>1274</v>
      </c>
      <c r="G238" s="39">
        <v>50</v>
      </c>
      <c r="H238" s="47">
        <v>600</v>
      </c>
      <c r="I238" s="39">
        <v>695</v>
      </c>
      <c r="J238" s="39">
        <v>50</v>
      </c>
      <c r="K238" s="40"/>
      <c r="L238" s="40"/>
      <c r="M238" s="40"/>
      <c r="N238" s="40"/>
      <c r="O238" s="40"/>
      <c r="P238" s="40"/>
      <c r="Q238" s="40"/>
      <c r="R238" s="40"/>
      <c r="S238" s="40"/>
      <c r="T238" s="40"/>
    </row>
    <row r="239" spans="1:20" ht="15.75">
      <c r="A239" s="13">
        <v>48396</v>
      </c>
      <c r="B239" s="48">
        <v>31</v>
      </c>
      <c r="C239" s="39">
        <v>194.20500000000001</v>
      </c>
      <c r="D239" s="39">
        <v>267.46600000000001</v>
      </c>
      <c r="E239" s="45">
        <v>812.32899999999995</v>
      </c>
      <c r="F239" s="39">
        <v>1274</v>
      </c>
      <c r="G239" s="39">
        <v>50</v>
      </c>
      <c r="H239" s="47">
        <v>600</v>
      </c>
      <c r="I239" s="39">
        <v>695</v>
      </c>
      <c r="J239" s="39">
        <v>0</v>
      </c>
      <c r="K239" s="40"/>
      <c r="L239" s="40"/>
      <c r="M239" s="40"/>
      <c r="N239" s="40"/>
      <c r="O239" s="40"/>
      <c r="P239" s="40"/>
      <c r="Q239" s="40"/>
      <c r="R239" s="40"/>
      <c r="S239" s="40"/>
      <c r="T239" s="40"/>
    </row>
    <row r="240" spans="1:20" ht="15.75">
      <c r="A240" s="13">
        <v>48427</v>
      </c>
      <c r="B240" s="48">
        <v>31</v>
      </c>
      <c r="C240" s="39">
        <v>194.20500000000001</v>
      </c>
      <c r="D240" s="39">
        <v>267.46600000000001</v>
      </c>
      <c r="E240" s="45">
        <v>812.32899999999995</v>
      </c>
      <c r="F240" s="39">
        <v>1274</v>
      </c>
      <c r="G240" s="39">
        <v>50</v>
      </c>
      <c r="H240" s="47">
        <v>600</v>
      </c>
      <c r="I240" s="39">
        <v>695</v>
      </c>
      <c r="J240" s="39">
        <v>0</v>
      </c>
      <c r="K240" s="40"/>
      <c r="L240" s="40"/>
      <c r="M240" s="40"/>
      <c r="N240" s="40"/>
      <c r="O240" s="40"/>
      <c r="P240" s="40"/>
      <c r="Q240" s="40"/>
      <c r="R240" s="40"/>
      <c r="S240" s="40"/>
      <c r="T240" s="40"/>
    </row>
    <row r="241" spans="1:20" ht="15.75">
      <c r="A241" s="13">
        <v>48458</v>
      </c>
      <c r="B241" s="48">
        <v>30</v>
      </c>
      <c r="C241" s="39">
        <v>194.20500000000001</v>
      </c>
      <c r="D241" s="39">
        <v>267.46600000000001</v>
      </c>
      <c r="E241" s="45">
        <v>812.32899999999995</v>
      </c>
      <c r="F241" s="39">
        <v>1274</v>
      </c>
      <c r="G241" s="39">
        <v>50</v>
      </c>
      <c r="H241" s="47">
        <v>600</v>
      </c>
      <c r="I241" s="39">
        <v>695</v>
      </c>
      <c r="J241" s="39">
        <v>0</v>
      </c>
      <c r="K241" s="40"/>
      <c r="L241" s="40"/>
      <c r="M241" s="40"/>
      <c r="N241" s="40"/>
      <c r="O241" s="40"/>
      <c r="P241" s="40"/>
      <c r="Q241" s="40"/>
      <c r="R241" s="40"/>
      <c r="S241" s="40"/>
      <c r="T241" s="40"/>
    </row>
    <row r="242" spans="1:20" ht="15.75">
      <c r="A242" s="13">
        <v>48488</v>
      </c>
      <c r="B242" s="48">
        <v>31</v>
      </c>
      <c r="C242" s="39">
        <v>131.881</v>
      </c>
      <c r="D242" s="39">
        <v>277.16699999999997</v>
      </c>
      <c r="E242" s="45">
        <v>829.952</v>
      </c>
      <c r="F242" s="39">
        <v>1239</v>
      </c>
      <c r="G242" s="39">
        <v>75</v>
      </c>
      <c r="H242" s="47">
        <v>600</v>
      </c>
      <c r="I242" s="39">
        <v>695</v>
      </c>
      <c r="J242" s="39">
        <v>0</v>
      </c>
      <c r="K242" s="40"/>
      <c r="L242" s="40"/>
      <c r="M242" s="40"/>
      <c r="N242" s="40"/>
      <c r="O242" s="40"/>
      <c r="P242" s="40"/>
      <c r="Q242" s="40"/>
      <c r="R242" s="40"/>
      <c r="S242" s="40"/>
      <c r="T242" s="40"/>
    </row>
    <row r="243" spans="1:20" ht="15.75">
      <c r="A243" s="13">
        <v>48519</v>
      </c>
      <c r="B243" s="48">
        <v>30</v>
      </c>
      <c r="C243" s="39">
        <v>122.58</v>
      </c>
      <c r="D243" s="39">
        <v>297.94099999999997</v>
      </c>
      <c r="E243" s="45">
        <v>729.47900000000004</v>
      </c>
      <c r="F243" s="39">
        <v>1150</v>
      </c>
      <c r="G243" s="39">
        <v>100</v>
      </c>
      <c r="H243" s="47">
        <v>600</v>
      </c>
      <c r="I243" s="39">
        <v>695</v>
      </c>
      <c r="J243" s="39">
        <v>50</v>
      </c>
      <c r="K243" s="40"/>
      <c r="L243" s="40"/>
      <c r="M243" s="40"/>
      <c r="N243" s="40"/>
      <c r="O243" s="40"/>
      <c r="P243" s="40"/>
      <c r="Q243" s="40"/>
      <c r="R243" s="40"/>
      <c r="S243" s="40"/>
      <c r="T243" s="40"/>
    </row>
    <row r="244" spans="1:20" ht="15.75">
      <c r="A244" s="13">
        <v>48549</v>
      </c>
      <c r="B244" s="48">
        <v>31</v>
      </c>
      <c r="C244" s="39">
        <v>122.58</v>
      </c>
      <c r="D244" s="39">
        <v>297.94099999999997</v>
      </c>
      <c r="E244" s="45">
        <v>729.47900000000004</v>
      </c>
      <c r="F244" s="39">
        <v>1150</v>
      </c>
      <c r="G244" s="39">
        <v>100</v>
      </c>
      <c r="H244" s="47">
        <v>600</v>
      </c>
      <c r="I244" s="39">
        <v>695</v>
      </c>
      <c r="J244" s="39">
        <v>50</v>
      </c>
      <c r="K244" s="40"/>
      <c r="L244" s="40"/>
      <c r="M244" s="40"/>
      <c r="N244" s="40"/>
      <c r="O244" s="40"/>
      <c r="P244" s="40"/>
      <c r="Q244" s="40"/>
      <c r="R244" s="40"/>
      <c r="S244" s="40"/>
      <c r="T244" s="40"/>
    </row>
    <row r="245" spans="1:20" ht="15.75">
      <c r="A245" s="13">
        <v>48580</v>
      </c>
      <c r="B245" s="48">
        <v>31</v>
      </c>
      <c r="C245" s="39">
        <v>122.58</v>
      </c>
      <c r="D245" s="39">
        <v>297.94099999999997</v>
      </c>
      <c r="E245" s="45">
        <v>729.47900000000004</v>
      </c>
      <c r="F245" s="39">
        <v>1150</v>
      </c>
      <c r="G245" s="39">
        <v>100</v>
      </c>
      <c r="H245" s="47">
        <v>600</v>
      </c>
      <c r="I245" s="39">
        <v>695</v>
      </c>
      <c r="J245" s="39">
        <v>50</v>
      </c>
      <c r="K245" s="40"/>
      <c r="L245" s="40"/>
      <c r="M245" s="40"/>
      <c r="N245" s="40"/>
      <c r="O245" s="40"/>
      <c r="P245" s="40"/>
      <c r="Q245" s="40"/>
      <c r="R245" s="40"/>
      <c r="S245" s="40"/>
      <c r="T245" s="40"/>
    </row>
    <row r="246" spans="1:20" ht="15.75">
      <c r="A246" s="13">
        <v>48611</v>
      </c>
      <c r="B246" s="48">
        <v>28</v>
      </c>
      <c r="C246" s="39">
        <v>122.58</v>
      </c>
      <c r="D246" s="39">
        <v>297.94099999999997</v>
      </c>
      <c r="E246" s="45">
        <v>729.47900000000004</v>
      </c>
      <c r="F246" s="39">
        <v>1150</v>
      </c>
      <c r="G246" s="39">
        <v>100</v>
      </c>
      <c r="H246" s="47">
        <v>600</v>
      </c>
      <c r="I246" s="39">
        <v>695</v>
      </c>
      <c r="J246" s="39">
        <v>50</v>
      </c>
      <c r="K246" s="40"/>
      <c r="L246" s="40"/>
      <c r="M246" s="40"/>
      <c r="N246" s="40"/>
      <c r="O246" s="40"/>
      <c r="P246" s="40"/>
      <c r="Q246" s="40"/>
      <c r="R246" s="40"/>
      <c r="S246" s="40"/>
      <c r="T246" s="40"/>
    </row>
    <row r="247" spans="1:20" ht="15.75">
      <c r="A247" s="13">
        <v>48639</v>
      </c>
      <c r="B247" s="48">
        <v>31</v>
      </c>
      <c r="C247" s="39">
        <v>122.58</v>
      </c>
      <c r="D247" s="39">
        <v>297.94099999999997</v>
      </c>
      <c r="E247" s="45">
        <v>729.47900000000004</v>
      </c>
      <c r="F247" s="39">
        <v>1150</v>
      </c>
      <c r="G247" s="39">
        <v>100</v>
      </c>
      <c r="H247" s="47">
        <v>600</v>
      </c>
      <c r="I247" s="39">
        <v>695</v>
      </c>
      <c r="J247" s="39">
        <v>50</v>
      </c>
      <c r="K247" s="40"/>
      <c r="L247" s="40"/>
      <c r="M247" s="40"/>
      <c r="N247" s="40"/>
      <c r="O247" s="40"/>
      <c r="P247" s="40"/>
      <c r="Q247" s="40"/>
      <c r="R247" s="40"/>
      <c r="S247" s="40"/>
      <c r="T247" s="40"/>
    </row>
    <row r="248" spans="1:20" ht="15.75">
      <c r="A248" s="13">
        <v>48670</v>
      </c>
      <c r="B248" s="48">
        <v>30</v>
      </c>
      <c r="C248" s="39">
        <v>141.29300000000001</v>
      </c>
      <c r="D248" s="39">
        <v>267.99299999999999</v>
      </c>
      <c r="E248" s="45">
        <v>829.71400000000006</v>
      </c>
      <c r="F248" s="39">
        <v>1239</v>
      </c>
      <c r="G248" s="39">
        <v>100</v>
      </c>
      <c r="H248" s="47">
        <v>600</v>
      </c>
      <c r="I248" s="39">
        <v>695</v>
      </c>
      <c r="J248" s="39">
        <v>50</v>
      </c>
      <c r="K248" s="40"/>
      <c r="L248" s="40"/>
      <c r="M248" s="40"/>
      <c r="N248" s="40"/>
      <c r="O248" s="40"/>
      <c r="P248" s="40"/>
      <c r="Q248" s="40"/>
      <c r="R248" s="40"/>
      <c r="S248" s="40"/>
      <c r="T248" s="40"/>
    </row>
    <row r="249" spans="1:20" ht="15.75">
      <c r="A249" s="13">
        <v>48700</v>
      </c>
      <c r="B249" s="48">
        <v>31</v>
      </c>
      <c r="C249" s="39">
        <v>194.20500000000001</v>
      </c>
      <c r="D249" s="39">
        <v>267.46600000000001</v>
      </c>
      <c r="E249" s="45">
        <v>812.32899999999995</v>
      </c>
      <c r="F249" s="39">
        <v>1274</v>
      </c>
      <c r="G249" s="39">
        <v>75</v>
      </c>
      <c r="H249" s="47">
        <v>600</v>
      </c>
      <c r="I249" s="39">
        <v>695</v>
      </c>
      <c r="J249" s="39">
        <v>50</v>
      </c>
      <c r="K249" s="40"/>
      <c r="L249" s="40"/>
      <c r="M249" s="40"/>
      <c r="N249" s="40"/>
      <c r="O249" s="40"/>
      <c r="P249" s="40"/>
      <c r="Q249" s="40"/>
      <c r="R249" s="40"/>
      <c r="S249" s="40"/>
      <c r="T249" s="40"/>
    </row>
    <row r="250" spans="1:20" ht="15.75">
      <c r="A250" s="13">
        <v>48731</v>
      </c>
      <c r="B250" s="48">
        <v>30</v>
      </c>
      <c r="C250" s="39">
        <v>194.20500000000001</v>
      </c>
      <c r="D250" s="39">
        <v>267.46600000000001</v>
      </c>
      <c r="E250" s="45">
        <v>812.32899999999995</v>
      </c>
      <c r="F250" s="39">
        <v>1274</v>
      </c>
      <c r="G250" s="39">
        <v>50</v>
      </c>
      <c r="H250" s="47">
        <v>600</v>
      </c>
      <c r="I250" s="39">
        <v>695</v>
      </c>
      <c r="J250" s="39">
        <v>50</v>
      </c>
      <c r="K250" s="40"/>
      <c r="L250" s="40"/>
      <c r="M250" s="40"/>
      <c r="N250" s="40"/>
      <c r="O250" s="40"/>
      <c r="P250" s="40"/>
      <c r="Q250" s="40"/>
      <c r="R250" s="40"/>
      <c r="S250" s="40"/>
      <c r="T250" s="40"/>
    </row>
    <row r="251" spans="1:20" ht="15.75">
      <c r="A251" s="13">
        <v>48761</v>
      </c>
      <c r="B251" s="48">
        <v>31</v>
      </c>
      <c r="C251" s="39">
        <v>194.20500000000001</v>
      </c>
      <c r="D251" s="39">
        <v>267.46600000000001</v>
      </c>
      <c r="E251" s="45">
        <v>812.32899999999995</v>
      </c>
      <c r="F251" s="39">
        <v>1274</v>
      </c>
      <c r="G251" s="39">
        <v>50</v>
      </c>
      <c r="H251" s="47">
        <v>600</v>
      </c>
      <c r="I251" s="39">
        <v>695</v>
      </c>
      <c r="J251" s="39">
        <v>0</v>
      </c>
      <c r="K251" s="40"/>
      <c r="L251" s="40"/>
      <c r="M251" s="40"/>
      <c r="N251" s="40"/>
      <c r="O251" s="40"/>
      <c r="P251" s="40"/>
      <c r="Q251" s="40"/>
      <c r="R251" s="40"/>
      <c r="S251" s="40"/>
      <c r="T251" s="40"/>
    </row>
    <row r="252" spans="1:20" ht="15.75">
      <c r="A252" s="13">
        <v>48792</v>
      </c>
      <c r="B252" s="48">
        <v>31</v>
      </c>
      <c r="C252" s="39">
        <v>194.20500000000001</v>
      </c>
      <c r="D252" s="39">
        <v>267.46600000000001</v>
      </c>
      <c r="E252" s="45">
        <v>812.32899999999995</v>
      </c>
      <c r="F252" s="39">
        <v>1274</v>
      </c>
      <c r="G252" s="39">
        <v>50</v>
      </c>
      <c r="H252" s="47">
        <v>600</v>
      </c>
      <c r="I252" s="39">
        <v>695</v>
      </c>
      <c r="J252" s="39">
        <v>0</v>
      </c>
      <c r="K252" s="40"/>
      <c r="L252" s="40"/>
      <c r="M252" s="40"/>
      <c r="N252" s="40"/>
      <c r="O252" s="40"/>
      <c r="P252" s="40"/>
      <c r="Q252" s="40"/>
      <c r="R252" s="40"/>
      <c r="S252" s="40"/>
      <c r="T252" s="40"/>
    </row>
    <row r="253" spans="1:20" ht="15.75">
      <c r="A253" s="13">
        <v>48823</v>
      </c>
      <c r="B253" s="48">
        <v>30</v>
      </c>
      <c r="C253" s="39">
        <v>194.20500000000001</v>
      </c>
      <c r="D253" s="39">
        <v>267.46600000000001</v>
      </c>
      <c r="E253" s="45">
        <v>812.32899999999995</v>
      </c>
      <c r="F253" s="39">
        <v>1274</v>
      </c>
      <c r="G253" s="39">
        <v>50</v>
      </c>
      <c r="H253" s="47">
        <v>600</v>
      </c>
      <c r="I253" s="39">
        <v>695</v>
      </c>
      <c r="J253" s="39">
        <v>0</v>
      </c>
      <c r="K253" s="40"/>
      <c r="L253" s="40"/>
      <c r="M253" s="40"/>
      <c r="N253" s="40"/>
      <c r="O253" s="40"/>
      <c r="P253" s="40"/>
      <c r="Q253" s="40"/>
      <c r="R253" s="40"/>
      <c r="S253" s="40"/>
      <c r="T253" s="40"/>
    </row>
    <row r="254" spans="1:20" ht="15.75">
      <c r="A254" s="13">
        <v>48853</v>
      </c>
      <c r="B254" s="48">
        <v>31</v>
      </c>
      <c r="C254" s="39">
        <v>131.881</v>
      </c>
      <c r="D254" s="39">
        <v>277.16699999999997</v>
      </c>
      <c r="E254" s="45">
        <v>829.952</v>
      </c>
      <c r="F254" s="39">
        <v>1239</v>
      </c>
      <c r="G254" s="39">
        <v>75</v>
      </c>
      <c r="H254" s="47">
        <v>600</v>
      </c>
      <c r="I254" s="39">
        <v>695</v>
      </c>
      <c r="J254" s="39">
        <v>0</v>
      </c>
      <c r="K254" s="40"/>
      <c r="L254" s="40"/>
      <c r="M254" s="40"/>
      <c r="N254" s="40"/>
      <c r="O254" s="40"/>
      <c r="P254" s="40"/>
      <c r="Q254" s="40"/>
      <c r="R254" s="40"/>
      <c r="S254" s="40"/>
      <c r="T254" s="40"/>
    </row>
    <row r="255" spans="1:20" ht="15.75">
      <c r="A255" s="13">
        <v>48884</v>
      </c>
      <c r="B255" s="48">
        <v>30</v>
      </c>
      <c r="C255" s="39">
        <v>122.58</v>
      </c>
      <c r="D255" s="39">
        <v>297.94099999999997</v>
      </c>
      <c r="E255" s="45">
        <v>729.47900000000004</v>
      </c>
      <c r="F255" s="39">
        <v>1150</v>
      </c>
      <c r="G255" s="39">
        <v>100</v>
      </c>
      <c r="H255" s="47">
        <v>600</v>
      </c>
      <c r="I255" s="39">
        <v>695</v>
      </c>
      <c r="J255" s="39">
        <v>50</v>
      </c>
      <c r="K255" s="40"/>
      <c r="L255" s="40"/>
      <c r="M255" s="40"/>
      <c r="N255" s="40"/>
      <c r="O255" s="40"/>
      <c r="P255" s="40"/>
      <c r="Q255" s="40"/>
      <c r="R255" s="40"/>
      <c r="S255" s="40"/>
      <c r="T255" s="40"/>
    </row>
    <row r="256" spans="1:20" ht="15.75">
      <c r="A256" s="13">
        <v>48914</v>
      </c>
      <c r="B256" s="48">
        <v>31</v>
      </c>
      <c r="C256" s="39">
        <v>122.58</v>
      </c>
      <c r="D256" s="39">
        <v>297.94099999999997</v>
      </c>
      <c r="E256" s="45">
        <v>729.47900000000004</v>
      </c>
      <c r="F256" s="39">
        <v>1150</v>
      </c>
      <c r="G256" s="39">
        <v>100</v>
      </c>
      <c r="H256" s="47">
        <v>600</v>
      </c>
      <c r="I256" s="39">
        <v>695</v>
      </c>
      <c r="J256" s="39">
        <v>50</v>
      </c>
      <c r="K256" s="40"/>
      <c r="L256" s="40"/>
      <c r="M256" s="40"/>
      <c r="N256" s="40"/>
      <c r="O256" s="40"/>
      <c r="P256" s="40"/>
      <c r="Q256" s="40"/>
      <c r="R256" s="40"/>
      <c r="S256" s="40"/>
      <c r="T256" s="40"/>
    </row>
    <row r="257" spans="1:20" ht="15.75">
      <c r="A257" s="13">
        <v>48945</v>
      </c>
      <c r="B257" s="48">
        <v>31</v>
      </c>
      <c r="C257" s="39">
        <v>122.58</v>
      </c>
      <c r="D257" s="39">
        <v>297.94099999999997</v>
      </c>
      <c r="E257" s="45">
        <v>729.47900000000004</v>
      </c>
      <c r="F257" s="39">
        <v>1150</v>
      </c>
      <c r="G257" s="39">
        <v>100</v>
      </c>
      <c r="H257" s="47">
        <v>600</v>
      </c>
      <c r="I257" s="39">
        <v>695</v>
      </c>
      <c r="J257" s="39">
        <v>50</v>
      </c>
      <c r="K257" s="40"/>
      <c r="L257" s="40"/>
      <c r="M257" s="40"/>
      <c r="N257" s="40"/>
      <c r="O257" s="40"/>
      <c r="P257" s="40"/>
      <c r="Q257" s="40"/>
      <c r="R257" s="40"/>
      <c r="S257" s="40"/>
      <c r="T257" s="40"/>
    </row>
    <row r="258" spans="1:20" ht="15.75">
      <c r="A258" s="13">
        <v>48976</v>
      </c>
      <c r="B258" s="48">
        <v>28</v>
      </c>
      <c r="C258" s="39">
        <v>122.58</v>
      </c>
      <c r="D258" s="39">
        <v>297.94099999999997</v>
      </c>
      <c r="E258" s="45">
        <v>729.47900000000004</v>
      </c>
      <c r="F258" s="39">
        <v>1150</v>
      </c>
      <c r="G258" s="39">
        <v>100</v>
      </c>
      <c r="H258" s="47">
        <v>600</v>
      </c>
      <c r="I258" s="39">
        <v>695</v>
      </c>
      <c r="J258" s="39">
        <v>50</v>
      </c>
      <c r="K258" s="40"/>
      <c r="L258" s="40"/>
      <c r="M258" s="40"/>
      <c r="N258" s="40"/>
      <c r="O258" s="40"/>
      <c r="P258" s="40"/>
      <c r="Q258" s="40"/>
      <c r="R258" s="40"/>
      <c r="S258" s="40"/>
      <c r="T258" s="40"/>
    </row>
    <row r="259" spans="1:20" ht="15.75">
      <c r="A259" s="13">
        <v>49004</v>
      </c>
      <c r="B259" s="48">
        <v>31</v>
      </c>
      <c r="C259" s="39">
        <v>122.58</v>
      </c>
      <c r="D259" s="39">
        <v>297.94099999999997</v>
      </c>
      <c r="E259" s="45">
        <v>729.47900000000004</v>
      </c>
      <c r="F259" s="39">
        <v>1150</v>
      </c>
      <c r="G259" s="39">
        <v>100</v>
      </c>
      <c r="H259" s="47">
        <v>600</v>
      </c>
      <c r="I259" s="39">
        <v>695</v>
      </c>
      <c r="J259" s="39">
        <v>50</v>
      </c>
      <c r="K259" s="40"/>
      <c r="L259" s="40"/>
      <c r="M259" s="40"/>
      <c r="N259" s="40"/>
      <c r="O259" s="40"/>
      <c r="P259" s="40"/>
      <c r="Q259" s="40"/>
      <c r="R259" s="40"/>
      <c r="S259" s="40"/>
      <c r="T259" s="40"/>
    </row>
    <row r="260" spans="1:20" ht="15.75">
      <c r="A260" s="13">
        <v>49035</v>
      </c>
      <c r="B260" s="48">
        <v>30</v>
      </c>
      <c r="C260" s="39">
        <v>141.29300000000001</v>
      </c>
      <c r="D260" s="39">
        <v>267.99299999999999</v>
      </c>
      <c r="E260" s="45">
        <v>829.71400000000006</v>
      </c>
      <c r="F260" s="39">
        <v>1239</v>
      </c>
      <c r="G260" s="39">
        <v>100</v>
      </c>
      <c r="H260" s="47">
        <v>600</v>
      </c>
      <c r="I260" s="39">
        <v>695</v>
      </c>
      <c r="J260" s="39">
        <v>50</v>
      </c>
      <c r="K260" s="40"/>
      <c r="L260" s="40"/>
      <c r="M260" s="40"/>
      <c r="N260" s="40"/>
      <c r="O260" s="40"/>
      <c r="P260" s="40"/>
      <c r="Q260" s="40"/>
      <c r="R260" s="40"/>
      <c r="S260" s="40"/>
      <c r="T260" s="40"/>
    </row>
    <row r="261" spans="1:20" ht="15.75">
      <c r="A261" s="13">
        <v>49065</v>
      </c>
      <c r="B261" s="48">
        <v>31</v>
      </c>
      <c r="C261" s="39">
        <v>194.20500000000001</v>
      </c>
      <c r="D261" s="39">
        <v>267.46600000000001</v>
      </c>
      <c r="E261" s="45">
        <v>812.32899999999995</v>
      </c>
      <c r="F261" s="39">
        <v>1274</v>
      </c>
      <c r="G261" s="39">
        <v>75</v>
      </c>
      <c r="H261" s="47">
        <v>600</v>
      </c>
      <c r="I261" s="39">
        <v>695</v>
      </c>
      <c r="J261" s="39">
        <v>50</v>
      </c>
      <c r="K261" s="40"/>
      <c r="L261" s="40"/>
      <c r="M261" s="40"/>
      <c r="N261" s="40"/>
      <c r="O261" s="40"/>
      <c r="P261" s="40"/>
      <c r="Q261" s="40"/>
      <c r="R261" s="40"/>
      <c r="S261" s="40"/>
      <c r="T261" s="40"/>
    </row>
    <row r="262" spans="1:20" ht="15.75">
      <c r="A262" s="13">
        <v>49096</v>
      </c>
      <c r="B262" s="48">
        <v>30</v>
      </c>
      <c r="C262" s="39">
        <v>194.20500000000001</v>
      </c>
      <c r="D262" s="39">
        <v>267.46600000000001</v>
      </c>
      <c r="E262" s="45">
        <v>812.32899999999995</v>
      </c>
      <c r="F262" s="39">
        <v>1274</v>
      </c>
      <c r="G262" s="39">
        <v>50</v>
      </c>
      <c r="H262" s="47">
        <v>600</v>
      </c>
      <c r="I262" s="39">
        <v>695</v>
      </c>
      <c r="J262" s="39">
        <v>50</v>
      </c>
      <c r="K262" s="40"/>
      <c r="L262" s="40"/>
      <c r="M262" s="40"/>
      <c r="N262" s="40"/>
      <c r="O262" s="40"/>
      <c r="P262" s="40"/>
      <c r="Q262" s="40"/>
      <c r="R262" s="40"/>
      <c r="S262" s="40"/>
      <c r="T262" s="40"/>
    </row>
    <row r="263" spans="1:20" ht="15.75">
      <c r="A263" s="13">
        <v>49126</v>
      </c>
      <c r="B263" s="48">
        <v>31</v>
      </c>
      <c r="C263" s="39">
        <v>194.20500000000001</v>
      </c>
      <c r="D263" s="39">
        <v>267.46600000000001</v>
      </c>
      <c r="E263" s="45">
        <v>812.32899999999995</v>
      </c>
      <c r="F263" s="39">
        <v>1274</v>
      </c>
      <c r="G263" s="39">
        <v>50</v>
      </c>
      <c r="H263" s="47">
        <v>600</v>
      </c>
      <c r="I263" s="39">
        <v>695</v>
      </c>
      <c r="J263" s="39">
        <v>0</v>
      </c>
      <c r="K263" s="40"/>
      <c r="L263" s="40"/>
      <c r="M263" s="40"/>
      <c r="N263" s="40"/>
      <c r="O263" s="40"/>
      <c r="P263" s="40"/>
      <c r="Q263" s="40"/>
      <c r="R263" s="40"/>
      <c r="S263" s="40"/>
      <c r="T263" s="40"/>
    </row>
    <row r="264" spans="1:20" ht="15.75">
      <c r="A264" s="13">
        <v>49157</v>
      </c>
      <c r="B264" s="48">
        <v>31</v>
      </c>
      <c r="C264" s="39">
        <v>194.20500000000001</v>
      </c>
      <c r="D264" s="39">
        <v>267.46600000000001</v>
      </c>
      <c r="E264" s="45">
        <v>812.32899999999995</v>
      </c>
      <c r="F264" s="39">
        <v>1274</v>
      </c>
      <c r="G264" s="39">
        <v>50</v>
      </c>
      <c r="H264" s="47">
        <v>600</v>
      </c>
      <c r="I264" s="39">
        <v>695</v>
      </c>
      <c r="J264" s="39">
        <v>0</v>
      </c>
      <c r="K264" s="40"/>
      <c r="L264" s="40"/>
      <c r="M264" s="40"/>
      <c r="N264" s="40"/>
      <c r="O264" s="40"/>
      <c r="P264" s="40"/>
      <c r="Q264" s="40"/>
      <c r="R264" s="40"/>
      <c r="S264" s="40"/>
      <c r="T264" s="40"/>
    </row>
    <row r="265" spans="1:20" ht="15.75">
      <c r="A265" s="13">
        <v>49188</v>
      </c>
      <c r="B265" s="48">
        <v>30</v>
      </c>
      <c r="C265" s="39">
        <v>194.20500000000001</v>
      </c>
      <c r="D265" s="39">
        <v>267.46600000000001</v>
      </c>
      <c r="E265" s="45">
        <v>812.32899999999995</v>
      </c>
      <c r="F265" s="39">
        <v>1274</v>
      </c>
      <c r="G265" s="39">
        <v>50</v>
      </c>
      <c r="H265" s="47">
        <v>600</v>
      </c>
      <c r="I265" s="39">
        <v>695</v>
      </c>
      <c r="J265" s="39">
        <v>0</v>
      </c>
      <c r="K265" s="40"/>
      <c r="L265" s="40"/>
      <c r="M265" s="40"/>
      <c r="N265" s="40"/>
      <c r="O265" s="40"/>
      <c r="P265" s="40"/>
      <c r="Q265" s="40"/>
      <c r="R265" s="40"/>
      <c r="S265" s="40"/>
      <c r="T265" s="40"/>
    </row>
    <row r="266" spans="1:20" ht="15.75">
      <c r="A266" s="13">
        <v>49218</v>
      </c>
      <c r="B266" s="48">
        <v>31</v>
      </c>
      <c r="C266" s="39">
        <v>131.881</v>
      </c>
      <c r="D266" s="39">
        <v>277.16699999999997</v>
      </c>
      <c r="E266" s="45">
        <v>829.952</v>
      </c>
      <c r="F266" s="39">
        <v>1239</v>
      </c>
      <c r="G266" s="39">
        <v>75</v>
      </c>
      <c r="H266" s="47">
        <v>600</v>
      </c>
      <c r="I266" s="39">
        <v>695</v>
      </c>
      <c r="J266" s="39">
        <v>0</v>
      </c>
      <c r="K266" s="40"/>
      <c r="L266" s="40"/>
      <c r="M266" s="40"/>
      <c r="N266" s="40"/>
      <c r="O266" s="40"/>
      <c r="P266" s="40"/>
      <c r="Q266" s="40"/>
      <c r="R266" s="40"/>
      <c r="S266" s="40"/>
      <c r="T266" s="40"/>
    </row>
    <row r="267" spans="1:20" ht="15.75">
      <c r="A267" s="13">
        <v>49249</v>
      </c>
      <c r="B267" s="48">
        <v>30</v>
      </c>
      <c r="C267" s="39">
        <v>122.58</v>
      </c>
      <c r="D267" s="39">
        <v>297.94099999999997</v>
      </c>
      <c r="E267" s="45">
        <v>729.47900000000004</v>
      </c>
      <c r="F267" s="39">
        <v>1150</v>
      </c>
      <c r="G267" s="39">
        <v>100</v>
      </c>
      <c r="H267" s="47">
        <v>600</v>
      </c>
      <c r="I267" s="39">
        <v>695</v>
      </c>
      <c r="J267" s="39">
        <v>50</v>
      </c>
      <c r="K267" s="40"/>
      <c r="L267" s="40"/>
      <c r="M267" s="40"/>
      <c r="N267" s="40"/>
      <c r="O267" s="40"/>
      <c r="P267" s="40"/>
      <c r="Q267" s="40"/>
      <c r="R267" s="40"/>
      <c r="S267" s="40"/>
      <c r="T267" s="40"/>
    </row>
    <row r="268" spans="1:20" ht="15.75">
      <c r="A268" s="13">
        <v>49279</v>
      </c>
      <c r="B268" s="48">
        <v>31</v>
      </c>
      <c r="C268" s="39">
        <v>122.58</v>
      </c>
      <c r="D268" s="39">
        <v>297.94099999999997</v>
      </c>
      <c r="E268" s="45">
        <v>729.47900000000004</v>
      </c>
      <c r="F268" s="39">
        <v>1150</v>
      </c>
      <c r="G268" s="39">
        <v>100</v>
      </c>
      <c r="H268" s="47">
        <v>600</v>
      </c>
      <c r="I268" s="39">
        <v>695</v>
      </c>
      <c r="J268" s="39">
        <v>50</v>
      </c>
      <c r="K268" s="40"/>
      <c r="L268" s="40"/>
      <c r="M268" s="40"/>
      <c r="N268" s="40"/>
      <c r="O268" s="40"/>
      <c r="P268" s="40"/>
      <c r="Q268" s="40"/>
      <c r="R268" s="40"/>
      <c r="S268" s="40"/>
      <c r="T268" s="40"/>
    </row>
    <row r="269" spans="1:20" ht="15.75">
      <c r="A269" s="13">
        <v>49310</v>
      </c>
      <c r="B269" s="48">
        <v>31</v>
      </c>
      <c r="C269" s="39">
        <v>122.58</v>
      </c>
      <c r="D269" s="39">
        <v>297.94099999999997</v>
      </c>
      <c r="E269" s="45">
        <v>729.47900000000004</v>
      </c>
      <c r="F269" s="39">
        <v>1150</v>
      </c>
      <c r="G269" s="39">
        <v>100</v>
      </c>
      <c r="H269" s="47">
        <v>600</v>
      </c>
      <c r="I269" s="39">
        <v>695</v>
      </c>
      <c r="J269" s="39">
        <v>50</v>
      </c>
      <c r="K269" s="40"/>
      <c r="L269" s="40"/>
      <c r="M269" s="40"/>
      <c r="N269" s="40"/>
      <c r="O269" s="40"/>
      <c r="P269" s="40"/>
      <c r="Q269" s="40"/>
      <c r="R269" s="40"/>
      <c r="S269" s="40"/>
      <c r="T269" s="40"/>
    </row>
    <row r="270" spans="1:20" ht="15.75">
      <c r="A270" s="13">
        <v>49341</v>
      </c>
      <c r="B270" s="48">
        <v>28</v>
      </c>
      <c r="C270" s="39">
        <v>122.58</v>
      </c>
      <c r="D270" s="39">
        <v>297.94099999999997</v>
      </c>
      <c r="E270" s="45">
        <v>729.47900000000004</v>
      </c>
      <c r="F270" s="39">
        <v>1150</v>
      </c>
      <c r="G270" s="39">
        <v>100</v>
      </c>
      <c r="H270" s="47">
        <v>600</v>
      </c>
      <c r="I270" s="39">
        <v>695</v>
      </c>
      <c r="J270" s="39">
        <v>50</v>
      </c>
      <c r="K270" s="40"/>
      <c r="L270" s="40"/>
      <c r="M270" s="40"/>
      <c r="N270" s="40"/>
      <c r="O270" s="40"/>
      <c r="P270" s="40"/>
      <c r="Q270" s="40"/>
      <c r="R270" s="40"/>
      <c r="S270" s="40"/>
      <c r="T270" s="40"/>
    </row>
    <row r="271" spans="1:20" ht="15.75">
      <c r="A271" s="13">
        <v>49369</v>
      </c>
      <c r="B271" s="48">
        <v>31</v>
      </c>
      <c r="C271" s="39">
        <v>122.58</v>
      </c>
      <c r="D271" s="39">
        <v>297.94099999999997</v>
      </c>
      <c r="E271" s="45">
        <v>729.47900000000004</v>
      </c>
      <c r="F271" s="39">
        <v>1150</v>
      </c>
      <c r="G271" s="39">
        <v>100</v>
      </c>
      <c r="H271" s="47">
        <v>600</v>
      </c>
      <c r="I271" s="39">
        <v>695</v>
      </c>
      <c r="J271" s="39">
        <v>50</v>
      </c>
      <c r="K271" s="40"/>
      <c r="L271" s="40"/>
      <c r="M271" s="40"/>
      <c r="N271" s="40"/>
      <c r="O271" s="40"/>
      <c r="P271" s="40"/>
      <c r="Q271" s="40"/>
      <c r="R271" s="40"/>
      <c r="S271" s="40"/>
      <c r="T271" s="40"/>
    </row>
    <row r="272" spans="1:20" ht="15.75">
      <c r="A272" s="13">
        <v>49400</v>
      </c>
      <c r="B272" s="48">
        <v>30</v>
      </c>
      <c r="C272" s="39">
        <v>141.29300000000001</v>
      </c>
      <c r="D272" s="39">
        <v>267.99299999999999</v>
      </c>
      <c r="E272" s="45">
        <v>829.71400000000006</v>
      </c>
      <c r="F272" s="39">
        <v>1239</v>
      </c>
      <c r="G272" s="39">
        <v>100</v>
      </c>
      <c r="H272" s="47">
        <v>600</v>
      </c>
      <c r="I272" s="39">
        <v>695</v>
      </c>
      <c r="J272" s="39">
        <v>50</v>
      </c>
      <c r="K272" s="40"/>
      <c r="L272" s="40"/>
      <c r="M272" s="40"/>
      <c r="N272" s="40"/>
      <c r="O272" s="40"/>
      <c r="P272" s="40"/>
      <c r="Q272" s="40"/>
      <c r="R272" s="40"/>
      <c r="S272" s="40"/>
      <c r="T272" s="40"/>
    </row>
    <row r="273" spans="1:20" ht="15.75">
      <c r="A273" s="13">
        <v>49430</v>
      </c>
      <c r="B273" s="48">
        <v>31</v>
      </c>
      <c r="C273" s="39">
        <v>194.20500000000001</v>
      </c>
      <c r="D273" s="39">
        <v>267.46600000000001</v>
      </c>
      <c r="E273" s="45">
        <v>812.32899999999995</v>
      </c>
      <c r="F273" s="39">
        <v>1274</v>
      </c>
      <c r="G273" s="39">
        <v>75</v>
      </c>
      <c r="H273" s="47">
        <v>600</v>
      </c>
      <c r="I273" s="39">
        <v>695</v>
      </c>
      <c r="J273" s="39">
        <v>50</v>
      </c>
      <c r="K273" s="40"/>
      <c r="L273" s="40"/>
      <c r="M273" s="40"/>
      <c r="N273" s="40"/>
      <c r="O273" s="40"/>
      <c r="P273" s="40"/>
      <c r="Q273" s="40"/>
      <c r="R273" s="40"/>
      <c r="S273" s="40"/>
      <c r="T273" s="40"/>
    </row>
    <row r="274" spans="1:20" ht="15.75">
      <c r="A274" s="14">
        <v>49461</v>
      </c>
      <c r="B274" s="48">
        <v>30</v>
      </c>
      <c r="C274" s="39">
        <v>194.20500000000001</v>
      </c>
      <c r="D274" s="39">
        <v>267.46600000000001</v>
      </c>
      <c r="E274" s="45">
        <v>812.32899999999995</v>
      </c>
      <c r="F274" s="39">
        <v>1274</v>
      </c>
      <c r="G274" s="39">
        <v>50</v>
      </c>
      <c r="H274" s="47">
        <v>600</v>
      </c>
      <c r="I274" s="39">
        <v>695</v>
      </c>
      <c r="J274" s="39">
        <v>50</v>
      </c>
      <c r="K274" s="40"/>
      <c r="L274" s="40"/>
      <c r="M274" s="40"/>
      <c r="N274" s="40"/>
      <c r="O274" s="40"/>
      <c r="P274" s="40"/>
      <c r="Q274" s="40"/>
      <c r="R274" s="40"/>
      <c r="S274" s="40"/>
      <c r="T274" s="40"/>
    </row>
    <row r="275" spans="1:20" ht="15.75">
      <c r="A275" s="14">
        <v>49491</v>
      </c>
      <c r="B275" s="48">
        <v>31</v>
      </c>
      <c r="C275" s="39">
        <v>194.20500000000001</v>
      </c>
      <c r="D275" s="39">
        <v>267.46600000000001</v>
      </c>
      <c r="E275" s="45">
        <v>812.32899999999995</v>
      </c>
      <c r="F275" s="39">
        <v>1274</v>
      </c>
      <c r="G275" s="39">
        <v>50</v>
      </c>
      <c r="H275" s="47">
        <v>600</v>
      </c>
      <c r="I275" s="39">
        <v>695</v>
      </c>
      <c r="J275" s="39">
        <v>0</v>
      </c>
      <c r="K275" s="40"/>
      <c r="L275" s="40"/>
      <c r="M275" s="40"/>
      <c r="N275" s="40"/>
      <c r="O275" s="40"/>
      <c r="P275" s="40"/>
      <c r="Q275" s="40"/>
      <c r="R275" s="40"/>
      <c r="S275" s="40"/>
      <c r="T275" s="40"/>
    </row>
    <row r="276" spans="1:20" ht="15.75">
      <c r="A276" s="14">
        <v>49522</v>
      </c>
      <c r="B276" s="48">
        <v>31</v>
      </c>
      <c r="C276" s="39">
        <v>194.20500000000001</v>
      </c>
      <c r="D276" s="39">
        <v>267.46600000000001</v>
      </c>
      <c r="E276" s="45">
        <v>812.32899999999995</v>
      </c>
      <c r="F276" s="39">
        <v>1274</v>
      </c>
      <c r="G276" s="39">
        <v>50</v>
      </c>
      <c r="H276" s="47">
        <v>600</v>
      </c>
      <c r="I276" s="39">
        <v>695</v>
      </c>
      <c r="J276" s="39">
        <v>0</v>
      </c>
      <c r="K276" s="40"/>
      <c r="L276" s="40"/>
      <c r="M276" s="40"/>
      <c r="N276" s="40"/>
      <c r="O276" s="40"/>
      <c r="P276" s="40"/>
      <c r="Q276" s="40"/>
      <c r="R276" s="40"/>
      <c r="S276" s="40"/>
      <c r="T276" s="40"/>
    </row>
    <row r="277" spans="1:20" ht="15.75">
      <c r="A277" s="14">
        <v>49553</v>
      </c>
      <c r="B277" s="48">
        <v>30</v>
      </c>
      <c r="C277" s="39">
        <v>194.20500000000001</v>
      </c>
      <c r="D277" s="39">
        <v>267.46600000000001</v>
      </c>
      <c r="E277" s="45">
        <v>812.32899999999995</v>
      </c>
      <c r="F277" s="39">
        <v>1274</v>
      </c>
      <c r="G277" s="39">
        <v>50</v>
      </c>
      <c r="H277" s="47">
        <v>600</v>
      </c>
      <c r="I277" s="39">
        <v>695</v>
      </c>
      <c r="J277" s="39">
        <v>0</v>
      </c>
      <c r="K277" s="40"/>
      <c r="L277" s="40"/>
      <c r="M277" s="40"/>
      <c r="N277" s="40"/>
      <c r="O277" s="40"/>
      <c r="P277" s="40"/>
      <c r="Q277" s="40"/>
      <c r="R277" s="40"/>
      <c r="S277" s="40"/>
      <c r="T277" s="40"/>
    </row>
    <row r="278" spans="1:20" ht="15.75">
      <c r="A278" s="14">
        <v>49583</v>
      </c>
      <c r="B278" s="48">
        <v>31</v>
      </c>
      <c r="C278" s="39">
        <v>131.881</v>
      </c>
      <c r="D278" s="39">
        <v>277.16699999999997</v>
      </c>
      <c r="E278" s="45">
        <v>829.952</v>
      </c>
      <c r="F278" s="39">
        <v>1239</v>
      </c>
      <c r="G278" s="39">
        <v>75</v>
      </c>
      <c r="H278" s="47">
        <v>600</v>
      </c>
      <c r="I278" s="39">
        <v>695</v>
      </c>
      <c r="J278" s="39">
        <v>0</v>
      </c>
      <c r="K278" s="40"/>
      <c r="L278" s="40"/>
      <c r="M278" s="40"/>
      <c r="N278" s="40"/>
      <c r="O278" s="40"/>
      <c r="P278" s="40"/>
      <c r="Q278" s="40"/>
      <c r="R278" s="40"/>
      <c r="S278" s="40"/>
      <c r="T278" s="40"/>
    </row>
    <row r="279" spans="1:20" ht="15.75">
      <c r="A279" s="14">
        <v>49614</v>
      </c>
      <c r="B279" s="48">
        <v>30</v>
      </c>
      <c r="C279" s="39">
        <v>122.58</v>
      </c>
      <c r="D279" s="39">
        <v>297.94099999999997</v>
      </c>
      <c r="E279" s="45">
        <v>729.47900000000004</v>
      </c>
      <c r="F279" s="39">
        <v>1150</v>
      </c>
      <c r="G279" s="39">
        <v>100</v>
      </c>
      <c r="H279" s="47">
        <v>600</v>
      </c>
      <c r="I279" s="39">
        <v>695</v>
      </c>
      <c r="J279" s="39">
        <v>50</v>
      </c>
      <c r="K279" s="40"/>
      <c r="L279" s="40"/>
      <c r="M279" s="40"/>
      <c r="N279" s="40"/>
      <c r="O279" s="40"/>
      <c r="P279" s="40"/>
      <c r="Q279" s="40"/>
      <c r="R279" s="40"/>
      <c r="S279" s="40"/>
      <c r="T279" s="40"/>
    </row>
    <row r="280" spans="1:20" ht="15.75">
      <c r="A280" s="14">
        <v>49644</v>
      </c>
      <c r="B280" s="48">
        <v>31</v>
      </c>
      <c r="C280" s="39">
        <v>122.58</v>
      </c>
      <c r="D280" s="39">
        <v>297.94099999999997</v>
      </c>
      <c r="E280" s="45">
        <v>729.47900000000004</v>
      </c>
      <c r="F280" s="39">
        <v>1150</v>
      </c>
      <c r="G280" s="39">
        <v>100</v>
      </c>
      <c r="H280" s="47">
        <v>600</v>
      </c>
      <c r="I280" s="39">
        <v>695</v>
      </c>
      <c r="J280" s="39">
        <v>50</v>
      </c>
      <c r="K280" s="40"/>
      <c r="L280" s="40"/>
      <c r="M280" s="40"/>
      <c r="N280" s="40"/>
      <c r="O280" s="40"/>
      <c r="P280" s="40"/>
      <c r="Q280" s="40"/>
      <c r="R280" s="40"/>
      <c r="S280" s="40"/>
      <c r="T280" s="40"/>
    </row>
    <row r="281" spans="1:20" ht="15.75">
      <c r="A281" s="14">
        <v>49675</v>
      </c>
      <c r="B281" s="48">
        <v>31</v>
      </c>
      <c r="C281" s="39">
        <v>122.58</v>
      </c>
      <c r="D281" s="39">
        <v>297.94099999999997</v>
      </c>
      <c r="E281" s="45">
        <v>729.47900000000004</v>
      </c>
      <c r="F281" s="39">
        <v>1150</v>
      </c>
      <c r="G281" s="39">
        <v>100</v>
      </c>
      <c r="H281" s="47">
        <v>600</v>
      </c>
      <c r="I281" s="39">
        <v>695</v>
      </c>
      <c r="J281" s="39">
        <v>50</v>
      </c>
      <c r="K281" s="40"/>
      <c r="L281" s="40"/>
      <c r="M281" s="40"/>
      <c r="N281" s="40"/>
      <c r="O281" s="40"/>
      <c r="P281" s="40"/>
      <c r="Q281" s="40"/>
      <c r="R281" s="40"/>
      <c r="S281" s="40"/>
      <c r="T281" s="40"/>
    </row>
    <row r="282" spans="1:20" ht="15.75">
      <c r="A282" s="14">
        <v>49706</v>
      </c>
      <c r="B282" s="48">
        <v>29</v>
      </c>
      <c r="C282" s="39">
        <v>122.58</v>
      </c>
      <c r="D282" s="39">
        <v>297.94099999999997</v>
      </c>
      <c r="E282" s="45">
        <v>729.47900000000004</v>
      </c>
      <c r="F282" s="39">
        <v>1150</v>
      </c>
      <c r="G282" s="39">
        <v>100</v>
      </c>
      <c r="H282" s="47">
        <v>600</v>
      </c>
      <c r="I282" s="39">
        <v>695</v>
      </c>
      <c r="J282" s="39">
        <v>50</v>
      </c>
      <c r="K282" s="40"/>
      <c r="L282" s="40"/>
      <c r="M282" s="40"/>
      <c r="N282" s="40"/>
      <c r="O282" s="40"/>
      <c r="P282" s="40"/>
      <c r="Q282" s="40"/>
      <c r="R282" s="40"/>
      <c r="S282" s="40"/>
      <c r="T282" s="40"/>
    </row>
    <row r="283" spans="1:20" ht="15.75">
      <c r="A283" s="14">
        <v>49735</v>
      </c>
      <c r="B283" s="48">
        <v>31</v>
      </c>
      <c r="C283" s="39">
        <v>122.58</v>
      </c>
      <c r="D283" s="39">
        <v>297.94099999999997</v>
      </c>
      <c r="E283" s="45">
        <v>729.47900000000004</v>
      </c>
      <c r="F283" s="39">
        <v>1150</v>
      </c>
      <c r="G283" s="39">
        <v>100</v>
      </c>
      <c r="H283" s="47">
        <v>600</v>
      </c>
      <c r="I283" s="39">
        <v>695</v>
      </c>
      <c r="J283" s="39">
        <v>50</v>
      </c>
      <c r="K283" s="40"/>
      <c r="L283" s="40"/>
      <c r="M283" s="40"/>
      <c r="N283" s="40"/>
      <c r="O283" s="40"/>
      <c r="P283" s="40"/>
      <c r="Q283" s="40"/>
      <c r="R283" s="40"/>
      <c r="S283" s="40"/>
      <c r="T283" s="40"/>
    </row>
    <row r="284" spans="1:20" ht="15.75">
      <c r="A284" s="14">
        <v>49766</v>
      </c>
      <c r="B284" s="48">
        <v>30</v>
      </c>
      <c r="C284" s="39">
        <v>141.29300000000001</v>
      </c>
      <c r="D284" s="39">
        <v>267.99299999999999</v>
      </c>
      <c r="E284" s="45">
        <v>829.71400000000006</v>
      </c>
      <c r="F284" s="39">
        <v>1239</v>
      </c>
      <c r="G284" s="39">
        <v>100</v>
      </c>
      <c r="H284" s="47">
        <v>600</v>
      </c>
      <c r="I284" s="39">
        <v>695</v>
      </c>
      <c r="J284" s="39">
        <v>50</v>
      </c>
      <c r="K284" s="40"/>
      <c r="L284" s="40"/>
      <c r="M284" s="40"/>
      <c r="N284" s="40"/>
      <c r="O284" s="40"/>
      <c r="P284" s="40"/>
      <c r="Q284" s="40"/>
      <c r="R284" s="40"/>
      <c r="S284" s="40"/>
      <c r="T284" s="40"/>
    </row>
    <row r="285" spans="1:20" ht="15.75">
      <c r="A285" s="14">
        <v>49796</v>
      </c>
      <c r="B285" s="48">
        <v>31</v>
      </c>
      <c r="C285" s="39">
        <v>194.20500000000001</v>
      </c>
      <c r="D285" s="39">
        <v>267.46600000000001</v>
      </c>
      <c r="E285" s="45">
        <v>812.32899999999995</v>
      </c>
      <c r="F285" s="39">
        <v>1274</v>
      </c>
      <c r="G285" s="39">
        <v>75</v>
      </c>
      <c r="H285" s="47">
        <v>600</v>
      </c>
      <c r="I285" s="39">
        <v>695</v>
      </c>
      <c r="J285" s="39">
        <v>50</v>
      </c>
      <c r="K285" s="40"/>
      <c r="L285" s="40"/>
      <c r="M285" s="40"/>
      <c r="N285" s="40"/>
      <c r="O285" s="40"/>
      <c r="P285" s="40"/>
      <c r="Q285" s="40"/>
      <c r="R285" s="40"/>
      <c r="S285" s="40"/>
      <c r="T285" s="40"/>
    </row>
    <row r="286" spans="1:20" ht="15.75">
      <c r="A286" s="14">
        <v>49827</v>
      </c>
      <c r="B286" s="48">
        <v>30</v>
      </c>
      <c r="C286" s="39">
        <v>194.20500000000001</v>
      </c>
      <c r="D286" s="39">
        <v>267.46600000000001</v>
      </c>
      <c r="E286" s="45">
        <v>812.32899999999995</v>
      </c>
      <c r="F286" s="39">
        <v>1274</v>
      </c>
      <c r="G286" s="39">
        <v>50</v>
      </c>
      <c r="H286" s="47">
        <v>600</v>
      </c>
      <c r="I286" s="39">
        <v>695</v>
      </c>
      <c r="J286" s="39">
        <v>50</v>
      </c>
      <c r="K286" s="40"/>
      <c r="L286" s="40"/>
      <c r="M286" s="40"/>
      <c r="N286" s="40"/>
      <c r="O286" s="40"/>
      <c r="P286" s="40"/>
      <c r="Q286" s="40"/>
      <c r="R286" s="40"/>
      <c r="S286" s="40"/>
      <c r="T286" s="40"/>
    </row>
    <row r="287" spans="1:20" ht="15.75">
      <c r="A287" s="14">
        <v>49857</v>
      </c>
      <c r="B287" s="48">
        <v>31</v>
      </c>
      <c r="C287" s="39">
        <v>194.20500000000001</v>
      </c>
      <c r="D287" s="39">
        <v>267.46600000000001</v>
      </c>
      <c r="E287" s="45">
        <v>812.32899999999995</v>
      </c>
      <c r="F287" s="39">
        <v>1274</v>
      </c>
      <c r="G287" s="39">
        <v>50</v>
      </c>
      <c r="H287" s="47">
        <v>600</v>
      </c>
      <c r="I287" s="39">
        <v>695</v>
      </c>
      <c r="J287" s="39">
        <v>0</v>
      </c>
      <c r="K287" s="40"/>
      <c r="L287" s="40"/>
      <c r="M287" s="40"/>
      <c r="N287" s="40"/>
      <c r="O287" s="40"/>
      <c r="P287" s="40"/>
      <c r="Q287" s="40"/>
      <c r="R287" s="40"/>
      <c r="S287" s="40"/>
      <c r="T287" s="40"/>
    </row>
    <row r="288" spans="1:20" ht="15.75">
      <c r="A288" s="14">
        <v>49888</v>
      </c>
      <c r="B288" s="48">
        <v>31</v>
      </c>
      <c r="C288" s="39">
        <v>194.20500000000001</v>
      </c>
      <c r="D288" s="39">
        <v>267.46600000000001</v>
      </c>
      <c r="E288" s="45">
        <v>812.32899999999995</v>
      </c>
      <c r="F288" s="39">
        <v>1274</v>
      </c>
      <c r="G288" s="39">
        <v>50</v>
      </c>
      <c r="H288" s="47">
        <v>600</v>
      </c>
      <c r="I288" s="39">
        <v>695</v>
      </c>
      <c r="J288" s="39">
        <v>0</v>
      </c>
      <c r="K288" s="40"/>
      <c r="L288" s="40"/>
      <c r="M288" s="40"/>
      <c r="N288" s="40"/>
      <c r="O288" s="40"/>
      <c r="P288" s="40"/>
      <c r="Q288" s="40"/>
      <c r="R288" s="40"/>
      <c r="S288" s="40"/>
      <c r="T288" s="40"/>
    </row>
    <row r="289" spans="1:20" ht="15.75">
      <c r="A289" s="14">
        <v>49919</v>
      </c>
      <c r="B289" s="48">
        <v>30</v>
      </c>
      <c r="C289" s="39">
        <v>194.20500000000001</v>
      </c>
      <c r="D289" s="39">
        <v>267.46600000000001</v>
      </c>
      <c r="E289" s="45">
        <v>812.32899999999995</v>
      </c>
      <c r="F289" s="39">
        <v>1274</v>
      </c>
      <c r="G289" s="39">
        <v>50</v>
      </c>
      <c r="H289" s="47">
        <v>600</v>
      </c>
      <c r="I289" s="39">
        <v>695</v>
      </c>
      <c r="J289" s="39">
        <v>0</v>
      </c>
      <c r="K289" s="40"/>
      <c r="L289" s="40"/>
      <c r="M289" s="40"/>
      <c r="N289" s="40"/>
      <c r="O289" s="40"/>
      <c r="P289" s="40"/>
      <c r="Q289" s="40"/>
      <c r="R289" s="40"/>
      <c r="S289" s="40"/>
      <c r="T289" s="40"/>
    </row>
    <row r="290" spans="1:20" ht="15.75">
      <c r="A290" s="14">
        <v>49949</v>
      </c>
      <c r="B290" s="48">
        <v>31</v>
      </c>
      <c r="C290" s="39">
        <v>131.881</v>
      </c>
      <c r="D290" s="39">
        <v>277.16699999999997</v>
      </c>
      <c r="E290" s="45">
        <v>829.952</v>
      </c>
      <c r="F290" s="39">
        <v>1239</v>
      </c>
      <c r="G290" s="39">
        <v>75</v>
      </c>
      <c r="H290" s="47">
        <v>600</v>
      </c>
      <c r="I290" s="39">
        <v>695</v>
      </c>
      <c r="J290" s="39">
        <v>0</v>
      </c>
      <c r="K290" s="40"/>
      <c r="L290" s="40"/>
      <c r="M290" s="40"/>
      <c r="N290" s="40"/>
      <c r="O290" s="40"/>
      <c r="P290" s="40"/>
      <c r="Q290" s="40"/>
      <c r="R290" s="40"/>
      <c r="S290" s="40"/>
      <c r="T290" s="40"/>
    </row>
    <row r="291" spans="1:20" ht="15.75">
      <c r="A291" s="14">
        <v>49980</v>
      </c>
      <c r="B291" s="48">
        <v>30</v>
      </c>
      <c r="C291" s="39">
        <v>122.58</v>
      </c>
      <c r="D291" s="39">
        <v>297.94099999999997</v>
      </c>
      <c r="E291" s="45">
        <v>729.47900000000004</v>
      </c>
      <c r="F291" s="39">
        <v>1150</v>
      </c>
      <c r="G291" s="39">
        <v>100</v>
      </c>
      <c r="H291" s="47">
        <v>600</v>
      </c>
      <c r="I291" s="39">
        <v>695</v>
      </c>
      <c r="J291" s="39">
        <v>50</v>
      </c>
      <c r="K291" s="40"/>
      <c r="L291" s="40"/>
      <c r="M291" s="40"/>
      <c r="N291" s="40"/>
      <c r="O291" s="40"/>
      <c r="P291" s="40"/>
      <c r="Q291" s="40"/>
      <c r="R291" s="40"/>
      <c r="S291" s="40"/>
      <c r="T291" s="40"/>
    </row>
    <row r="292" spans="1:20" ht="15.75">
      <c r="A292" s="14">
        <v>50010</v>
      </c>
      <c r="B292" s="48">
        <v>31</v>
      </c>
      <c r="C292" s="39">
        <v>122.58</v>
      </c>
      <c r="D292" s="39">
        <v>297.94099999999997</v>
      </c>
      <c r="E292" s="45">
        <v>729.47900000000004</v>
      </c>
      <c r="F292" s="39">
        <v>1150</v>
      </c>
      <c r="G292" s="39">
        <v>100</v>
      </c>
      <c r="H292" s="47">
        <v>600</v>
      </c>
      <c r="I292" s="39">
        <v>695</v>
      </c>
      <c r="J292" s="39">
        <v>50</v>
      </c>
      <c r="K292" s="40"/>
      <c r="L292" s="40"/>
      <c r="M292" s="40"/>
      <c r="N292" s="40"/>
      <c r="O292" s="40"/>
      <c r="P292" s="40"/>
      <c r="Q292" s="40"/>
      <c r="R292" s="40"/>
      <c r="S292" s="40"/>
      <c r="T292" s="40"/>
    </row>
    <row r="293" spans="1:20" ht="15.75">
      <c r="A293" s="14">
        <v>50041</v>
      </c>
      <c r="B293" s="48">
        <v>31</v>
      </c>
      <c r="C293" s="39">
        <v>122.58</v>
      </c>
      <c r="D293" s="39">
        <v>297.94099999999997</v>
      </c>
      <c r="E293" s="45">
        <v>729.47900000000004</v>
      </c>
      <c r="F293" s="39">
        <v>1150</v>
      </c>
      <c r="G293" s="39">
        <v>100</v>
      </c>
      <c r="H293" s="47">
        <v>600</v>
      </c>
      <c r="I293" s="39">
        <v>695</v>
      </c>
      <c r="J293" s="39">
        <v>50</v>
      </c>
      <c r="K293" s="40"/>
      <c r="L293" s="40"/>
      <c r="M293" s="40"/>
      <c r="N293" s="40"/>
      <c r="O293" s="40"/>
      <c r="P293" s="40"/>
      <c r="Q293" s="40"/>
      <c r="R293" s="40"/>
      <c r="S293" s="40"/>
      <c r="T293" s="40"/>
    </row>
    <row r="294" spans="1:20" ht="15.75">
      <c r="A294" s="14">
        <v>50072</v>
      </c>
      <c r="B294" s="48">
        <v>28</v>
      </c>
      <c r="C294" s="39">
        <v>122.58</v>
      </c>
      <c r="D294" s="39">
        <v>297.94099999999997</v>
      </c>
      <c r="E294" s="45">
        <v>729.47900000000004</v>
      </c>
      <c r="F294" s="39">
        <v>1150</v>
      </c>
      <c r="G294" s="39">
        <v>100</v>
      </c>
      <c r="H294" s="47">
        <v>600</v>
      </c>
      <c r="I294" s="39">
        <v>695</v>
      </c>
      <c r="J294" s="39">
        <v>50</v>
      </c>
      <c r="K294" s="40"/>
      <c r="L294" s="40"/>
      <c r="M294" s="40"/>
      <c r="N294" s="40"/>
      <c r="O294" s="40"/>
      <c r="P294" s="40"/>
      <c r="Q294" s="40"/>
      <c r="R294" s="40"/>
      <c r="S294" s="40"/>
      <c r="T294" s="40"/>
    </row>
    <row r="295" spans="1:20" ht="15.75">
      <c r="A295" s="14">
        <v>50100</v>
      </c>
      <c r="B295" s="48">
        <v>31</v>
      </c>
      <c r="C295" s="39">
        <v>122.58</v>
      </c>
      <c r="D295" s="39">
        <v>297.94099999999997</v>
      </c>
      <c r="E295" s="45">
        <v>729.47900000000004</v>
      </c>
      <c r="F295" s="39">
        <v>1150</v>
      </c>
      <c r="G295" s="39">
        <v>100</v>
      </c>
      <c r="H295" s="47">
        <v>600</v>
      </c>
      <c r="I295" s="39">
        <v>695</v>
      </c>
      <c r="J295" s="39">
        <v>50</v>
      </c>
      <c r="K295" s="40"/>
      <c r="L295" s="40"/>
      <c r="M295" s="40"/>
      <c r="N295" s="40"/>
      <c r="O295" s="40"/>
      <c r="P295" s="40"/>
      <c r="Q295" s="40"/>
      <c r="R295" s="40"/>
      <c r="S295" s="40"/>
      <c r="T295" s="40"/>
    </row>
    <row r="296" spans="1:20" ht="15.75">
      <c r="A296" s="14">
        <v>50131</v>
      </c>
      <c r="B296" s="48">
        <v>30</v>
      </c>
      <c r="C296" s="39">
        <v>141.29300000000001</v>
      </c>
      <c r="D296" s="39">
        <v>267.99299999999999</v>
      </c>
      <c r="E296" s="45">
        <v>829.71400000000006</v>
      </c>
      <c r="F296" s="39">
        <v>1239</v>
      </c>
      <c r="G296" s="39">
        <v>100</v>
      </c>
      <c r="H296" s="47">
        <v>600</v>
      </c>
      <c r="I296" s="39">
        <v>695</v>
      </c>
      <c r="J296" s="39">
        <v>50</v>
      </c>
      <c r="K296" s="40"/>
      <c r="L296" s="40"/>
      <c r="M296" s="40"/>
      <c r="N296" s="40"/>
      <c r="O296" s="40"/>
      <c r="P296" s="40"/>
      <c r="Q296" s="40"/>
      <c r="R296" s="40"/>
      <c r="S296" s="40"/>
      <c r="T296" s="40"/>
    </row>
    <row r="297" spans="1:20" ht="15.75">
      <c r="A297" s="14">
        <v>50161</v>
      </c>
      <c r="B297" s="48">
        <v>31</v>
      </c>
      <c r="C297" s="39">
        <v>194.20500000000001</v>
      </c>
      <c r="D297" s="39">
        <v>267.46600000000001</v>
      </c>
      <c r="E297" s="45">
        <v>812.32899999999995</v>
      </c>
      <c r="F297" s="39">
        <v>1274</v>
      </c>
      <c r="G297" s="39">
        <v>75</v>
      </c>
      <c r="H297" s="47">
        <v>600</v>
      </c>
      <c r="I297" s="39">
        <v>695</v>
      </c>
      <c r="J297" s="39">
        <v>50</v>
      </c>
      <c r="K297" s="40"/>
      <c r="L297" s="40"/>
      <c r="M297" s="40"/>
      <c r="N297" s="40"/>
      <c r="O297" s="40"/>
      <c r="P297" s="40"/>
      <c r="Q297" s="40"/>
      <c r="R297" s="40"/>
      <c r="S297" s="40"/>
      <c r="T297" s="40"/>
    </row>
    <row r="298" spans="1:20" ht="15.75">
      <c r="A298" s="14">
        <v>50192</v>
      </c>
      <c r="B298" s="48">
        <v>30</v>
      </c>
      <c r="C298" s="39">
        <v>194.20500000000001</v>
      </c>
      <c r="D298" s="39">
        <v>267.46600000000001</v>
      </c>
      <c r="E298" s="45">
        <v>812.32899999999995</v>
      </c>
      <c r="F298" s="39">
        <v>1274</v>
      </c>
      <c r="G298" s="39">
        <v>50</v>
      </c>
      <c r="H298" s="47">
        <v>600</v>
      </c>
      <c r="I298" s="39">
        <v>695</v>
      </c>
      <c r="J298" s="39">
        <v>50</v>
      </c>
      <c r="K298" s="40"/>
      <c r="L298" s="40"/>
      <c r="M298" s="40"/>
      <c r="N298" s="40"/>
      <c r="O298" s="40"/>
      <c r="P298" s="40"/>
      <c r="Q298" s="40"/>
      <c r="R298" s="40"/>
      <c r="S298" s="40"/>
      <c r="T298" s="40"/>
    </row>
    <row r="299" spans="1:20" ht="15.75">
      <c r="A299" s="14">
        <v>50222</v>
      </c>
      <c r="B299" s="48">
        <v>31</v>
      </c>
      <c r="C299" s="39">
        <v>194.20500000000001</v>
      </c>
      <c r="D299" s="39">
        <v>267.46600000000001</v>
      </c>
      <c r="E299" s="45">
        <v>812.32899999999995</v>
      </c>
      <c r="F299" s="39">
        <v>1274</v>
      </c>
      <c r="G299" s="39">
        <v>50</v>
      </c>
      <c r="H299" s="47">
        <v>600</v>
      </c>
      <c r="I299" s="39">
        <v>695</v>
      </c>
      <c r="J299" s="39">
        <v>0</v>
      </c>
      <c r="K299" s="40"/>
      <c r="L299" s="40"/>
      <c r="M299" s="40"/>
      <c r="N299" s="40"/>
      <c r="O299" s="40"/>
      <c r="P299" s="40"/>
      <c r="Q299" s="40"/>
      <c r="R299" s="40"/>
      <c r="S299" s="40"/>
      <c r="T299" s="40"/>
    </row>
    <row r="300" spans="1:20" ht="15.75">
      <c r="A300" s="14">
        <v>50253</v>
      </c>
      <c r="B300" s="48">
        <v>31</v>
      </c>
      <c r="C300" s="39">
        <v>194.20500000000001</v>
      </c>
      <c r="D300" s="39">
        <v>267.46600000000001</v>
      </c>
      <c r="E300" s="45">
        <v>812.32899999999995</v>
      </c>
      <c r="F300" s="39">
        <v>1274</v>
      </c>
      <c r="G300" s="39">
        <v>50</v>
      </c>
      <c r="H300" s="47">
        <v>600</v>
      </c>
      <c r="I300" s="39">
        <v>695</v>
      </c>
      <c r="J300" s="39">
        <v>0</v>
      </c>
      <c r="K300" s="40"/>
      <c r="L300" s="40"/>
      <c r="M300" s="40"/>
      <c r="N300" s="40"/>
      <c r="O300" s="40"/>
      <c r="P300" s="40"/>
      <c r="Q300" s="40"/>
      <c r="R300" s="40"/>
      <c r="S300" s="40"/>
      <c r="T300" s="40"/>
    </row>
    <row r="301" spans="1:20" ht="15.75">
      <c r="A301" s="14">
        <v>50284</v>
      </c>
      <c r="B301" s="48">
        <v>30</v>
      </c>
      <c r="C301" s="39">
        <v>194.20500000000001</v>
      </c>
      <c r="D301" s="39">
        <v>267.46600000000001</v>
      </c>
      <c r="E301" s="45">
        <v>812.32899999999995</v>
      </c>
      <c r="F301" s="39">
        <v>1274</v>
      </c>
      <c r="G301" s="39">
        <v>50</v>
      </c>
      <c r="H301" s="47">
        <v>600</v>
      </c>
      <c r="I301" s="39">
        <v>695</v>
      </c>
      <c r="J301" s="39">
        <v>0</v>
      </c>
      <c r="K301" s="40"/>
      <c r="L301" s="40"/>
      <c r="M301" s="40"/>
      <c r="N301" s="40"/>
      <c r="O301" s="40"/>
      <c r="P301" s="40"/>
      <c r="Q301" s="40"/>
      <c r="R301" s="40"/>
      <c r="S301" s="40"/>
      <c r="T301" s="40"/>
    </row>
    <row r="302" spans="1:20" ht="15.75">
      <c r="A302" s="14">
        <v>50314</v>
      </c>
      <c r="B302" s="48">
        <v>31</v>
      </c>
      <c r="C302" s="39">
        <v>131.881</v>
      </c>
      <c r="D302" s="39">
        <v>277.16699999999997</v>
      </c>
      <c r="E302" s="45">
        <v>829.952</v>
      </c>
      <c r="F302" s="39">
        <v>1239</v>
      </c>
      <c r="G302" s="39">
        <v>75</v>
      </c>
      <c r="H302" s="47">
        <v>600</v>
      </c>
      <c r="I302" s="39">
        <v>695</v>
      </c>
      <c r="J302" s="39">
        <v>0</v>
      </c>
      <c r="K302" s="40"/>
      <c r="L302" s="40"/>
      <c r="M302" s="40"/>
      <c r="N302" s="40"/>
      <c r="O302" s="40"/>
      <c r="P302" s="40"/>
      <c r="Q302" s="40"/>
      <c r="R302" s="40"/>
      <c r="S302" s="40"/>
      <c r="T302" s="40"/>
    </row>
    <row r="303" spans="1:20" ht="15.75">
      <c r="A303" s="14">
        <v>50345</v>
      </c>
      <c r="B303" s="48">
        <v>30</v>
      </c>
      <c r="C303" s="39">
        <v>122.58</v>
      </c>
      <c r="D303" s="39">
        <v>297.94099999999997</v>
      </c>
      <c r="E303" s="45">
        <v>729.47900000000004</v>
      </c>
      <c r="F303" s="39">
        <v>1150</v>
      </c>
      <c r="G303" s="39">
        <v>100</v>
      </c>
      <c r="H303" s="47">
        <v>600</v>
      </c>
      <c r="I303" s="39">
        <v>695</v>
      </c>
      <c r="J303" s="39">
        <v>50</v>
      </c>
      <c r="K303" s="40"/>
      <c r="L303" s="40"/>
      <c r="M303" s="40"/>
      <c r="N303" s="40"/>
      <c r="O303" s="40"/>
      <c r="P303" s="40"/>
      <c r="Q303" s="40"/>
      <c r="R303" s="40"/>
      <c r="S303" s="40"/>
      <c r="T303" s="40"/>
    </row>
    <row r="304" spans="1:20" ht="15.75">
      <c r="A304" s="14">
        <v>50375</v>
      </c>
      <c r="B304" s="48">
        <v>31</v>
      </c>
      <c r="C304" s="39">
        <v>122.58</v>
      </c>
      <c r="D304" s="39">
        <v>297.94099999999997</v>
      </c>
      <c r="E304" s="45">
        <v>729.47900000000004</v>
      </c>
      <c r="F304" s="39">
        <v>1150</v>
      </c>
      <c r="G304" s="39">
        <v>100</v>
      </c>
      <c r="H304" s="47">
        <v>600</v>
      </c>
      <c r="I304" s="39">
        <v>695</v>
      </c>
      <c r="J304" s="39">
        <v>50</v>
      </c>
      <c r="K304" s="40"/>
      <c r="L304" s="40"/>
      <c r="M304" s="40"/>
      <c r="N304" s="40"/>
      <c r="O304" s="40"/>
      <c r="P304" s="40"/>
      <c r="Q304" s="40"/>
      <c r="R304" s="40"/>
      <c r="S304" s="40"/>
      <c r="T304" s="40"/>
    </row>
    <row r="305" spans="1:20" ht="15.75">
      <c r="A305" s="13">
        <v>50436</v>
      </c>
      <c r="B305" s="48">
        <v>31</v>
      </c>
      <c r="C305" s="39">
        <v>122.58</v>
      </c>
      <c r="D305" s="39">
        <v>297.94099999999997</v>
      </c>
      <c r="E305" s="45">
        <v>729.47900000000004</v>
      </c>
      <c r="F305" s="39">
        <v>1150</v>
      </c>
      <c r="G305" s="39">
        <v>100</v>
      </c>
      <c r="H305" s="47">
        <v>600</v>
      </c>
      <c r="I305" s="39">
        <v>695</v>
      </c>
      <c r="J305" s="39">
        <v>50</v>
      </c>
      <c r="K305" s="40"/>
      <c r="L305" s="40"/>
      <c r="M305" s="40"/>
      <c r="N305" s="40"/>
      <c r="O305" s="40"/>
      <c r="P305" s="40"/>
      <c r="Q305" s="40"/>
      <c r="R305" s="40"/>
      <c r="S305" s="40"/>
      <c r="T305" s="40"/>
    </row>
    <row r="306" spans="1:20" ht="15.75">
      <c r="A306" s="13">
        <v>50464</v>
      </c>
      <c r="B306" s="48">
        <v>28</v>
      </c>
      <c r="C306" s="39">
        <v>122.58</v>
      </c>
      <c r="D306" s="39">
        <v>297.94099999999997</v>
      </c>
      <c r="E306" s="45">
        <v>729.47900000000004</v>
      </c>
      <c r="F306" s="39">
        <v>1150</v>
      </c>
      <c r="G306" s="39">
        <v>100</v>
      </c>
      <c r="H306" s="47">
        <v>600</v>
      </c>
      <c r="I306" s="39">
        <v>695</v>
      </c>
      <c r="J306" s="39">
        <v>50</v>
      </c>
      <c r="K306" s="40"/>
      <c r="L306" s="40"/>
      <c r="M306" s="40"/>
      <c r="N306" s="40"/>
      <c r="O306" s="40"/>
      <c r="P306" s="40"/>
      <c r="Q306" s="40"/>
      <c r="R306" s="40"/>
      <c r="S306" s="40"/>
      <c r="T306" s="40"/>
    </row>
    <row r="307" spans="1:20" ht="15.75">
      <c r="A307" s="13">
        <v>50495</v>
      </c>
      <c r="B307" s="48">
        <v>31</v>
      </c>
      <c r="C307" s="39">
        <v>122.58</v>
      </c>
      <c r="D307" s="39">
        <v>297.94099999999997</v>
      </c>
      <c r="E307" s="45">
        <v>729.47900000000004</v>
      </c>
      <c r="F307" s="39">
        <v>1150</v>
      </c>
      <c r="G307" s="39">
        <v>100</v>
      </c>
      <c r="H307" s="47">
        <v>600</v>
      </c>
      <c r="I307" s="39">
        <v>695</v>
      </c>
      <c r="J307" s="39">
        <v>50</v>
      </c>
      <c r="K307" s="40"/>
      <c r="L307" s="40"/>
      <c r="M307" s="40"/>
      <c r="N307" s="40"/>
      <c r="O307" s="40"/>
      <c r="P307" s="40"/>
      <c r="Q307" s="40"/>
      <c r="R307" s="40"/>
      <c r="S307" s="40"/>
      <c r="T307" s="40"/>
    </row>
    <row r="308" spans="1:20" ht="15.75">
      <c r="A308" s="13">
        <v>50525</v>
      </c>
      <c r="B308" s="48">
        <v>30</v>
      </c>
      <c r="C308" s="39">
        <v>141.29300000000001</v>
      </c>
      <c r="D308" s="39">
        <v>267.99299999999999</v>
      </c>
      <c r="E308" s="45">
        <v>829.71400000000006</v>
      </c>
      <c r="F308" s="39">
        <v>1239</v>
      </c>
      <c r="G308" s="39">
        <v>100</v>
      </c>
      <c r="H308" s="47">
        <v>600</v>
      </c>
      <c r="I308" s="39">
        <v>695</v>
      </c>
      <c r="J308" s="39">
        <v>50</v>
      </c>
      <c r="K308" s="40"/>
      <c r="L308" s="40"/>
      <c r="M308" s="40"/>
      <c r="N308" s="40"/>
      <c r="O308" s="40"/>
      <c r="P308" s="40"/>
      <c r="Q308" s="40"/>
      <c r="R308" s="40"/>
      <c r="S308" s="40"/>
      <c r="T308" s="40"/>
    </row>
    <row r="309" spans="1:20" ht="15.75">
      <c r="A309" s="13">
        <v>50556</v>
      </c>
      <c r="B309" s="48">
        <v>31</v>
      </c>
      <c r="C309" s="39">
        <v>194.20500000000001</v>
      </c>
      <c r="D309" s="39">
        <v>267.46600000000001</v>
      </c>
      <c r="E309" s="45">
        <v>812.32899999999995</v>
      </c>
      <c r="F309" s="39">
        <v>1274</v>
      </c>
      <c r="G309" s="39">
        <v>75</v>
      </c>
      <c r="H309" s="47">
        <v>600</v>
      </c>
      <c r="I309" s="39">
        <v>695</v>
      </c>
      <c r="J309" s="39">
        <v>50</v>
      </c>
      <c r="K309" s="40"/>
      <c r="L309" s="40"/>
      <c r="M309" s="40"/>
      <c r="N309" s="40"/>
      <c r="O309" s="40"/>
      <c r="P309" s="40"/>
      <c r="Q309" s="40"/>
      <c r="R309" s="40"/>
      <c r="S309" s="40"/>
      <c r="T309" s="40"/>
    </row>
    <row r="310" spans="1:20" ht="15.75">
      <c r="A310" s="13">
        <v>50586</v>
      </c>
      <c r="B310" s="48">
        <v>30</v>
      </c>
      <c r="C310" s="39">
        <v>194.20500000000001</v>
      </c>
      <c r="D310" s="39">
        <v>267.46600000000001</v>
      </c>
      <c r="E310" s="45">
        <v>812.32899999999995</v>
      </c>
      <c r="F310" s="39">
        <v>1274</v>
      </c>
      <c r="G310" s="39">
        <v>50</v>
      </c>
      <c r="H310" s="47">
        <v>600</v>
      </c>
      <c r="I310" s="39">
        <v>695</v>
      </c>
      <c r="J310" s="39">
        <v>50</v>
      </c>
      <c r="K310" s="40"/>
      <c r="L310" s="40"/>
      <c r="M310" s="40"/>
      <c r="N310" s="40"/>
      <c r="O310" s="40"/>
      <c r="P310" s="40"/>
      <c r="Q310" s="40"/>
      <c r="R310" s="40"/>
      <c r="S310" s="40"/>
      <c r="T310" s="40"/>
    </row>
    <row r="311" spans="1:20" ht="15.75">
      <c r="A311" s="13">
        <v>50617</v>
      </c>
      <c r="B311" s="48">
        <v>31</v>
      </c>
      <c r="C311" s="39">
        <v>194.20500000000001</v>
      </c>
      <c r="D311" s="39">
        <v>267.46600000000001</v>
      </c>
      <c r="E311" s="45">
        <v>812.32899999999995</v>
      </c>
      <c r="F311" s="39">
        <v>1274</v>
      </c>
      <c r="G311" s="39">
        <v>50</v>
      </c>
      <c r="H311" s="47">
        <v>600</v>
      </c>
      <c r="I311" s="39">
        <v>695</v>
      </c>
      <c r="J311" s="39">
        <v>0</v>
      </c>
      <c r="K311" s="40"/>
      <c r="L311" s="40"/>
      <c r="M311" s="40"/>
      <c r="N311" s="40"/>
      <c r="O311" s="40"/>
      <c r="P311" s="40"/>
      <c r="Q311" s="40"/>
      <c r="R311" s="40"/>
      <c r="S311" s="40"/>
      <c r="T311" s="40"/>
    </row>
    <row r="312" spans="1:20" ht="15.75">
      <c r="A312" s="13">
        <v>50648</v>
      </c>
      <c r="B312" s="48">
        <v>31</v>
      </c>
      <c r="C312" s="39">
        <v>194.20500000000001</v>
      </c>
      <c r="D312" s="39">
        <v>267.46600000000001</v>
      </c>
      <c r="E312" s="45">
        <v>812.32899999999995</v>
      </c>
      <c r="F312" s="39">
        <v>1274</v>
      </c>
      <c r="G312" s="39">
        <v>50</v>
      </c>
      <c r="H312" s="47">
        <v>600</v>
      </c>
      <c r="I312" s="39">
        <v>695</v>
      </c>
      <c r="J312" s="39">
        <v>0</v>
      </c>
      <c r="K312" s="40"/>
      <c r="L312" s="40"/>
      <c r="M312" s="40"/>
      <c r="N312" s="40"/>
      <c r="O312" s="40"/>
      <c r="P312" s="40"/>
      <c r="Q312" s="40"/>
      <c r="R312" s="40"/>
      <c r="S312" s="40"/>
      <c r="T312" s="40"/>
    </row>
    <row r="313" spans="1:20" ht="15.75">
      <c r="A313" s="13">
        <v>50678</v>
      </c>
      <c r="B313" s="48">
        <v>30</v>
      </c>
      <c r="C313" s="39">
        <v>194.20500000000001</v>
      </c>
      <c r="D313" s="39">
        <v>267.46600000000001</v>
      </c>
      <c r="E313" s="45">
        <v>812.32899999999995</v>
      </c>
      <c r="F313" s="39">
        <v>1274</v>
      </c>
      <c r="G313" s="39">
        <v>50</v>
      </c>
      <c r="H313" s="47">
        <v>600</v>
      </c>
      <c r="I313" s="39">
        <v>695</v>
      </c>
      <c r="J313" s="39">
        <v>0</v>
      </c>
      <c r="K313" s="40"/>
      <c r="L313" s="40"/>
      <c r="M313" s="40"/>
      <c r="N313" s="40"/>
      <c r="O313" s="40"/>
      <c r="P313" s="40"/>
      <c r="Q313" s="40"/>
      <c r="R313" s="40"/>
      <c r="S313" s="40"/>
      <c r="T313" s="40"/>
    </row>
    <row r="314" spans="1:20" ht="15.75">
      <c r="A314" s="13">
        <v>50709</v>
      </c>
      <c r="B314" s="48">
        <v>31</v>
      </c>
      <c r="C314" s="39">
        <v>131.881</v>
      </c>
      <c r="D314" s="39">
        <v>277.16699999999997</v>
      </c>
      <c r="E314" s="45">
        <v>829.952</v>
      </c>
      <c r="F314" s="39">
        <v>1239</v>
      </c>
      <c r="G314" s="39">
        <v>75</v>
      </c>
      <c r="H314" s="47">
        <v>600</v>
      </c>
      <c r="I314" s="39">
        <v>695</v>
      </c>
      <c r="J314" s="39">
        <v>0</v>
      </c>
      <c r="K314" s="40"/>
      <c r="L314" s="40"/>
      <c r="M314" s="40"/>
      <c r="N314" s="40"/>
      <c r="O314" s="40"/>
      <c r="P314" s="40"/>
      <c r="Q314" s="40"/>
      <c r="R314" s="40"/>
      <c r="S314" s="40"/>
      <c r="T314" s="40"/>
    </row>
    <row r="315" spans="1:20" ht="15.75">
      <c r="A315" s="13">
        <v>50739</v>
      </c>
      <c r="B315" s="48">
        <v>30</v>
      </c>
      <c r="C315" s="39">
        <v>122.58</v>
      </c>
      <c r="D315" s="39">
        <v>297.94099999999997</v>
      </c>
      <c r="E315" s="45">
        <v>729.47900000000004</v>
      </c>
      <c r="F315" s="39">
        <v>1150</v>
      </c>
      <c r="G315" s="39">
        <v>100</v>
      </c>
      <c r="H315" s="47">
        <v>600</v>
      </c>
      <c r="I315" s="39">
        <v>695</v>
      </c>
      <c r="J315" s="39">
        <v>50</v>
      </c>
      <c r="K315" s="40"/>
      <c r="L315" s="40"/>
      <c r="M315" s="40"/>
      <c r="N315" s="40"/>
      <c r="O315" s="40"/>
      <c r="P315" s="40"/>
      <c r="Q315" s="40"/>
      <c r="R315" s="40"/>
      <c r="S315" s="40"/>
      <c r="T315" s="40"/>
    </row>
    <row r="316" spans="1:20" ht="15.75">
      <c r="A316" s="13">
        <v>50770</v>
      </c>
      <c r="B316" s="48">
        <v>31</v>
      </c>
      <c r="C316" s="39">
        <v>122.58</v>
      </c>
      <c r="D316" s="39">
        <v>297.94099999999997</v>
      </c>
      <c r="E316" s="45">
        <v>729.47900000000004</v>
      </c>
      <c r="F316" s="39">
        <v>1150</v>
      </c>
      <c r="G316" s="39">
        <v>100</v>
      </c>
      <c r="H316" s="47">
        <v>600</v>
      </c>
      <c r="I316" s="39">
        <v>695</v>
      </c>
      <c r="J316" s="39">
        <v>50</v>
      </c>
      <c r="K316" s="40"/>
      <c r="L316" s="40"/>
      <c r="M316" s="40"/>
      <c r="N316" s="40"/>
      <c r="O316" s="40"/>
      <c r="P316" s="40"/>
      <c r="Q316" s="40"/>
      <c r="R316" s="40"/>
      <c r="S316" s="40"/>
      <c r="T316" s="40"/>
    </row>
    <row r="317" spans="1:20" ht="15.75">
      <c r="A317" s="13">
        <v>50801</v>
      </c>
      <c r="B317" s="48">
        <v>31</v>
      </c>
      <c r="C317" s="39">
        <v>122.58</v>
      </c>
      <c r="D317" s="39">
        <v>297.94099999999997</v>
      </c>
      <c r="E317" s="45">
        <v>729.47900000000004</v>
      </c>
      <c r="F317" s="39">
        <v>1150</v>
      </c>
      <c r="G317" s="39">
        <v>100</v>
      </c>
      <c r="H317" s="47">
        <v>600</v>
      </c>
      <c r="I317" s="39">
        <v>695</v>
      </c>
      <c r="J317" s="39">
        <v>50</v>
      </c>
      <c r="K317" s="40"/>
      <c r="L317" s="40"/>
      <c r="M317" s="40"/>
      <c r="N317" s="40"/>
      <c r="O317" s="40"/>
      <c r="P317" s="40"/>
      <c r="Q317" s="40"/>
      <c r="R317" s="40"/>
      <c r="S317" s="40"/>
      <c r="T317" s="40"/>
    </row>
    <row r="318" spans="1:20" ht="15.75">
      <c r="A318" s="13">
        <v>50829</v>
      </c>
      <c r="B318" s="48">
        <v>28</v>
      </c>
      <c r="C318" s="39">
        <v>122.58</v>
      </c>
      <c r="D318" s="39">
        <v>297.94099999999997</v>
      </c>
      <c r="E318" s="45">
        <v>729.47900000000004</v>
      </c>
      <c r="F318" s="39">
        <v>1150</v>
      </c>
      <c r="G318" s="39">
        <v>100</v>
      </c>
      <c r="H318" s="47">
        <v>600</v>
      </c>
      <c r="I318" s="39">
        <v>695</v>
      </c>
      <c r="J318" s="39">
        <v>50</v>
      </c>
      <c r="K318" s="40"/>
      <c r="L318" s="40"/>
      <c r="M318" s="40"/>
      <c r="N318" s="40"/>
      <c r="O318" s="40"/>
      <c r="P318" s="40"/>
      <c r="Q318" s="40"/>
      <c r="R318" s="40"/>
      <c r="S318" s="40"/>
      <c r="T318" s="40"/>
    </row>
    <row r="319" spans="1:20" ht="15.75">
      <c r="A319" s="13">
        <v>50860</v>
      </c>
      <c r="B319" s="48">
        <v>31</v>
      </c>
      <c r="C319" s="39">
        <v>122.58</v>
      </c>
      <c r="D319" s="39">
        <v>297.94099999999997</v>
      </c>
      <c r="E319" s="45">
        <v>729.47900000000004</v>
      </c>
      <c r="F319" s="39">
        <v>1150</v>
      </c>
      <c r="G319" s="39">
        <v>100</v>
      </c>
      <c r="H319" s="47">
        <v>600</v>
      </c>
      <c r="I319" s="39">
        <v>695</v>
      </c>
      <c r="J319" s="39">
        <v>50</v>
      </c>
      <c r="K319" s="40"/>
      <c r="L319" s="40"/>
      <c r="M319" s="40"/>
      <c r="N319" s="40"/>
      <c r="O319" s="40"/>
      <c r="P319" s="40"/>
      <c r="Q319" s="40"/>
      <c r="R319" s="40"/>
      <c r="S319" s="40"/>
      <c r="T319" s="40"/>
    </row>
    <row r="320" spans="1:20" ht="15.75">
      <c r="A320" s="13">
        <v>50890</v>
      </c>
      <c r="B320" s="48">
        <v>30</v>
      </c>
      <c r="C320" s="39">
        <v>141.29300000000001</v>
      </c>
      <c r="D320" s="39">
        <v>267.99299999999999</v>
      </c>
      <c r="E320" s="45">
        <v>829.71400000000006</v>
      </c>
      <c r="F320" s="39">
        <v>1239</v>
      </c>
      <c r="G320" s="39">
        <v>100</v>
      </c>
      <c r="H320" s="47">
        <v>600</v>
      </c>
      <c r="I320" s="39">
        <v>695</v>
      </c>
      <c r="J320" s="39">
        <v>50</v>
      </c>
      <c r="K320" s="40"/>
      <c r="L320" s="40"/>
      <c r="M320" s="40"/>
      <c r="N320" s="40"/>
      <c r="O320" s="40"/>
      <c r="P320" s="40"/>
      <c r="Q320" s="40"/>
      <c r="R320" s="40"/>
      <c r="S320" s="40"/>
      <c r="T320" s="40"/>
    </row>
    <row r="321" spans="1:20" ht="15.75">
      <c r="A321" s="13">
        <v>50921</v>
      </c>
      <c r="B321" s="48">
        <v>31</v>
      </c>
      <c r="C321" s="39">
        <v>194.20500000000001</v>
      </c>
      <c r="D321" s="39">
        <v>267.46600000000001</v>
      </c>
      <c r="E321" s="45">
        <v>812.32899999999995</v>
      </c>
      <c r="F321" s="39">
        <v>1274</v>
      </c>
      <c r="G321" s="39">
        <v>75</v>
      </c>
      <c r="H321" s="47">
        <v>600</v>
      </c>
      <c r="I321" s="39">
        <v>695</v>
      </c>
      <c r="J321" s="39">
        <v>50</v>
      </c>
      <c r="K321" s="40"/>
      <c r="L321" s="40"/>
      <c r="M321" s="40"/>
      <c r="N321" s="40"/>
      <c r="O321" s="40"/>
      <c r="P321" s="40"/>
      <c r="Q321" s="40"/>
      <c r="R321" s="40"/>
      <c r="S321" s="40"/>
      <c r="T321" s="40"/>
    </row>
    <row r="322" spans="1:20" ht="15.75">
      <c r="A322" s="13">
        <v>50951</v>
      </c>
      <c r="B322" s="48">
        <v>30</v>
      </c>
      <c r="C322" s="39">
        <v>194.20500000000001</v>
      </c>
      <c r="D322" s="39">
        <v>267.46600000000001</v>
      </c>
      <c r="E322" s="45">
        <v>812.32899999999995</v>
      </c>
      <c r="F322" s="39">
        <v>1274</v>
      </c>
      <c r="G322" s="39">
        <v>50</v>
      </c>
      <c r="H322" s="47">
        <v>600</v>
      </c>
      <c r="I322" s="39">
        <v>695</v>
      </c>
      <c r="J322" s="39">
        <v>50</v>
      </c>
      <c r="K322" s="40"/>
      <c r="L322" s="40"/>
      <c r="M322" s="40"/>
      <c r="N322" s="40"/>
      <c r="O322" s="40"/>
      <c r="P322" s="40"/>
      <c r="Q322" s="40"/>
      <c r="R322" s="40"/>
      <c r="S322" s="40"/>
      <c r="T322" s="40"/>
    </row>
    <row r="323" spans="1:20" ht="15.75">
      <c r="A323" s="13">
        <v>50982</v>
      </c>
      <c r="B323" s="48">
        <v>31</v>
      </c>
      <c r="C323" s="39">
        <v>194.20500000000001</v>
      </c>
      <c r="D323" s="39">
        <v>267.46600000000001</v>
      </c>
      <c r="E323" s="45">
        <v>812.32899999999995</v>
      </c>
      <c r="F323" s="39">
        <v>1274</v>
      </c>
      <c r="G323" s="39">
        <v>50</v>
      </c>
      <c r="H323" s="47">
        <v>600</v>
      </c>
      <c r="I323" s="39">
        <v>695</v>
      </c>
      <c r="J323" s="39">
        <v>0</v>
      </c>
      <c r="K323" s="40"/>
      <c r="L323" s="40"/>
      <c r="M323" s="40"/>
      <c r="N323" s="40"/>
      <c r="O323" s="40"/>
      <c r="P323" s="40"/>
      <c r="Q323" s="40"/>
      <c r="R323" s="40"/>
      <c r="S323" s="40"/>
      <c r="T323" s="40"/>
    </row>
    <row r="324" spans="1:20" ht="15.75">
      <c r="A324" s="13">
        <v>51013</v>
      </c>
      <c r="B324" s="48">
        <v>31</v>
      </c>
      <c r="C324" s="39">
        <v>194.20500000000001</v>
      </c>
      <c r="D324" s="39">
        <v>267.46600000000001</v>
      </c>
      <c r="E324" s="45">
        <v>812.32899999999995</v>
      </c>
      <c r="F324" s="39">
        <v>1274</v>
      </c>
      <c r="G324" s="39">
        <v>50</v>
      </c>
      <c r="H324" s="47">
        <v>600</v>
      </c>
      <c r="I324" s="39">
        <v>695</v>
      </c>
      <c r="J324" s="39">
        <v>0</v>
      </c>
      <c r="K324" s="40"/>
      <c r="L324" s="40"/>
      <c r="M324" s="40"/>
      <c r="N324" s="40"/>
      <c r="O324" s="40"/>
      <c r="P324" s="40"/>
      <c r="Q324" s="40"/>
      <c r="R324" s="40"/>
      <c r="S324" s="40"/>
      <c r="T324" s="40"/>
    </row>
    <row r="325" spans="1:20" ht="15.75">
      <c r="A325" s="13">
        <v>51043</v>
      </c>
      <c r="B325" s="48">
        <v>30</v>
      </c>
      <c r="C325" s="39">
        <v>194.20500000000001</v>
      </c>
      <c r="D325" s="39">
        <v>267.46600000000001</v>
      </c>
      <c r="E325" s="45">
        <v>812.32899999999995</v>
      </c>
      <c r="F325" s="39">
        <v>1274</v>
      </c>
      <c r="G325" s="39">
        <v>50</v>
      </c>
      <c r="H325" s="47">
        <v>600</v>
      </c>
      <c r="I325" s="39">
        <v>695</v>
      </c>
      <c r="J325" s="39">
        <v>0</v>
      </c>
      <c r="K325" s="40"/>
      <c r="L325" s="40"/>
      <c r="M325" s="40"/>
      <c r="N325" s="40"/>
      <c r="O325" s="40"/>
      <c r="P325" s="40"/>
      <c r="Q325" s="40"/>
      <c r="R325" s="40"/>
      <c r="S325" s="40"/>
      <c r="T325" s="40"/>
    </row>
    <row r="326" spans="1:20" ht="15.75">
      <c r="A326" s="13">
        <v>51074</v>
      </c>
      <c r="B326" s="48">
        <v>31</v>
      </c>
      <c r="C326" s="39">
        <v>131.881</v>
      </c>
      <c r="D326" s="39">
        <v>277.16699999999997</v>
      </c>
      <c r="E326" s="45">
        <v>829.952</v>
      </c>
      <c r="F326" s="39">
        <v>1239</v>
      </c>
      <c r="G326" s="39">
        <v>75</v>
      </c>
      <c r="H326" s="47">
        <v>600</v>
      </c>
      <c r="I326" s="39">
        <v>695</v>
      </c>
      <c r="J326" s="39">
        <v>0</v>
      </c>
      <c r="K326" s="40"/>
      <c r="L326" s="40"/>
      <c r="M326" s="40"/>
      <c r="N326" s="40"/>
      <c r="O326" s="40"/>
      <c r="P326" s="40"/>
      <c r="Q326" s="40"/>
      <c r="R326" s="40"/>
      <c r="S326" s="40"/>
      <c r="T326" s="40"/>
    </row>
    <row r="327" spans="1:20" ht="15.75">
      <c r="A327" s="13">
        <v>51104</v>
      </c>
      <c r="B327" s="48">
        <v>30</v>
      </c>
      <c r="C327" s="39">
        <v>122.58</v>
      </c>
      <c r="D327" s="39">
        <v>297.94099999999997</v>
      </c>
      <c r="E327" s="45">
        <v>729.47900000000004</v>
      </c>
      <c r="F327" s="39">
        <v>1150</v>
      </c>
      <c r="G327" s="39">
        <v>100</v>
      </c>
      <c r="H327" s="47">
        <v>600</v>
      </c>
      <c r="I327" s="39">
        <v>695</v>
      </c>
      <c r="J327" s="39">
        <v>50</v>
      </c>
      <c r="K327" s="40"/>
      <c r="L327" s="40"/>
      <c r="M327" s="40"/>
      <c r="N327" s="40"/>
      <c r="O327" s="40"/>
      <c r="P327" s="40"/>
      <c r="Q327" s="40"/>
      <c r="R327" s="40"/>
      <c r="S327" s="40"/>
      <c r="T327" s="40"/>
    </row>
    <row r="328" spans="1:20" ht="15.75">
      <c r="A328" s="13">
        <v>51135</v>
      </c>
      <c r="B328" s="48">
        <v>31</v>
      </c>
      <c r="C328" s="39">
        <v>122.58</v>
      </c>
      <c r="D328" s="39">
        <v>297.94099999999997</v>
      </c>
      <c r="E328" s="45">
        <v>729.47900000000004</v>
      </c>
      <c r="F328" s="39">
        <v>1150</v>
      </c>
      <c r="G328" s="39">
        <v>100</v>
      </c>
      <c r="H328" s="47">
        <v>600</v>
      </c>
      <c r="I328" s="39">
        <v>695</v>
      </c>
      <c r="J328" s="39">
        <v>50</v>
      </c>
      <c r="K328" s="40"/>
      <c r="L328" s="40"/>
      <c r="M328" s="40"/>
      <c r="N328" s="40"/>
      <c r="O328" s="40"/>
      <c r="P328" s="40"/>
      <c r="Q328" s="40"/>
      <c r="R328" s="40"/>
      <c r="S328" s="40"/>
      <c r="T328" s="40"/>
    </row>
    <row r="329" spans="1:20" ht="15.75">
      <c r="A329" s="13">
        <v>51166</v>
      </c>
      <c r="B329" s="48">
        <v>31</v>
      </c>
      <c r="C329" s="39">
        <v>122.58</v>
      </c>
      <c r="D329" s="39">
        <v>297.94099999999997</v>
      </c>
      <c r="E329" s="45">
        <v>729.47900000000004</v>
      </c>
      <c r="F329" s="39">
        <v>1150</v>
      </c>
      <c r="G329" s="39">
        <v>100</v>
      </c>
      <c r="H329" s="47">
        <v>600</v>
      </c>
      <c r="I329" s="39">
        <v>695</v>
      </c>
      <c r="J329" s="39">
        <v>50</v>
      </c>
      <c r="K329" s="40"/>
      <c r="L329" s="40"/>
      <c r="M329" s="40"/>
      <c r="N329" s="40"/>
      <c r="O329" s="40"/>
      <c r="P329" s="40"/>
      <c r="Q329" s="40"/>
      <c r="R329" s="40"/>
      <c r="S329" s="40"/>
      <c r="T329" s="40"/>
    </row>
    <row r="330" spans="1:20" ht="15.75">
      <c r="A330" s="13">
        <v>51194</v>
      </c>
      <c r="B330" s="48">
        <v>29</v>
      </c>
      <c r="C330" s="39">
        <v>122.58</v>
      </c>
      <c r="D330" s="39">
        <v>297.94099999999997</v>
      </c>
      <c r="E330" s="45">
        <v>729.47900000000004</v>
      </c>
      <c r="F330" s="39">
        <v>1150</v>
      </c>
      <c r="G330" s="39">
        <v>100</v>
      </c>
      <c r="H330" s="47">
        <v>600</v>
      </c>
      <c r="I330" s="39">
        <v>695</v>
      </c>
      <c r="J330" s="39">
        <v>50</v>
      </c>
      <c r="K330" s="40"/>
      <c r="L330" s="40"/>
      <c r="M330" s="40"/>
      <c r="N330" s="40"/>
      <c r="O330" s="40"/>
      <c r="P330" s="40"/>
      <c r="Q330" s="40"/>
      <c r="R330" s="40"/>
      <c r="S330" s="40"/>
      <c r="T330" s="40"/>
    </row>
    <row r="331" spans="1:20" ht="15.75">
      <c r="A331" s="13">
        <v>51226</v>
      </c>
      <c r="B331" s="48">
        <v>31</v>
      </c>
      <c r="C331" s="39">
        <v>122.58</v>
      </c>
      <c r="D331" s="39">
        <v>297.94099999999997</v>
      </c>
      <c r="E331" s="45">
        <v>729.47900000000004</v>
      </c>
      <c r="F331" s="39">
        <v>1150</v>
      </c>
      <c r="G331" s="39">
        <v>100</v>
      </c>
      <c r="H331" s="47">
        <v>600</v>
      </c>
      <c r="I331" s="39">
        <v>695</v>
      </c>
      <c r="J331" s="39">
        <v>50</v>
      </c>
      <c r="K331" s="40"/>
      <c r="L331" s="40"/>
      <c r="M331" s="40"/>
      <c r="N331" s="40"/>
      <c r="O331" s="40"/>
      <c r="P331" s="40"/>
      <c r="Q331" s="40"/>
      <c r="R331" s="40"/>
      <c r="S331" s="40"/>
      <c r="T331" s="40"/>
    </row>
    <row r="332" spans="1:20" ht="15.75">
      <c r="A332" s="13">
        <v>51256</v>
      </c>
      <c r="B332" s="48">
        <v>30</v>
      </c>
      <c r="C332" s="39">
        <v>141.29300000000001</v>
      </c>
      <c r="D332" s="39">
        <v>267.99299999999999</v>
      </c>
      <c r="E332" s="45">
        <v>829.71400000000006</v>
      </c>
      <c r="F332" s="39">
        <v>1239</v>
      </c>
      <c r="G332" s="39">
        <v>100</v>
      </c>
      <c r="H332" s="47">
        <v>600</v>
      </c>
      <c r="I332" s="39">
        <v>695</v>
      </c>
      <c r="J332" s="39">
        <v>50</v>
      </c>
      <c r="K332" s="40"/>
      <c r="L332" s="40"/>
      <c r="M332" s="40"/>
      <c r="N332" s="40"/>
      <c r="O332" s="40"/>
      <c r="P332" s="40"/>
      <c r="Q332" s="40"/>
      <c r="R332" s="40"/>
      <c r="S332" s="40"/>
      <c r="T332" s="40"/>
    </row>
    <row r="333" spans="1:20" ht="15.75">
      <c r="A333" s="13">
        <v>51287</v>
      </c>
      <c r="B333" s="48">
        <v>31</v>
      </c>
      <c r="C333" s="39">
        <v>194.20500000000001</v>
      </c>
      <c r="D333" s="39">
        <v>267.46600000000001</v>
      </c>
      <c r="E333" s="45">
        <v>812.32899999999995</v>
      </c>
      <c r="F333" s="39">
        <v>1274</v>
      </c>
      <c r="G333" s="39">
        <v>75</v>
      </c>
      <c r="H333" s="47">
        <v>600</v>
      </c>
      <c r="I333" s="39">
        <v>695</v>
      </c>
      <c r="J333" s="39">
        <v>50</v>
      </c>
      <c r="K333" s="40"/>
      <c r="L333" s="40"/>
      <c r="M333" s="40"/>
      <c r="N333" s="40"/>
      <c r="O333" s="40"/>
      <c r="P333" s="40"/>
      <c r="Q333" s="40"/>
      <c r="R333" s="40"/>
      <c r="S333" s="40"/>
      <c r="T333" s="40"/>
    </row>
    <row r="334" spans="1:20" ht="15.75">
      <c r="A334" s="13">
        <v>51317</v>
      </c>
      <c r="B334" s="48">
        <v>30</v>
      </c>
      <c r="C334" s="39">
        <v>194.20500000000001</v>
      </c>
      <c r="D334" s="39">
        <v>267.46600000000001</v>
      </c>
      <c r="E334" s="45">
        <v>812.32899999999995</v>
      </c>
      <c r="F334" s="39">
        <v>1274</v>
      </c>
      <c r="G334" s="39">
        <v>50</v>
      </c>
      <c r="H334" s="47">
        <v>600</v>
      </c>
      <c r="I334" s="39">
        <v>695</v>
      </c>
      <c r="J334" s="39">
        <v>50</v>
      </c>
      <c r="K334" s="40"/>
      <c r="L334" s="40"/>
      <c r="M334" s="40"/>
      <c r="N334" s="40"/>
      <c r="O334" s="40"/>
      <c r="P334" s="40"/>
      <c r="Q334" s="40"/>
      <c r="R334" s="40"/>
      <c r="S334" s="40"/>
      <c r="T334" s="40"/>
    </row>
    <row r="335" spans="1:20" ht="15.75">
      <c r="A335" s="13">
        <v>51348</v>
      </c>
      <c r="B335" s="48">
        <v>31</v>
      </c>
      <c r="C335" s="39">
        <v>194.20500000000001</v>
      </c>
      <c r="D335" s="39">
        <v>267.46600000000001</v>
      </c>
      <c r="E335" s="45">
        <v>812.32899999999995</v>
      </c>
      <c r="F335" s="39">
        <v>1274</v>
      </c>
      <c r="G335" s="39">
        <v>50</v>
      </c>
      <c r="H335" s="47">
        <v>600</v>
      </c>
      <c r="I335" s="39">
        <v>695</v>
      </c>
      <c r="J335" s="39">
        <v>0</v>
      </c>
      <c r="K335" s="40"/>
      <c r="L335" s="40"/>
      <c r="M335" s="40"/>
      <c r="N335" s="40"/>
      <c r="O335" s="40"/>
      <c r="P335" s="40"/>
      <c r="Q335" s="40"/>
      <c r="R335" s="40"/>
      <c r="S335" s="40"/>
      <c r="T335" s="40"/>
    </row>
    <row r="336" spans="1:20" ht="15.75">
      <c r="A336" s="13">
        <v>51379</v>
      </c>
      <c r="B336" s="48">
        <v>31</v>
      </c>
      <c r="C336" s="39">
        <v>194.20500000000001</v>
      </c>
      <c r="D336" s="39">
        <v>267.46600000000001</v>
      </c>
      <c r="E336" s="45">
        <v>812.32899999999995</v>
      </c>
      <c r="F336" s="39">
        <v>1274</v>
      </c>
      <c r="G336" s="39">
        <v>50</v>
      </c>
      <c r="H336" s="47">
        <v>600</v>
      </c>
      <c r="I336" s="39">
        <v>695</v>
      </c>
      <c r="J336" s="39">
        <v>0</v>
      </c>
      <c r="K336" s="40"/>
      <c r="L336" s="40"/>
      <c r="M336" s="40"/>
      <c r="N336" s="40"/>
      <c r="O336" s="40"/>
      <c r="P336" s="40"/>
      <c r="Q336" s="40"/>
      <c r="R336" s="40"/>
      <c r="S336" s="40"/>
      <c r="T336" s="40"/>
    </row>
    <row r="337" spans="1:20" ht="15.75">
      <c r="A337" s="13">
        <v>51409</v>
      </c>
      <c r="B337" s="48">
        <v>30</v>
      </c>
      <c r="C337" s="39">
        <v>194.20500000000001</v>
      </c>
      <c r="D337" s="39">
        <v>267.46600000000001</v>
      </c>
      <c r="E337" s="45">
        <v>812.32899999999995</v>
      </c>
      <c r="F337" s="39">
        <v>1274</v>
      </c>
      <c r="G337" s="39">
        <v>50</v>
      </c>
      <c r="H337" s="47">
        <v>600</v>
      </c>
      <c r="I337" s="39">
        <v>695</v>
      </c>
      <c r="J337" s="39">
        <v>0</v>
      </c>
      <c r="K337" s="40"/>
      <c r="L337" s="40"/>
      <c r="M337" s="40"/>
      <c r="N337" s="40"/>
      <c r="O337" s="40"/>
      <c r="P337" s="40"/>
      <c r="Q337" s="40"/>
      <c r="R337" s="40"/>
      <c r="S337" s="40"/>
      <c r="T337" s="40"/>
    </row>
    <row r="338" spans="1:20" ht="15.75">
      <c r="A338" s="13">
        <v>51440</v>
      </c>
      <c r="B338" s="48">
        <v>31</v>
      </c>
      <c r="C338" s="39">
        <v>131.881</v>
      </c>
      <c r="D338" s="39">
        <v>277.16699999999997</v>
      </c>
      <c r="E338" s="45">
        <v>829.952</v>
      </c>
      <c r="F338" s="39">
        <v>1239</v>
      </c>
      <c r="G338" s="39">
        <v>75</v>
      </c>
      <c r="H338" s="47">
        <v>600</v>
      </c>
      <c r="I338" s="39">
        <v>695</v>
      </c>
      <c r="J338" s="39">
        <v>0</v>
      </c>
      <c r="K338" s="40"/>
      <c r="L338" s="40"/>
      <c r="M338" s="40"/>
      <c r="N338" s="40"/>
      <c r="O338" s="40"/>
      <c r="P338" s="40"/>
      <c r="Q338" s="40"/>
      <c r="R338" s="40"/>
      <c r="S338" s="40"/>
      <c r="T338" s="40"/>
    </row>
    <row r="339" spans="1:20" ht="15.75">
      <c r="A339" s="13">
        <v>51470</v>
      </c>
      <c r="B339" s="48">
        <v>30</v>
      </c>
      <c r="C339" s="39">
        <v>122.58</v>
      </c>
      <c r="D339" s="39">
        <v>297.94099999999997</v>
      </c>
      <c r="E339" s="45">
        <v>729.47900000000004</v>
      </c>
      <c r="F339" s="39">
        <v>1150</v>
      </c>
      <c r="G339" s="39">
        <v>100</v>
      </c>
      <c r="H339" s="47">
        <v>600</v>
      </c>
      <c r="I339" s="39">
        <v>695</v>
      </c>
      <c r="J339" s="39">
        <v>50</v>
      </c>
      <c r="K339" s="40"/>
      <c r="L339" s="40"/>
      <c r="M339" s="40"/>
      <c r="N339" s="40"/>
      <c r="O339" s="40"/>
      <c r="P339" s="40"/>
      <c r="Q339" s="40"/>
      <c r="R339" s="40"/>
      <c r="S339" s="40"/>
      <c r="T339" s="40"/>
    </row>
    <row r="340" spans="1:20" ht="15.75">
      <c r="A340" s="13">
        <v>51501</v>
      </c>
      <c r="B340" s="48">
        <v>31</v>
      </c>
      <c r="C340" s="39">
        <v>122.58</v>
      </c>
      <c r="D340" s="39">
        <v>297.94099999999997</v>
      </c>
      <c r="E340" s="45">
        <v>729.47900000000004</v>
      </c>
      <c r="F340" s="39">
        <v>1150</v>
      </c>
      <c r="G340" s="39">
        <v>100</v>
      </c>
      <c r="H340" s="47">
        <v>600</v>
      </c>
      <c r="I340" s="39">
        <v>695</v>
      </c>
      <c r="J340" s="39">
        <v>50</v>
      </c>
      <c r="K340" s="40"/>
      <c r="L340" s="40"/>
      <c r="M340" s="40"/>
      <c r="N340" s="40"/>
      <c r="O340" s="40"/>
      <c r="P340" s="40"/>
      <c r="Q340" s="40"/>
      <c r="R340" s="40"/>
      <c r="S340" s="40"/>
      <c r="T340" s="40"/>
    </row>
    <row r="341" spans="1:20" ht="15.75">
      <c r="A341" s="13">
        <v>51532</v>
      </c>
      <c r="B341" s="48">
        <v>31</v>
      </c>
      <c r="C341" s="39">
        <v>122.58</v>
      </c>
      <c r="D341" s="39">
        <v>297.94099999999997</v>
      </c>
      <c r="E341" s="45">
        <v>729.47900000000004</v>
      </c>
      <c r="F341" s="39">
        <v>1150</v>
      </c>
      <c r="G341" s="39">
        <v>100</v>
      </c>
      <c r="H341" s="47">
        <v>600</v>
      </c>
      <c r="I341" s="39">
        <v>695</v>
      </c>
      <c r="J341" s="39">
        <v>50</v>
      </c>
      <c r="K341" s="40"/>
      <c r="L341" s="40"/>
      <c r="M341" s="40"/>
      <c r="N341" s="40"/>
      <c r="O341" s="40"/>
      <c r="P341" s="40"/>
      <c r="Q341" s="40"/>
      <c r="R341" s="40"/>
      <c r="S341" s="40"/>
      <c r="T341" s="40"/>
    </row>
    <row r="342" spans="1:20" ht="15.75">
      <c r="A342" s="13">
        <v>51560</v>
      </c>
      <c r="B342" s="48">
        <v>28</v>
      </c>
      <c r="C342" s="39">
        <v>122.58</v>
      </c>
      <c r="D342" s="39">
        <v>297.94099999999997</v>
      </c>
      <c r="E342" s="45">
        <v>729.47900000000004</v>
      </c>
      <c r="F342" s="39">
        <v>1150</v>
      </c>
      <c r="G342" s="39">
        <v>100</v>
      </c>
      <c r="H342" s="47">
        <v>600</v>
      </c>
      <c r="I342" s="39">
        <v>695</v>
      </c>
      <c r="J342" s="39">
        <v>50</v>
      </c>
      <c r="K342" s="40"/>
      <c r="L342" s="40"/>
      <c r="M342" s="40"/>
      <c r="N342" s="40"/>
      <c r="O342" s="40"/>
      <c r="P342" s="40"/>
      <c r="Q342" s="40"/>
      <c r="R342" s="40"/>
      <c r="S342" s="40"/>
      <c r="T342" s="40"/>
    </row>
    <row r="343" spans="1:20" ht="15.75">
      <c r="A343" s="13">
        <v>51591</v>
      </c>
      <c r="B343" s="48">
        <v>31</v>
      </c>
      <c r="C343" s="39">
        <v>122.58</v>
      </c>
      <c r="D343" s="39">
        <v>297.94099999999997</v>
      </c>
      <c r="E343" s="45">
        <v>729.47900000000004</v>
      </c>
      <c r="F343" s="39">
        <v>1150</v>
      </c>
      <c r="G343" s="39">
        <v>100</v>
      </c>
      <c r="H343" s="47">
        <v>600</v>
      </c>
      <c r="I343" s="39">
        <v>695</v>
      </c>
      <c r="J343" s="39">
        <v>50</v>
      </c>
      <c r="K343" s="40"/>
      <c r="L343" s="40"/>
      <c r="M343" s="40"/>
      <c r="N343" s="40"/>
      <c r="O343" s="40"/>
      <c r="P343" s="40"/>
      <c r="Q343" s="40"/>
      <c r="R343" s="40"/>
      <c r="S343" s="40"/>
      <c r="T343" s="40"/>
    </row>
    <row r="344" spans="1:20" ht="15.75">
      <c r="A344" s="13">
        <v>51621</v>
      </c>
      <c r="B344" s="48">
        <v>30</v>
      </c>
      <c r="C344" s="39">
        <v>141.29300000000001</v>
      </c>
      <c r="D344" s="39">
        <v>267.99299999999999</v>
      </c>
      <c r="E344" s="45">
        <v>829.71400000000006</v>
      </c>
      <c r="F344" s="39">
        <v>1239</v>
      </c>
      <c r="G344" s="39">
        <v>100</v>
      </c>
      <c r="H344" s="47">
        <v>600</v>
      </c>
      <c r="I344" s="39">
        <v>695</v>
      </c>
      <c r="J344" s="39">
        <v>50</v>
      </c>
      <c r="K344" s="40"/>
      <c r="L344" s="40"/>
      <c r="M344" s="40"/>
      <c r="N344" s="40"/>
      <c r="O344" s="40"/>
      <c r="P344" s="40"/>
      <c r="Q344" s="40"/>
      <c r="R344" s="40"/>
      <c r="S344" s="40"/>
      <c r="T344" s="40"/>
    </row>
    <row r="345" spans="1:20" ht="15.75">
      <c r="A345" s="13">
        <v>51652</v>
      </c>
      <c r="B345" s="48">
        <v>31</v>
      </c>
      <c r="C345" s="39">
        <v>194.20500000000001</v>
      </c>
      <c r="D345" s="39">
        <v>267.46600000000001</v>
      </c>
      <c r="E345" s="45">
        <v>812.32899999999995</v>
      </c>
      <c r="F345" s="39">
        <v>1274</v>
      </c>
      <c r="G345" s="39">
        <v>75</v>
      </c>
      <c r="H345" s="47">
        <v>600</v>
      </c>
      <c r="I345" s="39">
        <v>695</v>
      </c>
      <c r="J345" s="39">
        <v>50</v>
      </c>
      <c r="K345" s="40"/>
      <c r="L345" s="40"/>
      <c r="M345" s="40"/>
      <c r="N345" s="40"/>
      <c r="O345" s="40"/>
      <c r="P345" s="40"/>
      <c r="Q345" s="40"/>
      <c r="R345" s="40"/>
      <c r="S345" s="40"/>
      <c r="T345" s="40"/>
    </row>
    <row r="346" spans="1:20" ht="15.75">
      <c r="A346" s="13">
        <v>51682</v>
      </c>
      <c r="B346" s="48">
        <v>30</v>
      </c>
      <c r="C346" s="39">
        <v>194.20500000000001</v>
      </c>
      <c r="D346" s="39">
        <v>267.46600000000001</v>
      </c>
      <c r="E346" s="45">
        <v>812.32899999999995</v>
      </c>
      <c r="F346" s="39">
        <v>1274</v>
      </c>
      <c r="G346" s="39">
        <v>50</v>
      </c>
      <c r="H346" s="47">
        <v>600</v>
      </c>
      <c r="I346" s="39">
        <v>695</v>
      </c>
      <c r="J346" s="39">
        <v>50</v>
      </c>
      <c r="K346" s="40"/>
      <c r="L346" s="40"/>
      <c r="M346" s="40"/>
      <c r="N346" s="40"/>
      <c r="O346" s="40"/>
      <c r="P346" s="40"/>
      <c r="Q346" s="40"/>
      <c r="R346" s="40"/>
      <c r="S346" s="40"/>
      <c r="T346" s="40"/>
    </row>
    <row r="347" spans="1:20" ht="15.75">
      <c r="A347" s="13">
        <v>51713</v>
      </c>
      <c r="B347" s="48">
        <v>31</v>
      </c>
      <c r="C347" s="39">
        <v>194.20500000000001</v>
      </c>
      <c r="D347" s="39">
        <v>267.46600000000001</v>
      </c>
      <c r="E347" s="45">
        <v>812.32899999999995</v>
      </c>
      <c r="F347" s="39">
        <v>1274</v>
      </c>
      <c r="G347" s="39">
        <v>50</v>
      </c>
      <c r="H347" s="47">
        <v>600</v>
      </c>
      <c r="I347" s="39">
        <v>695</v>
      </c>
      <c r="J347" s="39">
        <v>0</v>
      </c>
      <c r="K347" s="40"/>
      <c r="L347" s="40"/>
      <c r="M347" s="40"/>
      <c r="N347" s="40"/>
      <c r="O347" s="40"/>
      <c r="P347" s="40"/>
      <c r="Q347" s="40"/>
      <c r="R347" s="40"/>
      <c r="S347" s="40"/>
      <c r="T347" s="40"/>
    </row>
    <row r="348" spans="1:20" ht="15.75">
      <c r="A348" s="13">
        <v>51744</v>
      </c>
      <c r="B348" s="48">
        <v>31</v>
      </c>
      <c r="C348" s="39">
        <v>194.20500000000001</v>
      </c>
      <c r="D348" s="39">
        <v>267.46600000000001</v>
      </c>
      <c r="E348" s="45">
        <v>812.32899999999995</v>
      </c>
      <c r="F348" s="39">
        <v>1274</v>
      </c>
      <c r="G348" s="39">
        <v>50</v>
      </c>
      <c r="H348" s="47">
        <v>600</v>
      </c>
      <c r="I348" s="39">
        <v>695</v>
      </c>
      <c r="J348" s="39">
        <v>0</v>
      </c>
      <c r="K348" s="40"/>
      <c r="L348" s="40"/>
      <c r="M348" s="40"/>
      <c r="N348" s="40"/>
      <c r="O348" s="40"/>
      <c r="P348" s="40"/>
      <c r="Q348" s="40"/>
      <c r="R348" s="40"/>
      <c r="S348" s="40"/>
      <c r="T348" s="40"/>
    </row>
    <row r="349" spans="1:20" ht="15.75">
      <c r="A349" s="13">
        <v>51774</v>
      </c>
      <c r="B349" s="48">
        <v>30</v>
      </c>
      <c r="C349" s="39">
        <v>194.20500000000001</v>
      </c>
      <c r="D349" s="39">
        <v>267.46600000000001</v>
      </c>
      <c r="E349" s="45">
        <v>812.32899999999995</v>
      </c>
      <c r="F349" s="39">
        <v>1274</v>
      </c>
      <c r="G349" s="39">
        <v>50</v>
      </c>
      <c r="H349" s="47">
        <v>600</v>
      </c>
      <c r="I349" s="39">
        <v>695</v>
      </c>
      <c r="J349" s="39">
        <v>0</v>
      </c>
      <c r="K349" s="40"/>
      <c r="L349" s="40"/>
      <c r="M349" s="40"/>
      <c r="N349" s="40"/>
      <c r="O349" s="40"/>
      <c r="P349" s="40"/>
      <c r="Q349" s="40"/>
      <c r="R349" s="40"/>
      <c r="S349" s="40"/>
      <c r="T349" s="40"/>
    </row>
    <row r="350" spans="1:20" ht="15.75">
      <c r="A350" s="13">
        <v>51805</v>
      </c>
      <c r="B350" s="48">
        <v>31</v>
      </c>
      <c r="C350" s="39">
        <v>131.881</v>
      </c>
      <c r="D350" s="39">
        <v>277.16699999999997</v>
      </c>
      <c r="E350" s="45">
        <v>829.952</v>
      </c>
      <c r="F350" s="39">
        <v>1239</v>
      </c>
      <c r="G350" s="39">
        <v>75</v>
      </c>
      <c r="H350" s="47">
        <v>600</v>
      </c>
      <c r="I350" s="39">
        <v>695</v>
      </c>
      <c r="J350" s="39">
        <v>0</v>
      </c>
      <c r="K350" s="40"/>
      <c r="L350" s="40"/>
      <c r="M350" s="40"/>
      <c r="N350" s="40"/>
      <c r="O350" s="40"/>
      <c r="P350" s="40"/>
      <c r="Q350" s="40"/>
      <c r="R350" s="40"/>
      <c r="S350" s="40"/>
      <c r="T350" s="40"/>
    </row>
    <row r="351" spans="1:20" ht="15.75">
      <c r="A351" s="13">
        <v>51835</v>
      </c>
      <c r="B351" s="48">
        <v>30</v>
      </c>
      <c r="C351" s="39">
        <v>122.58</v>
      </c>
      <c r="D351" s="39">
        <v>297.94099999999997</v>
      </c>
      <c r="E351" s="45">
        <v>729.47900000000004</v>
      </c>
      <c r="F351" s="39">
        <v>1150</v>
      </c>
      <c r="G351" s="39">
        <v>100</v>
      </c>
      <c r="H351" s="47">
        <v>600</v>
      </c>
      <c r="I351" s="39">
        <v>695</v>
      </c>
      <c r="J351" s="39">
        <v>50</v>
      </c>
      <c r="K351" s="40"/>
      <c r="L351" s="40"/>
      <c r="M351" s="40"/>
      <c r="N351" s="40"/>
      <c r="O351" s="40"/>
      <c r="P351" s="40"/>
      <c r="Q351" s="40"/>
      <c r="R351" s="40"/>
      <c r="S351" s="40"/>
      <c r="T351" s="40"/>
    </row>
    <row r="352" spans="1:20" ht="15.75">
      <c r="A352" s="13">
        <v>51866</v>
      </c>
      <c r="B352" s="48">
        <v>31</v>
      </c>
      <c r="C352" s="39">
        <v>122.58</v>
      </c>
      <c r="D352" s="39">
        <v>297.94099999999997</v>
      </c>
      <c r="E352" s="45">
        <v>729.47900000000004</v>
      </c>
      <c r="F352" s="39">
        <v>1150</v>
      </c>
      <c r="G352" s="39">
        <v>100</v>
      </c>
      <c r="H352" s="47">
        <v>600</v>
      </c>
      <c r="I352" s="39">
        <v>695</v>
      </c>
      <c r="J352" s="39">
        <v>50</v>
      </c>
      <c r="K352" s="40"/>
      <c r="L352" s="40"/>
      <c r="M352" s="40"/>
      <c r="N352" s="40"/>
      <c r="O352" s="40"/>
      <c r="P352" s="40"/>
      <c r="Q352" s="40"/>
      <c r="R352" s="40"/>
      <c r="S352" s="40"/>
      <c r="T352" s="40"/>
    </row>
    <row r="353" spans="1:20" ht="15.75">
      <c r="A353" s="13">
        <v>51897</v>
      </c>
      <c r="B353" s="48">
        <v>31</v>
      </c>
      <c r="C353" s="39">
        <v>122.58</v>
      </c>
      <c r="D353" s="39">
        <v>297.94099999999997</v>
      </c>
      <c r="E353" s="45">
        <v>729.47900000000004</v>
      </c>
      <c r="F353" s="39">
        <v>1150</v>
      </c>
      <c r="G353" s="39">
        <v>100</v>
      </c>
      <c r="H353" s="47">
        <v>600</v>
      </c>
      <c r="I353" s="39">
        <v>695</v>
      </c>
      <c r="J353" s="39">
        <v>50</v>
      </c>
      <c r="K353" s="40"/>
      <c r="L353" s="40"/>
      <c r="M353" s="40"/>
      <c r="N353" s="40"/>
      <c r="O353" s="40"/>
      <c r="P353" s="40"/>
      <c r="Q353" s="40"/>
      <c r="R353" s="40"/>
      <c r="S353" s="40"/>
      <c r="T353" s="40"/>
    </row>
    <row r="354" spans="1:20" ht="15.75">
      <c r="A354" s="13">
        <v>51925</v>
      </c>
      <c r="B354" s="48">
        <v>28</v>
      </c>
      <c r="C354" s="39">
        <v>122.58</v>
      </c>
      <c r="D354" s="39">
        <v>297.94099999999997</v>
      </c>
      <c r="E354" s="45">
        <v>729.47900000000004</v>
      </c>
      <c r="F354" s="39">
        <v>1150</v>
      </c>
      <c r="G354" s="39">
        <v>100</v>
      </c>
      <c r="H354" s="47">
        <v>600</v>
      </c>
      <c r="I354" s="39">
        <v>695</v>
      </c>
      <c r="J354" s="39">
        <v>50</v>
      </c>
      <c r="K354" s="40"/>
      <c r="L354" s="40"/>
      <c r="M354" s="40"/>
      <c r="N354" s="40"/>
      <c r="O354" s="40"/>
      <c r="P354" s="40"/>
      <c r="Q354" s="40"/>
      <c r="R354" s="40"/>
      <c r="S354" s="40"/>
      <c r="T354" s="40"/>
    </row>
    <row r="355" spans="1:20" ht="15.75">
      <c r="A355" s="13">
        <v>51956</v>
      </c>
      <c r="B355" s="48">
        <v>31</v>
      </c>
      <c r="C355" s="39">
        <v>122.58</v>
      </c>
      <c r="D355" s="39">
        <v>297.94099999999997</v>
      </c>
      <c r="E355" s="45">
        <v>729.47900000000004</v>
      </c>
      <c r="F355" s="39">
        <v>1150</v>
      </c>
      <c r="G355" s="39">
        <v>100</v>
      </c>
      <c r="H355" s="47">
        <v>600</v>
      </c>
      <c r="I355" s="39">
        <v>695</v>
      </c>
      <c r="J355" s="39">
        <v>50</v>
      </c>
      <c r="K355" s="40"/>
      <c r="L355" s="40"/>
      <c r="M355" s="40"/>
      <c r="N355" s="40"/>
      <c r="O355" s="40"/>
      <c r="P355" s="40"/>
      <c r="Q355" s="40"/>
      <c r="R355" s="40"/>
      <c r="S355" s="40"/>
      <c r="T355" s="40"/>
    </row>
    <row r="356" spans="1:20" ht="15.75">
      <c r="A356" s="13">
        <v>51986</v>
      </c>
      <c r="B356" s="48">
        <v>30</v>
      </c>
      <c r="C356" s="39">
        <v>141.29300000000001</v>
      </c>
      <c r="D356" s="39">
        <v>267.99299999999999</v>
      </c>
      <c r="E356" s="45">
        <v>829.71400000000006</v>
      </c>
      <c r="F356" s="39">
        <v>1239</v>
      </c>
      <c r="G356" s="39">
        <v>100</v>
      </c>
      <c r="H356" s="47">
        <v>600</v>
      </c>
      <c r="I356" s="39">
        <v>695</v>
      </c>
      <c r="J356" s="39">
        <v>50</v>
      </c>
      <c r="K356" s="40"/>
      <c r="L356" s="40"/>
      <c r="M356" s="40"/>
      <c r="N356" s="40"/>
      <c r="O356" s="40"/>
      <c r="P356" s="40"/>
      <c r="Q356" s="40"/>
      <c r="R356" s="40"/>
      <c r="S356" s="40"/>
      <c r="T356" s="40"/>
    </row>
    <row r="357" spans="1:20" ht="15.75">
      <c r="A357" s="13">
        <v>52017</v>
      </c>
      <c r="B357" s="48">
        <v>31</v>
      </c>
      <c r="C357" s="39">
        <v>194.20500000000001</v>
      </c>
      <c r="D357" s="39">
        <v>267.46600000000001</v>
      </c>
      <c r="E357" s="45">
        <v>812.32899999999995</v>
      </c>
      <c r="F357" s="39">
        <v>1274</v>
      </c>
      <c r="G357" s="39">
        <v>75</v>
      </c>
      <c r="H357" s="47">
        <v>600</v>
      </c>
      <c r="I357" s="39">
        <v>695</v>
      </c>
      <c r="J357" s="39">
        <v>50</v>
      </c>
      <c r="K357" s="40"/>
      <c r="L357" s="40"/>
      <c r="M357" s="40"/>
      <c r="N357" s="40"/>
      <c r="O357" s="40"/>
      <c r="P357" s="40"/>
      <c r="Q357" s="40"/>
      <c r="R357" s="40"/>
      <c r="S357" s="40"/>
      <c r="T357" s="40"/>
    </row>
    <row r="358" spans="1:20" ht="15.75">
      <c r="A358" s="13">
        <v>52047</v>
      </c>
      <c r="B358" s="48">
        <v>30</v>
      </c>
      <c r="C358" s="39">
        <v>194.20500000000001</v>
      </c>
      <c r="D358" s="39">
        <v>267.46600000000001</v>
      </c>
      <c r="E358" s="45">
        <v>812.32899999999995</v>
      </c>
      <c r="F358" s="39">
        <v>1274</v>
      </c>
      <c r="G358" s="39">
        <v>50</v>
      </c>
      <c r="H358" s="47">
        <v>600</v>
      </c>
      <c r="I358" s="39">
        <v>695</v>
      </c>
      <c r="J358" s="39">
        <v>50</v>
      </c>
      <c r="K358" s="40"/>
      <c r="L358" s="40"/>
      <c r="M358" s="40"/>
      <c r="N358" s="40"/>
      <c r="O358" s="40"/>
      <c r="P358" s="40"/>
      <c r="Q358" s="40"/>
      <c r="R358" s="40"/>
      <c r="S358" s="40"/>
      <c r="T358" s="40"/>
    </row>
    <row r="359" spans="1:20" ht="15.75">
      <c r="A359" s="13">
        <v>52078</v>
      </c>
      <c r="B359" s="48">
        <v>31</v>
      </c>
      <c r="C359" s="39">
        <v>194.20500000000001</v>
      </c>
      <c r="D359" s="39">
        <v>267.46600000000001</v>
      </c>
      <c r="E359" s="45">
        <v>812.32899999999995</v>
      </c>
      <c r="F359" s="39">
        <v>1274</v>
      </c>
      <c r="G359" s="39">
        <v>50</v>
      </c>
      <c r="H359" s="47">
        <v>600</v>
      </c>
      <c r="I359" s="39">
        <v>695</v>
      </c>
      <c r="J359" s="39">
        <v>0</v>
      </c>
      <c r="K359" s="40"/>
      <c r="L359" s="40"/>
      <c r="M359" s="40"/>
      <c r="N359" s="40"/>
      <c r="O359" s="40"/>
      <c r="P359" s="40"/>
      <c r="Q359" s="40"/>
      <c r="R359" s="40"/>
      <c r="S359" s="40"/>
      <c r="T359" s="40"/>
    </row>
    <row r="360" spans="1:20" ht="15.75">
      <c r="A360" s="13">
        <v>52109</v>
      </c>
      <c r="B360" s="48">
        <v>31</v>
      </c>
      <c r="C360" s="39">
        <v>194.20500000000001</v>
      </c>
      <c r="D360" s="39">
        <v>267.46600000000001</v>
      </c>
      <c r="E360" s="45">
        <v>812.32899999999995</v>
      </c>
      <c r="F360" s="39">
        <v>1274</v>
      </c>
      <c r="G360" s="39">
        <v>50</v>
      </c>
      <c r="H360" s="47">
        <v>600</v>
      </c>
      <c r="I360" s="39">
        <v>695</v>
      </c>
      <c r="J360" s="39">
        <v>0</v>
      </c>
      <c r="K360" s="40"/>
      <c r="L360" s="40"/>
      <c r="M360" s="40"/>
      <c r="N360" s="40"/>
      <c r="O360" s="40"/>
      <c r="P360" s="40"/>
      <c r="Q360" s="40"/>
      <c r="R360" s="40"/>
      <c r="S360" s="40"/>
      <c r="T360" s="40"/>
    </row>
    <row r="361" spans="1:20" ht="15.75">
      <c r="A361" s="13">
        <v>52139</v>
      </c>
      <c r="B361" s="48">
        <v>30</v>
      </c>
      <c r="C361" s="39">
        <v>194.20500000000001</v>
      </c>
      <c r="D361" s="39">
        <v>267.46600000000001</v>
      </c>
      <c r="E361" s="45">
        <v>812.32899999999995</v>
      </c>
      <c r="F361" s="39">
        <v>1274</v>
      </c>
      <c r="G361" s="39">
        <v>50</v>
      </c>
      <c r="H361" s="47">
        <v>600</v>
      </c>
      <c r="I361" s="39">
        <v>695</v>
      </c>
      <c r="J361" s="39">
        <v>0</v>
      </c>
      <c r="K361" s="40"/>
      <c r="L361" s="40"/>
      <c r="M361" s="40"/>
      <c r="N361" s="40"/>
      <c r="O361" s="40"/>
      <c r="P361" s="40"/>
      <c r="Q361" s="40"/>
      <c r="R361" s="40"/>
      <c r="S361" s="40"/>
      <c r="T361" s="40"/>
    </row>
    <row r="362" spans="1:20" ht="15.75">
      <c r="A362" s="13">
        <v>52170</v>
      </c>
      <c r="B362" s="48">
        <v>31</v>
      </c>
      <c r="C362" s="39">
        <v>131.881</v>
      </c>
      <c r="D362" s="39">
        <v>277.16699999999997</v>
      </c>
      <c r="E362" s="45">
        <v>829.952</v>
      </c>
      <c r="F362" s="39">
        <v>1239</v>
      </c>
      <c r="G362" s="39">
        <v>75</v>
      </c>
      <c r="H362" s="47">
        <v>600</v>
      </c>
      <c r="I362" s="39">
        <v>695</v>
      </c>
      <c r="J362" s="39">
        <v>0</v>
      </c>
      <c r="K362" s="40"/>
      <c r="L362" s="40"/>
      <c r="M362" s="40"/>
      <c r="N362" s="40"/>
      <c r="O362" s="40"/>
      <c r="P362" s="40"/>
      <c r="Q362" s="40"/>
      <c r="R362" s="40"/>
      <c r="S362" s="40"/>
      <c r="T362" s="40"/>
    </row>
    <row r="363" spans="1:20" ht="15.75">
      <c r="A363" s="13">
        <v>52200</v>
      </c>
      <c r="B363" s="48">
        <v>30</v>
      </c>
      <c r="C363" s="39">
        <v>122.58</v>
      </c>
      <c r="D363" s="39">
        <v>297.94099999999997</v>
      </c>
      <c r="E363" s="45">
        <v>729.47900000000004</v>
      </c>
      <c r="F363" s="39">
        <v>1150</v>
      </c>
      <c r="G363" s="39">
        <v>100</v>
      </c>
      <c r="H363" s="47">
        <v>600</v>
      </c>
      <c r="I363" s="39">
        <v>695</v>
      </c>
      <c r="J363" s="39">
        <v>50</v>
      </c>
      <c r="K363" s="40"/>
      <c r="L363" s="40"/>
      <c r="M363" s="40"/>
      <c r="N363" s="40"/>
      <c r="O363" s="40"/>
      <c r="P363" s="40"/>
      <c r="Q363" s="40"/>
      <c r="R363" s="40"/>
      <c r="S363" s="40"/>
      <c r="T363" s="40"/>
    </row>
    <row r="364" spans="1:20" ht="15.75">
      <c r="A364" s="13">
        <v>52231</v>
      </c>
      <c r="B364" s="48">
        <v>31</v>
      </c>
      <c r="C364" s="39">
        <v>122.58</v>
      </c>
      <c r="D364" s="39">
        <v>297.94099999999997</v>
      </c>
      <c r="E364" s="45">
        <v>729.47900000000004</v>
      </c>
      <c r="F364" s="39">
        <v>1150</v>
      </c>
      <c r="G364" s="39">
        <v>100</v>
      </c>
      <c r="H364" s="47">
        <v>600</v>
      </c>
      <c r="I364" s="39">
        <v>695</v>
      </c>
      <c r="J364" s="39">
        <v>50</v>
      </c>
      <c r="K364" s="40"/>
      <c r="L364" s="40"/>
      <c r="M364" s="40"/>
      <c r="N364" s="40"/>
      <c r="O364" s="40"/>
      <c r="P364" s="40"/>
      <c r="Q364" s="40"/>
      <c r="R364" s="40"/>
      <c r="S364" s="40"/>
      <c r="T364" s="40"/>
    </row>
    <row r="365" spans="1:20" ht="15.75">
      <c r="A365" s="13">
        <v>52262</v>
      </c>
      <c r="B365" s="48">
        <v>31</v>
      </c>
      <c r="C365" s="39">
        <v>122.58</v>
      </c>
      <c r="D365" s="39">
        <v>297.94099999999997</v>
      </c>
      <c r="E365" s="45">
        <v>729.47900000000004</v>
      </c>
      <c r="F365" s="39">
        <v>1150</v>
      </c>
      <c r="G365" s="39">
        <v>100</v>
      </c>
      <c r="H365" s="47">
        <v>600</v>
      </c>
      <c r="I365" s="39">
        <v>695</v>
      </c>
      <c r="J365" s="39">
        <v>50</v>
      </c>
      <c r="K365" s="40"/>
      <c r="L365" s="40"/>
      <c r="M365" s="40"/>
      <c r="N365" s="40"/>
      <c r="O365" s="40"/>
      <c r="P365" s="40"/>
      <c r="Q365" s="40"/>
      <c r="R365" s="40"/>
      <c r="S365" s="40"/>
      <c r="T365" s="40"/>
    </row>
    <row r="366" spans="1:20" ht="15.75">
      <c r="A366" s="13">
        <v>52290</v>
      </c>
      <c r="B366" s="48">
        <v>28</v>
      </c>
      <c r="C366" s="39">
        <v>122.58</v>
      </c>
      <c r="D366" s="39">
        <v>297.94099999999997</v>
      </c>
      <c r="E366" s="45">
        <v>729.47900000000004</v>
      </c>
      <c r="F366" s="39">
        <v>1150</v>
      </c>
      <c r="G366" s="39">
        <v>100</v>
      </c>
      <c r="H366" s="47">
        <v>600</v>
      </c>
      <c r="I366" s="39">
        <v>695</v>
      </c>
      <c r="J366" s="39">
        <v>50</v>
      </c>
      <c r="K366" s="40"/>
      <c r="L366" s="40"/>
      <c r="M366" s="40"/>
      <c r="N366" s="40"/>
      <c r="O366" s="40"/>
      <c r="P366" s="40"/>
      <c r="Q366" s="40"/>
      <c r="R366" s="40"/>
      <c r="S366" s="40"/>
      <c r="T366" s="40"/>
    </row>
    <row r="367" spans="1:20" ht="15.75">
      <c r="A367" s="13">
        <v>52321</v>
      </c>
      <c r="B367" s="48">
        <v>31</v>
      </c>
      <c r="C367" s="39">
        <v>122.58</v>
      </c>
      <c r="D367" s="39">
        <v>297.94099999999997</v>
      </c>
      <c r="E367" s="45">
        <v>729.47900000000004</v>
      </c>
      <c r="F367" s="39">
        <v>1150</v>
      </c>
      <c r="G367" s="39">
        <v>100</v>
      </c>
      <c r="H367" s="47">
        <v>600</v>
      </c>
      <c r="I367" s="39">
        <v>695</v>
      </c>
      <c r="J367" s="39">
        <v>50</v>
      </c>
      <c r="K367" s="40"/>
      <c r="L367" s="40"/>
      <c r="M367" s="40"/>
      <c r="N367" s="40"/>
      <c r="O367" s="40"/>
      <c r="P367" s="40"/>
      <c r="Q367" s="40"/>
      <c r="R367" s="40"/>
      <c r="S367" s="40"/>
      <c r="T367" s="40"/>
    </row>
    <row r="368" spans="1:20" ht="15.75">
      <c r="A368" s="13">
        <v>52351</v>
      </c>
      <c r="B368" s="48">
        <v>30</v>
      </c>
      <c r="C368" s="39">
        <v>141.29300000000001</v>
      </c>
      <c r="D368" s="39">
        <v>267.99299999999999</v>
      </c>
      <c r="E368" s="45">
        <v>829.71400000000006</v>
      </c>
      <c r="F368" s="39">
        <v>1239</v>
      </c>
      <c r="G368" s="39">
        <v>100</v>
      </c>
      <c r="H368" s="47">
        <v>600</v>
      </c>
      <c r="I368" s="39">
        <v>695</v>
      </c>
      <c r="J368" s="39">
        <v>50</v>
      </c>
      <c r="K368" s="40"/>
      <c r="L368" s="40"/>
      <c r="M368" s="40"/>
      <c r="N368" s="40"/>
      <c r="O368" s="40"/>
      <c r="P368" s="40"/>
      <c r="Q368" s="40"/>
      <c r="R368" s="40"/>
      <c r="S368" s="40"/>
      <c r="T368" s="40"/>
    </row>
    <row r="369" spans="1:20" ht="15.75">
      <c r="A369" s="13">
        <v>52382</v>
      </c>
      <c r="B369" s="48">
        <v>31</v>
      </c>
      <c r="C369" s="39">
        <v>194.20500000000001</v>
      </c>
      <c r="D369" s="39">
        <v>267.46600000000001</v>
      </c>
      <c r="E369" s="45">
        <v>812.32899999999995</v>
      </c>
      <c r="F369" s="39">
        <v>1274</v>
      </c>
      <c r="G369" s="39">
        <v>75</v>
      </c>
      <c r="H369" s="47">
        <v>600</v>
      </c>
      <c r="I369" s="39">
        <v>695</v>
      </c>
      <c r="J369" s="39">
        <v>50</v>
      </c>
      <c r="K369" s="40"/>
      <c r="L369" s="40"/>
      <c r="M369" s="40"/>
      <c r="N369" s="40"/>
      <c r="O369" s="40"/>
      <c r="P369" s="40"/>
      <c r="Q369" s="40"/>
      <c r="R369" s="40"/>
      <c r="S369" s="40"/>
      <c r="T369" s="40"/>
    </row>
    <row r="370" spans="1:20" ht="15.75">
      <c r="A370" s="13">
        <v>52412</v>
      </c>
      <c r="B370" s="48">
        <v>30</v>
      </c>
      <c r="C370" s="39">
        <v>194.20500000000001</v>
      </c>
      <c r="D370" s="39">
        <v>267.46600000000001</v>
      </c>
      <c r="E370" s="45">
        <v>812.32899999999995</v>
      </c>
      <c r="F370" s="39">
        <v>1274</v>
      </c>
      <c r="G370" s="39">
        <v>50</v>
      </c>
      <c r="H370" s="47">
        <v>600</v>
      </c>
      <c r="I370" s="39">
        <v>695</v>
      </c>
      <c r="J370" s="39">
        <v>50</v>
      </c>
      <c r="K370" s="40"/>
      <c r="L370" s="40"/>
      <c r="M370" s="40"/>
      <c r="N370" s="40"/>
      <c r="O370" s="40"/>
      <c r="P370" s="40"/>
      <c r="Q370" s="40"/>
      <c r="R370" s="40"/>
      <c r="S370" s="40"/>
      <c r="T370" s="40"/>
    </row>
    <row r="371" spans="1:20" ht="15.75">
      <c r="A371" s="13">
        <v>52443</v>
      </c>
      <c r="B371" s="48">
        <v>31</v>
      </c>
      <c r="C371" s="39">
        <v>194.20500000000001</v>
      </c>
      <c r="D371" s="39">
        <v>267.46600000000001</v>
      </c>
      <c r="E371" s="45">
        <v>812.32899999999995</v>
      </c>
      <c r="F371" s="39">
        <v>1274</v>
      </c>
      <c r="G371" s="39">
        <v>50</v>
      </c>
      <c r="H371" s="47">
        <v>600</v>
      </c>
      <c r="I371" s="39">
        <v>695</v>
      </c>
      <c r="J371" s="39">
        <v>0</v>
      </c>
      <c r="K371" s="40"/>
      <c r="L371" s="40"/>
      <c r="M371" s="40"/>
      <c r="N371" s="40"/>
      <c r="O371" s="40"/>
      <c r="P371" s="40"/>
      <c r="Q371" s="40"/>
      <c r="R371" s="40"/>
      <c r="S371" s="40"/>
      <c r="T371" s="40"/>
    </row>
    <row r="372" spans="1:20" ht="15.75">
      <c r="A372" s="13">
        <v>52474</v>
      </c>
      <c r="B372" s="48">
        <v>31</v>
      </c>
      <c r="C372" s="39">
        <v>194.20500000000001</v>
      </c>
      <c r="D372" s="39">
        <v>267.46600000000001</v>
      </c>
      <c r="E372" s="45">
        <v>812.32899999999995</v>
      </c>
      <c r="F372" s="39">
        <v>1274</v>
      </c>
      <c r="G372" s="39">
        <v>50</v>
      </c>
      <c r="H372" s="47">
        <v>600</v>
      </c>
      <c r="I372" s="39">
        <v>695</v>
      </c>
      <c r="J372" s="39">
        <v>0</v>
      </c>
      <c r="K372" s="40"/>
      <c r="L372" s="40"/>
      <c r="M372" s="40"/>
      <c r="N372" s="40"/>
      <c r="O372" s="40"/>
      <c r="P372" s="40"/>
      <c r="Q372" s="40"/>
      <c r="R372" s="40"/>
      <c r="S372" s="40"/>
      <c r="T372" s="40"/>
    </row>
    <row r="373" spans="1:20" ht="15.75">
      <c r="A373" s="13">
        <v>52504</v>
      </c>
      <c r="B373" s="48">
        <v>30</v>
      </c>
      <c r="C373" s="39">
        <v>194.20500000000001</v>
      </c>
      <c r="D373" s="39">
        <v>267.46600000000001</v>
      </c>
      <c r="E373" s="45">
        <v>812.32899999999995</v>
      </c>
      <c r="F373" s="39">
        <v>1274</v>
      </c>
      <c r="G373" s="39">
        <v>50</v>
      </c>
      <c r="H373" s="47">
        <v>600</v>
      </c>
      <c r="I373" s="39">
        <v>695</v>
      </c>
      <c r="J373" s="39">
        <v>0</v>
      </c>
      <c r="K373" s="40"/>
      <c r="L373" s="40"/>
      <c r="M373" s="40"/>
      <c r="N373" s="40"/>
      <c r="O373" s="40"/>
      <c r="P373" s="40"/>
      <c r="Q373" s="40"/>
      <c r="R373" s="40"/>
      <c r="S373" s="40"/>
      <c r="T373" s="40"/>
    </row>
    <row r="374" spans="1:20" ht="15.75">
      <c r="A374" s="13">
        <v>52535</v>
      </c>
      <c r="B374" s="48">
        <v>31</v>
      </c>
      <c r="C374" s="39">
        <v>131.881</v>
      </c>
      <c r="D374" s="39">
        <v>277.16699999999997</v>
      </c>
      <c r="E374" s="45">
        <v>829.952</v>
      </c>
      <c r="F374" s="39">
        <v>1239</v>
      </c>
      <c r="G374" s="39">
        <v>75</v>
      </c>
      <c r="H374" s="47">
        <v>600</v>
      </c>
      <c r="I374" s="39">
        <v>695</v>
      </c>
      <c r="J374" s="39">
        <v>0</v>
      </c>
      <c r="K374" s="40"/>
      <c r="L374" s="40"/>
      <c r="M374" s="40"/>
      <c r="N374" s="40"/>
      <c r="O374" s="40"/>
      <c r="P374" s="40"/>
      <c r="Q374" s="40"/>
      <c r="R374" s="40"/>
      <c r="S374" s="40"/>
      <c r="T374" s="40"/>
    </row>
    <row r="375" spans="1:20" ht="15.75">
      <c r="A375" s="13">
        <v>52565</v>
      </c>
      <c r="B375" s="48">
        <v>30</v>
      </c>
      <c r="C375" s="39">
        <v>122.58</v>
      </c>
      <c r="D375" s="39">
        <v>297.94099999999997</v>
      </c>
      <c r="E375" s="45">
        <v>729.47900000000004</v>
      </c>
      <c r="F375" s="39">
        <v>1150</v>
      </c>
      <c r="G375" s="39">
        <v>100</v>
      </c>
      <c r="H375" s="47">
        <v>600</v>
      </c>
      <c r="I375" s="39">
        <v>695</v>
      </c>
      <c r="J375" s="39">
        <v>50</v>
      </c>
      <c r="K375" s="40"/>
      <c r="L375" s="40"/>
      <c r="M375" s="40"/>
      <c r="N375" s="40"/>
      <c r="O375" s="40"/>
      <c r="P375" s="40"/>
      <c r="Q375" s="40"/>
      <c r="R375" s="40"/>
      <c r="S375" s="40"/>
      <c r="T375" s="40"/>
    </row>
    <row r="376" spans="1:20" ht="15.75">
      <c r="A376" s="13">
        <v>52596</v>
      </c>
      <c r="B376" s="48">
        <v>31</v>
      </c>
      <c r="C376" s="39">
        <v>122.58</v>
      </c>
      <c r="D376" s="39">
        <v>297.94099999999997</v>
      </c>
      <c r="E376" s="45">
        <v>729.47900000000004</v>
      </c>
      <c r="F376" s="39">
        <v>1150</v>
      </c>
      <c r="G376" s="39">
        <v>100</v>
      </c>
      <c r="H376" s="47">
        <v>600</v>
      </c>
      <c r="I376" s="39">
        <v>695</v>
      </c>
      <c r="J376" s="39">
        <v>50</v>
      </c>
      <c r="K376" s="40"/>
      <c r="L376" s="40"/>
      <c r="M376" s="40"/>
      <c r="N376" s="40"/>
      <c r="O376" s="40"/>
      <c r="P376" s="40"/>
      <c r="Q376" s="40"/>
      <c r="R376" s="40"/>
      <c r="S376" s="40"/>
      <c r="T376" s="40"/>
    </row>
    <row r="377" spans="1:20" ht="15.75">
      <c r="A377" s="13">
        <v>52627</v>
      </c>
      <c r="B377" s="48">
        <v>31</v>
      </c>
      <c r="C377" s="39">
        <v>122.58</v>
      </c>
      <c r="D377" s="39">
        <v>297.94099999999997</v>
      </c>
      <c r="E377" s="45">
        <v>729.47900000000004</v>
      </c>
      <c r="F377" s="39">
        <v>1150</v>
      </c>
      <c r="G377" s="39">
        <v>100</v>
      </c>
      <c r="H377" s="47">
        <v>600</v>
      </c>
      <c r="I377" s="39">
        <v>695</v>
      </c>
      <c r="J377" s="39">
        <v>50</v>
      </c>
      <c r="K377" s="40"/>
      <c r="L377" s="40"/>
      <c r="M377" s="40"/>
      <c r="N377" s="40"/>
      <c r="O377" s="40"/>
      <c r="P377" s="40"/>
      <c r="Q377" s="40"/>
      <c r="R377" s="40"/>
      <c r="S377" s="40"/>
      <c r="T377" s="40"/>
    </row>
    <row r="378" spans="1:20" ht="15.75">
      <c r="A378" s="13">
        <v>52655</v>
      </c>
      <c r="B378" s="48">
        <v>29</v>
      </c>
      <c r="C378" s="39">
        <v>122.58</v>
      </c>
      <c r="D378" s="39">
        <v>297.94099999999997</v>
      </c>
      <c r="E378" s="45">
        <v>729.47900000000004</v>
      </c>
      <c r="F378" s="39">
        <v>1150</v>
      </c>
      <c r="G378" s="39">
        <v>100</v>
      </c>
      <c r="H378" s="47">
        <v>600</v>
      </c>
      <c r="I378" s="39">
        <v>695</v>
      </c>
      <c r="J378" s="39">
        <v>50</v>
      </c>
      <c r="K378" s="40"/>
      <c r="L378" s="40"/>
      <c r="M378" s="40"/>
      <c r="N378" s="40"/>
      <c r="O378" s="40"/>
      <c r="P378" s="40"/>
      <c r="Q378" s="40"/>
      <c r="R378" s="40"/>
      <c r="S378" s="40"/>
      <c r="T378" s="40"/>
    </row>
    <row r="379" spans="1:20" ht="15.75">
      <c r="A379" s="13">
        <v>52687</v>
      </c>
      <c r="B379" s="48">
        <v>31</v>
      </c>
      <c r="C379" s="39">
        <v>122.58</v>
      </c>
      <c r="D379" s="39">
        <v>297.94099999999997</v>
      </c>
      <c r="E379" s="45">
        <v>729.47900000000004</v>
      </c>
      <c r="F379" s="39">
        <v>1150</v>
      </c>
      <c r="G379" s="39">
        <v>100</v>
      </c>
      <c r="H379" s="47">
        <v>600</v>
      </c>
      <c r="I379" s="39">
        <v>695</v>
      </c>
      <c r="J379" s="39">
        <v>50</v>
      </c>
      <c r="K379" s="40"/>
      <c r="L379" s="40"/>
      <c r="M379" s="40"/>
      <c r="N379" s="40"/>
      <c r="O379" s="40"/>
      <c r="P379" s="40"/>
      <c r="Q379" s="40"/>
      <c r="R379" s="40"/>
      <c r="S379" s="40"/>
      <c r="T379" s="40"/>
    </row>
    <row r="380" spans="1:20" ht="15.75">
      <c r="A380" s="13">
        <v>52717</v>
      </c>
      <c r="B380" s="48">
        <v>30</v>
      </c>
      <c r="C380" s="39">
        <v>141.29300000000001</v>
      </c>
      <c r="D380" s="39">
        <v>267.99299999999999</v>
      </c>
      <c r="E380" s="45">
        <v>829.71400000000006</v>
      </c>
      <c r="F380" s="39">
        <v>1239</v>
      </c>
      <c r="G380" s="39">
        <v>100</v>
      </c>
      <c r="H380" s="47">
        <v>600</v>
      </c>
      <c r="I380" s="39">
        <v>695</v>
      </c>
      <c r="J380" s="39">
        <v>50</v>
      </c>
      <c r="K380" s="40"/>
      <c r="L380" s="40"/>
      <c r="M380" s="40"/>
      <c r="N380" s="40"/>
      <c r="O380" s="40"/>
      <c r="P380" s="40"/>
      <c r="Q380" s="40"/>
      <c r="R380" s="40"/>
      <c r="S380" s="40"/>
      <c r="T380" s="40"/>
    </row>
    <row r="381" spans="1:20" ht="15.75">
      <c r="A381" s="13">
        <v>52748</v>
      </c>
      <c r="B381" s="48">
        <v>31</v>
      </c>
      <c r="C381" s="39">
        <v>194.20500000000001</v>
      </c>
      <c r="D381" s="39">
        <v>267.46600000000001</v>
      </c>
      <c r="E381" s="45">
        <v>812.32899999999995</v>
      </c>
      <c r="F381" s="39">
        <v>1274</v>
      </c>
      <c r="G381" s="39">
        <v>75</v>
      </c>
      <c r="H381" s="47">
        <v>600</v>
      </c>
      <c r="I381" s="39">
        <v>695</v>
      </c>
      <c r="J381" s="39">
        <v>50</v>
      </c>
      <c r="K381" s="40"/>
      <c r="L381" s="40"/>
      <c r="M381" s="40"/>
      <c r="N381" s="40"/>
      <c r="O381" s="40"/>
      <c r="P381" s="40"/>
      <c r="Q381" s="40"/>
      <c r="R381" s="40"/>
      <c r="S381" s="40"/>
      <c r="T381" s="40"/>
    </row>
    <row r="382" spans="1:20" ht="15.75">
      <c r="A382" s="13">
        <v>52778</v>
      </c>
      <c r="B382" s="48">
        <v>30</v>
      </c>
      <c r="C382" s="39">
        <v>194.20500000000001</v>
      </c>
      <c r="D382" s="39">
        <v>267.46600000000001</v>
      </c>
      <c r="E382" s="45">
        <v>812.32899999999995</v>
      </c>
      <c r="F382" s="39">
        <v>1274</v>
      </c>
      <c r="G382" s="39">
        <v>50</v>
      </c>
      <c r="H382" s="47">
        <v>600</v>
      </c>
      <c r="I382" s="39">
        <v>695</v>
      </c>
      <c r="J382" s="39">
        <v>50</v>
      </c>
      <c r="K382" s="40"/>
      <c r="L382" s="40"/>
      <c r="M382" s="40"/>
      <c r="N382" s="40"/>
      <c r="O382" s="40"/>
      <c r="P382" s="40"/>
      <c r="Q382" s="40"/>
      <c r="R382" s="40"/>
      <c r="S382" s="40"/>
      <c r="T382" s="40"/>
    </row>
    <row r="383" spans="1:20" ht="15.75">
      <c r="A383" s="13">
        <v>52809</v>
      </c>
      <c r="B383" s="48">
        <v>31</v>
      </c>
      <c r="C383" s="39">
        <v>194.20500000000001</v>
      </c>
      <c r="D383" s="39">
        <v>267.46600000000001</v>
      </c>
      <c r="E383" s="45">
        <v>812.32899999999995</v>
      </c>
      <c r="F383" s="39">
        <v>1274</v>
      </c>
      <c r="G383" s="39">
        <v>50</v>
      </c>
      <c r="H383" s="47">
        <v>600</v>
      </c>
      <c r="I383" s="39">
        <v>695</v>
      </c>
      <c r="J383" s="39">
        <v>0</v>
      </c>
      <c r="K383" s="40"/>
      <c r="L383" s="40"/>
      <c r="M383" s="40"/>
      <c r="N383" s="40"/>
      <c r="O383" s="40"/>
      <c r="P383" s="40"/>
      <c r="Q383" s="40"/>
      <c r="R383" s="40"/>
      <c r="S383" s="40"/>
      <c r="T383" s="40"/>
    </row>
    <row r="384" spans="1:20" ht="15.75">
      <c r="A384" s="13">
        <v>52840</v>
      </c>
      <c r="B384" s="48">
        <v>31</v>
      </c>
      <c r="C384" s="39">
        <v>194.20500000000001</v>
      </c>
      <c r="D384" s="39">
        <v>267.46600000000001</v>
      </c>
      <c r="E384" s="45">
        <v>812.32899999999995</v>
      </c>
      <c r="F384" s="39">
        <v>1274</v>
      </c>
      <c r="G384" s="39">
        <v>50</v>
      </c>
      <c r="H384" s="47">
        <v>600</v>
      </c>
      <c r="I384" s="39">
        <v>695</v>
      </c>
      <c r="J384" s="39">
        <v>0</v>
      </c>
      <c r="K384" s="40"/>
      <c r="L384" s="40"/>
      <c r="M384" s="40"/>
      <c r="N384" s="40"/>
      <c r="O384" s="40"/>
      <c r="P384" s="40"/>
      <c r="Q384" s="40"/>
      <c r="R384" s="40"/>
      <c r="S384" s="40"/>
      <c r="T384" s="40"/>
    </row>
    <row r="385" spans="1:20" ht="15.75">
      <c r="A385" s="13">
        <v>52870</v>
      </c>
      <c r="B385" s="48">
        <v>30</v>
      </c>
      <c r="C385" s="39">
        <v>194.20500000000001</v>
      </c>
      <c r="D385" s="39">
        <v>267.46600000000001</v>
      </c>
      <c r="E385" s="45">
        <v>812.32899999999995</v>
      </c>
      <c r="F385" s="39">
        <v>1274</v>
      </c>
      <c r="G385" s="39">
        <v>50</v>
      </c>
      <c r="H385" s="47">
        <v>600</v>
      </c>
      <c r="I385" s="39">
        <v>695</v>
      </c>
      <c r="J385" s="39">
        <v>0</v>
      </c>
      <c r="K385" s="40"/>
      <c r="L385" s="40"/>
      <c r="M385" s="40"/>
      <c r="N385" s="40"/>
      <c r="O385" s="40"/>
      <c r="P385" s="40"/>
      <c r="Q385" s="40"/>
      <c r="R385" s="40"/>
      <c r="S385" s="40"/>
      <c r="T385" s="40"/>
    </row>
    <row r="386" spans="1:20" ht="15.75">
      <c r="A386" s="13">
        <v>52901</v>
      </c>
      <c r="B386" s="48">
        <v>31</v>
      </c>
      <c r="C386" s="39">
        <v>131.881</v>
      </c>
      <c r="D386" s="39">
        <v>277.16699999999997</v>
      </c>
      <c r="E386" s="45">
        <v>829.952</v>
      </c>
      <c r="F386" s="39">
        <v>1239</v>
      </c>
      <c r="G386" s="39">
        <v>75</v>
      </c>
      <c r="H386" s="47">
        <v>600</v>
      </c>
      <c r="I386" s="39">
        <v>695</v>
      </c>
      <c r="J386" s="39">
        <v>0</v>
      </c>
      <c r="K386" s="40"/>
      <c r="L386" s="40"/>
      <c r="M386" s="40"/>
      <c r="N386" s="40"/>
      <c r="O386" s="40"/>
      <c r="P386" s="40"/>
      <c r="Q386" s="40"/>
      <c r="R386" s="40"/>
      <c r="S386" s="40"/>
      <c r="T386" s="40"/>
    </row>
    <row r="387" spans="1:20" ht="15.75">
      <c r="A387" s="13">
        <v>52931</v>
      </c>
      <c r="B387" s="48">
        <v>30</v>
      </c>
      <c r="C387" s="39">
        <v>122.58</v>
      </c>
      <c r="D387" s="39">
        <v>297.94099999999997</v>
      </c>
      <c r="E387" s="45">
        <v>729.47900000000004</v>
      </c>
      <c r="F387" s="39">
        <v>1150</v>
      </c>
      <c r="G387" s="39">
        <v>100</v>
      </c>
      <c r="H387" s="47">
        <v>600</v>
      </c>
      <c r="I387" s="39">
        <v>695</v>
      </c>
      <c r="J387" s="39">
        <v>50</v>
      </c>
      <c r="K387" s="40"/>
      <c r="L387" s="40"/>
      <c r="M387" s="40"/>
      <c r="N387" s="40"/>
      <c r="O387" s="40"/>
      <c r="P387" s="40"/>
      <c r="Q387" s="40"/>
      <c r="R387" s="40"/>
      <c r="S387" s="40"/>
      <c r="T387" s="40"/>
    </row>
    <row r="388" spans="1:20" ht="15.75">
      <c r="A388" s="13">
        <v>52962</v>
      </c>
      <c r="B388" s="48">
        <v>31</v>
      </c>
      <c r="C388" s="39">
        <v>122.58</v>
      </c>
      <c r="D388" s="39">
        <v>297.94099999999997</v>
      </c>
      <c r="E388" s="45">
        <v>729.47900000000004</v>
      </c>
      <c r="F388" s="39">
        <v>1150</v>
      </c>
      <c r="G388" s="39">
        <v>100</v>
      </c>
      <c r="H388" s="47">
        <v>600</v>
      </c>
      <c r="I388" s="39">
        <v>695</v>
      </c>
      <c r="J388" s="39">
        <v>50</v>
      </c>
      <c r="K388" s="40"/>
      <c r="L388" s="40"/>
      <c r="M388" s="40"/>
      <c r="N388" s="40"/>
      <c r="O388" s="40"/>
      <c r="P388" s="40"/>
      <c r="Q388" s="40"/>
      <c r="R388" s="40"/>
      <c r="S388" s="40"/>
      <c r="T388" s="40"/>
    </row>
    <row r="389" spans="1:20" ht="15.75">
      <c r="A389" s="13">
        <v>52993</v>
      </c>
      <c r="B389" s="48">
        <v>31</v>
      </c>
      <c r="C389" s="39">
        <v>122.58</v>
      </c>
      <c r="D389" s="39">
        <v>297.94099999999997</v>
      </c>
      <c r="E389" s="45">
        <v>729.47900000000004</v>
      </c>
      <c r="F389" s="39">
        <v>1150</v>
      </c>
      <c r="G389" s="39">
        <v>100</v>
      </c>
      <c r="H389" s="47">
        <v>600</v>
      </c>
      <c r="I389" s="39">
        <v>695</v>
      </c>
      <c r="J389" s="39">
        <v>50</v>
      </c>
      <c r="K389" s="40"/>
      <c r="L389" s="40"/>
      <c r="M389" s="40"/>
      <c r="N389" s="40"/>
      <c r="O389" s="40"/>
      <c r="P389" s="40"/>
      <c r="Q389" s="40"/>
      <c r="R389" s="40"/>
      <c r="S389" s="40"/>
      <c r="T389" s="40"/>
    </row>
    <row r="390" spans="1:20" ht="15.75">
      <c r="A390" s="13">
        <v>53021</v>
      </c>
      <c r="B390" s="48">
        <v>28</v>
      </c>
      <c r="C390" s="39">
        <v>122.58</v>
      </c>
      <c r="D390" s="39">
        <v>297.94099999999997</v>
      </c>
      <c r="E390" s="45">
        <v>729.47900000000004</v>
      </c>
      <c r="F390" s="39">
        <v>1150</v>
      </c>
      <c r="G390" s="39">
        <v>100</v>
      </c>
      <c r="H390" s="47">
        <v>600</v>
      </c>
      <c r="I390" s="39">
        <v>695</v>
      </c>
      <c r="J390" s="39">
        <v>50</v>
      </c>
      <c r="K390" s="40"/>
      <c r="L390" s="40"/>
      <c r="M390" s="40"/>
      <c r="N390" s="40"/>
      <c r="O390" s="40"/>
      <c r="P390" s="40"/>
      <c r="Q390" s="40"/>
      <c r="R390" s="40"/>
      <c r="S390" s="40"/>
      <c r="T390" s="40"/>
    </row>
    <row r="391" spans="1:20" ht="15.75">
      <c r="A391" s="13">
        <v>53052</v>
      </c>
      <c r="B391" s="48">
        <v>31</v>
      </c>
      <c r="C391" s="39">
        <v>122.58</v>
      </c>
      <c r="D391" s="39">
        <v>297.94099999999997</v>
      </c>
      <c r="E391" s="45">
        <v>729.47900000000004</v>
      </c>
      <c r="F391" s="39">
        <v>1150</v>
      </c>
      <c r="G391" s="39">
        <v>100</v>
      </c>
      <c r="H391" s="47">
        <v>600</v>
      </c>
      <c r="I391" s="39">
        <v>695</v>
      </c>
      <c r="J391" s="39">
        <v>50</v>
      </c>
      <c r="K391" s="40"/>
      <c r="L391" s="40"/>
      <c r="M391" s="40"/>
      <c r="N391" s="40"/>
      <c r="O391" s="40"/>
      <c r="P391" s="40"/>
      <c r="Q391" s="40"/>
      <c r="R391" s="40"/>
      <c r="S391" s="40"/>
      <c r="T391" s="40"/>
    </row>
    <row r="392" spans="1:20" ht="15.75">
      <c r="A392" s="13">
        <v>53082</v>
      </c>
      <c r="B392" s="48">
        <v>30</v>
      </c>
      <c r="C392" s="39">
        <v>141.29300000000001</v>
      </c>
      <c r="D392" s="39">
        <v>267.99299999999999</v>
      </c>
      <c r="E392" s="45">
        <v>829.71400000000006</v>
      </c>
      <c r="F392" s="39">
        <v>1239</v>
      </c>
      <c r="G392" s="39">
        <v>100</v>
      </c>
      <c r="H392" s="47">
        <v>600</v>
      </c>
      <c r="I392" s="39">
        <v>695</v>
      </c>
      <c r="J392" s="39">
        <v>50</v>
      </c>
      <c r="K392" s="40"/>
      <c r="L392" s="40"/>
      <c r="M392" s="40"/>
      <c r="N392" s="40"/>
      <c r="O392" s="40"/>
      <c r="P392" s="40"/>
      <c r="Q392" s="40"/>
      <c r="R392" s="40"/>
      <c r="S392" s="40"/>
      <c r="T392" s="40"/>
    </row>
    <row r="393" spans="1:20" ht="15.75">
      <c r="A393" s="13">
        <v>53113</v>
      </c>
      <c r="B393" s="48">
        <v>31</v>
      </c>
      <c r="C393" s="39">
        <v>194.20500000000001</v>
      </c>
      <c r="D393" s="39">
        <v>267.46600000000001</v>
      </c>
      <c r="E393" s="45">
        <v>812.32899999999995</v>
      </c>
      <c r="F393" s="39">
        <v>1274</v>
      </c>
      <c r="G393" s="39">
        <v>75</v>
      </c>
      <c r="H393" s="47">
        <v>600</v>
      </c>
      <c r="I393" s="39">
        <v>695</v>
      </c>
      <c r="J393" s="39">
        <v>50</v>
      </c>
      <c r="K393" s="40"/>
      <c r="L393" s="40"/>
      <c r="M393" s="40"/>
      <c r="N393" s="40"/>
      <c r="O393" s="40"/>
      <c r="P393" s="40"/>
      <c r="Q393" s="40"/>
      <c r="R393" s="40"/>
      <c r="S393" s="40"/>
      <c r="T393" s="40"/>
    </row>
    <row r="394" spans="1:20" ht="15.75">
      <c r="A394" s="13">
        <v>53143</v>
      </c>
      <c r="B394" s="48">
        <v>30</v>
      </c>
      <c r="C394" s="39">
        <v>194.20500000000001</v>
      </c>
      <c r="D394" s="39">
        <v>267.46600000000001</v>
      </c>
      <c r="E394" s="45">
        <v>812.32899999999995</v>
      </c>
      <c r="F394" s="39">
        <v>1274</v>
      </c>
      <c r="G394" s="39">
        <v>50</v>
      </c>
      <c r="H394" s="47">
        <v>600</v>
      </c>
      <c r="I394" s="39">
        <v>695</v>
      </c>
      <c r="J394" s="39">
        <v>50</v>
      </c>
      <c r="K394" s="40"/>
      <c r="L394" s="40"/>
      <c r="M394" s="40"/>
      <c r="N394" s="40"/>
      <c r="O394" s="40"/>
      <c r="P394" s="40"/>
      <c r="Q394" s="40"/>
      <c r="R394" s="40"/>
      <c r="S394" s="40"/>
      <c r="T394" s="40"/>
    </row>
    <row r="395" spans="1:20" ht="15.75">
      <c r="A395" s="13">
        <v>53174</v>
      </c>
      <c r="B395" s="48">
        <v>31</v>
      </c>
      <c r="C395" s="39">
        <v>194.20500000000001</v>
      </c>
      <c r="D395" s="39">
        <v>267.46600000000001</v>
      </c>
      <c r="E395" s="45">
        <v>812.32899999999995</v>
      </c>
      <c r="F395" s="39">
        <v>1274</v>
      </c>
      <c r="G395" s="39">
        <v>50</v>
      </c>
      <c r="H395" s="47">
        <v>600</v>
      </c>
      <c r="I395" s="39">
        <v>695</v>
      </c>
      <c r="J395" s="39">
        <v>0</v>
      </c>
      <c r="K395" s="40"/>
      <c r="L395" s="40"/>
      <c r="M395" s="40"/>
      <c r="N395" s="40"/>
      <c r="O395" s="40"/>
      <c r="P395" s="40"/>
      <c r="Q395" s="40"/>
      <c r="R395" s="40"/>
      <c r="S395" s="40"/>
      <c r="T395" s="40"/>
    </row>
    <row r="396" spans="1:20" ht="15.75">
      <c r="A396" s="13">
        <v>53205</v>
      </c>
      <c r="B396" s="48">
        <v>31</v>
      </c>
      <c r="C396" s="39">
        <v>194.20500000000001</v>
      </c>
      <c r="D396" s="39">
        <v>267.46600000000001</v>
      </c>
      <c r="E396" s="45">
        <v>812.32899999999995</v>
      </c>
      <c r="F396" s="39">
        <v>1274</v>
      </c>
      <c r="G396" s="39">
        <v>50</v>
      </c>
      <c r="H396" s="47">
        <v>600</v>
      </c>
      <c r="I396" s="39">
        <v>695</v>
      </c>
      <c r="J396" s="39">
        <v>0</v>
      </c>
      <c r="K396" s="40"/>
      <c r="L396" s="40"/>
      <c r="M396" s="40"/>
      <c r="N396" s="40"/>
      <c r="O396" s="40"/>
      <c r="P396" s="40"/>
      <c r="Q396" s="40"/>
      <c r="R396" s="40"/>
      <c r="S396" s="40"/>
      <c r="T396" s="40"/>
    </row>
    <row r="397" spans="1:20" ht="15.75">
      <c r="A397" s="13">
        <v>53235</v>
      </c>
      <c r="B397" s="48">
        <v>30</v>
      </c>
      <c r="C397" s="39">
        <v>194.20500000000001</v>
      </c>
      <c r="D397" s="39">
        <v>267.46600000000001</v>
      </c>
      <c r="E397" s="45">
        <v>812.32899999999995</v>
      </c>
      <c r="F397" s="39">
        <v>1274</v>
      </c>
      <c r="G397" s="39">
        <v>50</v>
      </c>
      <c r="H397" s="47">
        <v>600</v>
      </c>
      <c r="I397" s="39">
        <v>695</v>
      </c>
      <c r="J397" s="39">
        <v>0</v>
      </c>
      <c r="K397" s="40"/>
      <c r="L397" s="40"/>
      <c r="M397" s="40"/>
      <c r="N397" s="40"/>
      <c r="O397" s="40"/>
      <c r="P397" s="40"/>
      <c r="Q397" s="40"/>
      <c r="R397" s="40"/>
      <c r="S397" s="40"/>
      <c r="T397" s="40"/>
    </row>
    <row r="398" spans="1:20" ht="15.75">
      <c r="A398" s="13">
        <v>53266</v>
      </c>
      <c r="B398" s="48">
        <v>31</v>
      </c>
      <c r="C398" s="39">
        <v>131.881</v>
      </c>
      <c r="D398" s="39">
        <v>277.16699999999997</v>
      </c>
      <c r="E398" s="45">
        <v>829.952</v>
      </c>
      <c r="F398" s="39">
        <v>1239</v>
      </c>
      <c r="G398" s="39">
        <v>75</v>
      </c>
      <c r="H398" s="47">
        <v>600</v>
      </c>
      <c r="I398" s="39">
        <v>695</v>
      </c>
      <c r="J398" s="39">
        <v>0</v>
      </c>
      <c r="K398" s="40"/>
      <c r="L398" s="40"/>
      <c r="M398" s="40"/>
      <c r="N398" s="40"/>
      <c r="O398" s="40"/>
      <c r="P398" s="40"/>
      <c r="Q398" s="40"/>
      <c r="R398" s="40"/>
      <c r="S398" s="40"/>
      <c r="T398" s="40"/>
    </row>
    <row r="399" spans="1:20" ht="15.75">
      <c r="A399" s="13">
        <v>53296</v>
      </c>
      <c r="B399" s="48">
        <v>30</v>
      </c>
      <c r="C399" s="39">
        <v>122.58</v>
      </c>
      <c r="D399" s="39">
        <v>297.94099999999997</v>
      </c>
      <c r="E399" s="45">
        <v>729.47900000000004</v>
      </c>
      <c r="F399" s="39">
        <v>1150</v>
      </c>
      <c r="G399" s="39">
        <v>100</v>
      </c>
      <c r="H399" s="47">
        <v>600</v>
      </c>
      <c r="I399" s="39">
        <v>695</v>
      </c>
      <c r="J399" s="39">
        <v>50</v>
      </c>
      <c r="K399" s="40"/>
      <c r="L399" s="40"/>
      <c r="M399" s="40"/>
      <c r="N399" s="40"/>
      <c r="O399" s="40"/>
      <c r="P399" s="40"/>
      <c r="Q399" s="40"/>
      <c r="R399" s="40"/>
      <c r="S399" s="40"/>
      <c r="T399" s="40"/>
    </row>
    <row r="400" spans="1:20" ht="15.75">
      <c r="A400" s="13">
        <v>53327</v>
      </c>
      <c r="B400" s="48">
        <v>31</v>
      </c>
      <c r="C400" s="39">
        <v>122.58</v>
      </c>
      <c r="D400" s="39">
        <v>297.94099999999997</v>
      </c>
      <c r="E400" s="45">
        <v>729.47900000000004</v>
      </c>
      <c r="F400" s="39">
        <v>1150</v>
      </c>
      <c r="G400" s="39">
        <v>100</v>
      </c>
      <c r="H400" s="47">
        <v>600</v>
      </c>
      <c r="I400" s="39">
        <v>695</v>
      </c>
      <c r="J400" s="39">
        <v>50</v>
      </c>
      <c r="K400" s="40"/>
      <c r="L400" s="40"/>
      <c r="M400" s="40"/>
      <c r="N400" s="40"/>
      <c r="O400" s="40"/>
      <c r="P400" s="40"/>
      <c r="Q400" s="40"/>
      <c r="R400" s="40"/>
      <c r="S400" s="40"/>
      <c r="T400" s="40"/>
    </row>
    <row r="401" spans="1:20" ht="15.75">
      <c r="A401" s="13">
        <v>53358</v>
      </c>
      <c r="B401" s="48">
        <v>31</v>
      </c>
      <c r="C401" s="39">
        <v>122.58</v>
      </c>
      <c r="D401" s="39">
        <v>297.94099999999997</v>
      </c>
      <c r="E401" s="45">
        <v>729.47900000000004</v>
      </c>
      <c r="F401" s="39">
        <v>1150</v>
      </c>
      <c r="G401" s="39">
        <v>100</v>
      </c>
      <c r="H401" s="47">
        <v>600</v>
      </c>
      <c r="I401" s="39">
        <v>695</v>
      </c>
      <c r="J401" s="39">
        <v>50</v>
      </c>
      <c r="K401" s="40"/>
      <c r="L401" s="40"/>
      <c r="M401" s="40"/>
      <c r="N401" s="40"/>
      <c r="O401" s="40"/>
      <c r="P401" s="40"/>
      <c r="Q401" s="40"/>
      <c r="R401" s="40"/>
      <c r="S401" s="40"/>
      <c r="T401" s="40"/>
    </row>
    <row r="402" spans="1:20" ht="15.75">
      <c r="A402" s="13">
        <v>53386</v>
      </c>
      <c r="B402" s="48">
        <v>28</v>
      </c>
      <c r="C402" s="39">
        <v>122.58</v>
      </c>
      <c r="D402" s="39">
        <v>297.94099999999997</v>
      </c>
      <c r="E402" s="45">
        <v>729.47900000000004</v>
      </c>
      <c r="F402" s="39">
        <v>1150</v>
      </c>
      <c r="G402" s="39">
        <v>100</v>
      </c>
      <c r="H402" s="47">
        <v>600</v>
      </c>
      <c r="I402" s="39">
        <v>695</v>
      </c>
      <c r="J402" s="39">
        <v>50</v>
      </c>
      <c r="K402" s="40"/>
      <c r="L402" s="40"/>
      <c r="M402" s="40"/>
      <c r="N402" s="40"/>
      <c r="O402" s="40"/>
      <c r="P402" s="40"/>
      <c r="Q402" s="40"/>
      <c r="R402" s="40"/>
      <c r="S402" s="40"/>
      <c r="T402" s="40"/>
    </row>
    <row r="403" spans="1:20" ht="15.75">
      <c r="A403" s="13">
        <v>53417</v>
      </c>
      <c r="B403" s="48">
        <v>31</v>
      </c>
      <c r="C403" s="39">
        <v>122.58</v>
      </c>
      <c r="D403" s="39">
        <v>297.94099999999997</v>
      </c>
      <c r="E403" s="45">
        <v>729.47900000000004</v>
      </c>
      <c r="F403" s="39">
        <v>1150</v>
      </c>
      <c r="G403" s="39">
        <v>100</v>
      </c>
      <c r="H403" s="47">
        <v>600</v>
      </c>
      <c r="I403" s="39">
        <v>695</v>
      </c>
      <c r="J403" s="39">
        <v>50</v>
      </c>
      <c r="K403" s="40"/>
      <c r="L403" s="40"/>
      <c r="M403" s="40"/>
      <c r="N403" s="40"/>
      <c r="O403" s="40"/>
      <c r="P403" s="40"/>
      <c r="Q403" s="40"/>
      <c r="R403" s="40"/>
      <c r="S403" s="40"/>
      <c r="T403" s="40"/>
    </row>
    <row r="404" spans="1:20" ht="15.75">
      <c r="A404" s="13">
        <v>53447</v>
      </c>
      <c r="B404" s="48">
        <v>30</v>
      </c>
      <c r="C404" s="39">
        <v>141.29300000000001</v>
      </c>
      <c r="D404" s="39">
        <v>267.99299999999999</v>
      </c>
      <c r="E404" s="45">
        <v>829.71400000000006</v>
      </c>
      <c r="F404" s="39">
        <v>1239</v>
      </c>
      <c r="G404" s="39">
        <v>100</v>
      </c>
      <c r="H404" s="47">
        <v>600</v>
      </c>
      <c r="I404" s="39">
        <v>695</v>
      </c>
      <c r="J404" s="39">
        <v>50</v>
      </c>
      <c r="K404" s="40"/>
      <c r="L404" s="40"/>
      <c r="M404" s="40"/>
      <c r="N404" s="40"/>
      <c r="O404" s="40"/>
      <c r="P404" s="40"/>
      <c r="Q404" s="40"/>
      <c r="R404" s="40"/>
      <c r="S404" s="40"/>
      <c r="T404" s="40"/>
    </row>
    <row r="405" spans="1:20" ht="15.75">
      <c r="A405" s="13">
        <v>53478</v>
      </c>
      <c r="B405" s="48">
        <v>31</v>
      </c>
      <c r="C405" s="39">
        <v>194.20500000000001</v>
      </c>
      <c r="D405" s="39">
        <v>267.46600000000001</v>
      </c>
      <c r="E405" s="45">
        <v>812.32899999999995</v>
      </c>
      <c r="F405" s="39">
        <v>1274</v>
      </c>
      <c r="G405" s="39">
        <v>75</v>
      </c>
      <c r="H405" s="47">
        <v>600</v>
      </c>
      <c r="I405" s="39">
        <v>695</v>
      </c>
      <c r="J405" s="39">
        <v>50</v>
      </c>
      <c r="K405" s="40"/>
      <c r="L405" s="40"/>
      <c r="M405" s="40"/>
      <c r="N405" s="40"/>
      <c r="O405" s="40"/>
      <c r="P405" s="40"/>
      <c r="Q405" s="40"/>
      <c r="R405" s="40"/>
      <c r="S405" s="40"/>
      <c r="T405" s="40"/>
    </row>
    <row r="406" spans="1:20" ht="15.75">
      <c r="A406" s="13">
        <v>53508</v>
      </c>
      <c r="B406" s="48">
        <v>30</v>
      </c>
      <c r="C406" s="39">
        <v>194.20500000000001</v>
      </c>
      <c r="D406" s="39">
        <v>267.46600000000001</v>
      </c>
      <c r="E406" s="45">
        <v>812.32899999999995</v>
      </c>
      <c r="F406" s="39">
        <v>1274</v>
      </c>
      <c r="G406" s="39">
        <v>50</v>
      </c>
      <c r="H406" s="47">
        <v>600</v>
      </c>
      <c r="I406" s="39">
        <v>695</v>
      </c>
      <c r="J406" s="39">
        <v>50</v>
      </c>
      <c r="K406" s="40"/>
      <c r="L406" s="40"/>
      <c r="M406" s="40"/>
      <c r="N406" s="40"/>
      <c r="O406" s="40"/>
      <c r="P406" s="40"/>
      <c r="Q406" s="40"/>
      <c r="R406" s="40"/>
      <c r="S406" s="40"/>
      <c r="T406" s="40"/>
    </row>
    <row r="407" spans="1:20" ht="15.75">
      <c r="A407" s="13">
        <v>53539</v>
      </c>
      <c r="B407" s="48">
        <v>31</v>
      </c>
      <c r="C407" s="39">
        <v>194.20500000000001</v>
      </c>
      <c r="D407" s="39">
        <v>267.46600000000001</v>
      </c>
      <c r="E407" s="45">
        <v>812.32899999999995</v>
      </c>
      <c r="F407" s="39">
        <v>1274</v>
      </c>
      <c r="G407" s="39">
        <v>50</v>
      </c>
      <c r="H407" s="47">
        <v>600</v>
      </c>
      <c r="I407" s="39">
        <v>695</v>
      </c>
      <c r="J407" s="39">
        <v>0</v>
      </c>
      <c r="K407" s="40"/>
      <c r="L407" s="40"/>
      <c r="M407" s="40"/>
      <c r="N407" s="40"/>
      <c r="O407" s="40"/>
      <c r="P407" s="40"/>
      <c r="Q407" s="40"/>
      <c r="R407" s="40"/>
      <c r="S407" s="40"/>
      <c r="T407" s="40"/>
    </row>
    <row r="408" spans="1:20" ht="15.75">
      <c r="A408" s="13">
        <v>53570</v>
      </c>
      <c r="B408" s="48">
        <v>31</v>
      </c>
      <c r="C408" s="39">
        <v>194.20500000000001</v>
      </c>
      <c r="D408" s="39">
        <v>267.46600000000001</v>
      </c>
      <c r="E408" s="45">
        <v>812.32899999999995</v>
      </c>
      <c r="F408" s="39">
        <v>1274</v>
      </c>
      <c r="G408" s="39">
        <v>50</v>
      </c>
      <c r="H408" s="47">
        <v>600</v>
      </c>
      <c r="I408" s="39">
        <v>695</v>
      </c>
      <c r="J408" s="39">
        <v>0</v>
      </c>
      <c r="K408" s="40"/>
      <c r="L408" s="40"/>
      <c r="M408" s="40"/>
      <c r="N408" s="40"/>
      <c r="O408" s="40"/>
      <c r="P408" s="40"/>
      <c r="Q408" s="40"/>
      <c r="R408" s="40"/>
      <c r="S408" s="40"/>
      <c r="T408" s="40"/>
    </row>
    <row r="409" spans="1:20" ht="15.75">
      <c r="A409" s="13">
        <v>53600</v>
      </c>
      <c r="B409" s="48">
        <v>30</v>
      </c>
      <c r="C409" s="39">
        <v>194.20500000000001</v>
      </c>
      <c r="D409" s="39">
        <v>267.46600000000001</v>
      </c>
      <c r="E409" s="45">
        <v>812.32899999999995</v>
      </c>
      <c r="F409" s="39">
        <v>1274</v>
      </c>
      <c r="G409" s="39">
        <v>50</v>
      </c>
      <c r="H409" s="47">
        <v>600</v>
      </c>
      <c r="I409" s="39">
        <v>695</v>
      </c>
      <c r="J409" s="39">
        <v>0</v>
      </c>
      <c r="K409" s="40"/>
      <c r="L409" s="40"/>
      <c r="M409" s="40"/>
      <c r="N409" s="40"/>
      <c r="O409" s="40"/>
      <c r="P409" s="40"/>
      <c r="Q409" s="40"/>
      <c r="R409" s="40"/>
      <c r="S409" s="40"/>
      <c r="T409" s="40"/>
    </row>
    <row r="410" spans="1:20" ht="15.75">
      <c r="A410" s="13">
        <v>53631</v>
      </c>
      <c r="B410" s="48">
        <v>31</v>
      </c>
      <c r="C410" s="39">
        <v>131.881</v>
      </c>
      <c r="D410" s="39">
        <v>277.16699999999997</v>
      </c>
      <c r="E410" s="45">
        <v>829.952</v>
      </c>
      <c r="F410" s="39">
        <v>1239</v>
      </c>
      <c r="G410" s="39">
        <v>75</v>
      </c>
      <c r="H410" s="47">
        <v>600</v>
      </c>
      <c r="I410" s="39">
        <v>695</v>
      </c>
      <c r="J410" s="39">
        <v>0</v>
      </c>
      <c r="K410" s="40"/>
      <c r="L410" s="40"/>
      <c r="M410" s="40"/>
      <c r="N410" s="40"/>
      <c r="O410" s="40"/>
      <c r="P410" s="40"/>
      <c r="Q410" s="40"/>
      <c r="R410" s="40"/>
      <c r="S410" s="40"/>
      <c r="T410" s="40"/>
    </row>
    <row r="411" spans="1:20" ht="15.75">
      <c r="A411" s="13">
        <v>53661</v>
      </c>
      <c r="B411" s="48">
        <v>30</v>
      </c>
      <c r="C411" s="39">
        <v>122.58</v>
      </c>
      <c r="D411" s="39">
        <v>297.94099999999997</v>
      </c>
      <c r="E411" s="45">
        <v>729.47900000000004</v>
      </c>
      <c r="F411" s="39">
        <v>1150</v>
      </c>
      <c r="G411" s="39">
        <v>100</v>
      </c>
      <c r="H411" s="47">
        <v>600</v>
      </c>
      <c r="I411" s="39">
        <v>695</v>
      </c>
      <c r="J411" s="39">
        <v>50</v>
      </c>
      <c r="K411" s="40"/>
      <c r="L411" s="40"/>
      <c r="M411" s="40"/>
      <c r="N411" s="40"/>
      <c r="O411" s="40"/>
      <c r="P411" s="40"/>
      <c r="Q411" s="40"/>
      <c r="R411" s="40"/>
      <c r="S411" s="40"/>
      <c r="T411" s="40"/>
    </row>
    <row r="412" spans="1:20" ht="15.75">
      <c r="A412" s="13">
        <v>53692</v>
      </c>
      <c r="B412" s="48">
        <v>31</v>
      </c>
      <c r="C412" s="39">
        <v>122.58</v>
      </c>
      <c r="D412" s="39">
        <v>297.94099999999997</v>
      </c>
      <c r="E412" s="45">
        <v>729.47900000000004</v>
      </c>
      <c r="F412" s="39">
        <v>1150</v>
      </c>
      <c r="G412" s="39">
        <v>100</v>
      </c>
      <c r="H412" s="47">
        <v>600</v>
      </c>
      <c r="I412" s="39">
        <v>695</v>
      </c>
      <c r="J412" s="39">
        <v>50</v>
      </c>
      <c r="K412" s="40"/>
      <c r="L412" s="40"/>
      <c r="M412" s="40"/>
      <c r="N412" s="40"/>
      <c r="O412" s="40"/>
      <c r="P412" s="40"/>
      <c r="Q412" s="40"/>
      <c r="R412" s="40"/>
      <c r="S412" s="40"/>
      <c r="T412" s="40"/>
    </row>
    <row r="413" spans="1:20" ht="15.75">
      <c r="A413" s="13">
        <v>53723</v>
      </c>
      <c r="B413" s="48">
        <v>31</v>
      </c>
      <c r="C413" s="39">
        <v>122.58</v>
      </c>
      <c r="D413" s="39">
        <v>297.94099999999997</v>
      </c>
      <c r="E413" s="45">
        <v>729.47900000000004</v>
      </c>
      <c r="F413" s="39">
        <v>1150</v>
      </c>
      <c r="G413" s="39">
        <v>100</v>
      </c>
      <c r="H413" s="47">
        <v>600</v>
      </c>
      <c r="I413" s="39">
        <v>695</v>
      </c>
      <c r="J413" s="39">
        <v>50</v>
      </c>
      <c r="K413" s="40"/>
      <c r="L413" s="40"/>
      <c r="M413" s="40"/>
      <c r="N413" s="40"/>
      <c r="O413" s="40"/>
      <c r="P413" s="40"/>
      <c r="Q413" s="40"/>
      <c r="R413" s="40"/>
      <c r="S413" s="40"/>
      <c r="T413" s="40"/>
    </row>
    <row r="414" spans="1:20" ht="15.75">
      <c r="A414" s="13">
        <v>53751</v>
      </c>
      <c r="B414" s="48">
        <v>28</v>
      </c>
      <c r="C414" s="39">
        <v>122.58</v>
      </c>
      <c r="D414" s="39">
        <v>297.94099999999997</v>
      </c>
      <c r="E414" s="45">
        <v>729.47900000000004</v>
      </c>
      <c r="F414" s="39">
        <v>1150</v>
      </c>
      <c r="G414" s="39">
        <v>100</v>
      </c>
      <c r="H414" s="47">
        <v>600</v>
      </c>
      <c r="I414" s="39">
        <v>695</v>
      </c>
      <c r="J414" s="39">
        <v>50</v>
      </c>
      <c r="K414" s="40"/>
      <c r="L414" s="40"/>
      <c r="M414" s="40"/>
      <c r="N414" s="40"/>
      <c r="O414" s="40"/>
      <c r="P414" s="40"/>
      <c r="Q414" s="40"/>
      <c r="R414" s="40"/>
      <c r="S414" s="40"/>
      <c r="T414" s="40"/>
    </row>
    <row r="415" spans="1:20" ht="15.75">
      <c r="A415" s="13">
        <v>53782</v>
      </c>
      <c r="B415" s="48">
        <v>31</v>
      </c>
      <c r="C415" s="39">
        <v>122.58</v>
      </c>
      <c r="D415" s="39">
        <v>297.94099999999997</v>
      </c>
      <c r="E415" s="45">
        <v>729.47900000000004</v>
      </c>
      <c r="F415" s="39">
        <v>1150</v>
      </c>
      <c r="G415" s="39">
        <v>100</v>
      </c>
      <c r="H415" s="47">
        <v>600</v>
      </c>
      <c r="I415" s="39">
        <v>695</v>
      </c>
      <c r="J415" s="39">
        <v>50</v>
      </c>
      <c r="K415" s="40"/>
      <c r="L415" s="40"/>
      <c r="M415" s="40"/>
      <c r="N415" s="40"/>
      <c r="O415" s="40"/>
      <c r="P415" s="40"/>
      <c r="Q415" s="40"/>
      <c r="R415" s="40"/>
      <c r="S415" s="40"/>
      <c r="T415" s="40"/>
    </row>
    <row r="416" spans="1:20" ht="15.75">
      <c r="A416" s="13">
        <v>53812</v>
      </c>
      <c r="B416" s="48">
        <v>30</v>
      </c>
      <c r="C416" s="39">
        <v>141.29300000000001</v>
      </c>
      <c r="D416" s="39">
        <v>267.99299999999999</v>
      </c>
      <c r="E416" s="45">
        <v>829.71400000000006</v>
      </c>
      <c r="F416" s="39">
        <v>1239</v>
      </c>
      <c r="G416" s="39">
        <v>100</v>
      </c>
      <c r="H416" s="47">
        <v>600</v>
      </c>
      <c r="I416" s="39">
        <v>695</v>
      </c>
      <c r="J416" s="39">
        <v>50</v>
      </c>
      <c r="K416" s="40"/>
      <c r="L416" s="40"/>
      <c r="M416" s="40"/>
      <c r="N416" s="40"/>
      <c r="O416" s="40"/>
      <c r="P416" s="40"/>
      <c r="Q416" s="40"/>
      <c r="R416" s="40"/>
      <c r="S416" s="40"/>
      <c r="T416" s="40"/>
    </row>
    <row r="417" spans="1:20" ht="15.75">
      <c r="A417" s="13">
        <v>53843</v>
      </c>
      <c r="B417" s="48">
        <v>31</v>
      </c>
      <c r="C417" s="39">
        <v>194.20500000000001</v>
      </c>
      <c r="D417" s="39">
        <v>267.46600000000001</v>
      </c>
      <c r="E417" s="45">
        <v>812.32899999999995</v>
      </c>
      <c r="F417" s="39">
        <v>1274</v>
      </c>
      <c r="G417" s="39">
        <v>75</v>
      </c>
      <c r="H417" s="47">
        <v>600</v>
      </c>
      <c r="I417" s="39">
        <v>695</v>
      </c>
      <c r="J417" s="39">
        <v>50</v>
      </c>
      <c r="K417" s="40"/>
      <c r="L417" s="40"/>
      <c r="M417" s="40"/>
      <c r="N417" s="40"/>
      <c r="O417" s="40"/>
      <c r="P417" s="40"/>
      <c r="Q417" s="40"/>
      <c r="R417" s="40"/>
      <c r="S417" s="40"/>
      <c r="T417" s="40"/>
    </row>
    <row r="418" spans="1:20" ht="15.75">
      <c r="A418" s="13">
        <v>53873</v>
      </c>
      <c r="B418" s="48">
        <v>30</v>
      </c>
      <c r="C418" s="39">
        <v>194.20500000000001</v>
      </c>
      <c r="D418" s="39">
        <v>267.46600000000001</v>
      </c>
      <c r="E418" s="45">
        <v>812.32899999999995</v>
      </c>
      <c r="F418" s="39">
        <v>1274</v>
      </c>
      <c r="G418" s="39">
        <v>50</v>
      </c>
      <c r="H418" s="47">
        <v>600</v>
      </c>
      <c r="I418" s="39">
        <v>695</v>
      </c>
      <c r="J418" s="39">
        <v>50</v>
      </c>
      <c r="K418" s="40"/>
      <c r="L418" s="40"/>
      <c r="M418" s="40"/>
      <c r="N418" s="40"/>
      <c r="O418" s="40"/>
      <c r="P418" s="40"/>
      <c r="Q418" s="40"/>
      <c r="R418" s="40"/>
      <c r="S418" s="40"/>
      <c r="T418" s="40"/>
    </row>
    <row r="419" spans="1:20" ht="15.75">
      <c r="A419" s="13">
        <v>53904</v>
      </c>
      <c r="B419" s="48">
        <v>31</v>
      </c>
      <c r="C419" s="39">
        <v>194.20500000000001</v>
      </c>
      <c r="D419" s="39">
        <v>267.46600000000001</v>
      </c>
      <c r="E419" s="45">
        <v>812.32899999999995</v>
      </c>
      <c r="F419" s="39">
        <v>1274</v>
      </c>
      <c r="G419" s="39">
        <v>50</v>
      </c>
      <c r="H419" s="47">
        <v>600</v>
      </c>
      <c r="I419" s="39">
        <v>695</v>
      </c>
      <c r="J419" s="39">
        <v>0</v>
      </c>
      <c r="K419" s="40"/>
      <c r="L419" s="40"/>
      <c r="M419" s="40"/>
      <c r="N419" s="40"/>
      <c r="O419" s="40"/>
      <c r="P419" s="40"/>
      <c r="Q419" s="40"/>
      <c r="R419" s="40"/>
      <c r="S419" s="40"/>
      <c r="T419" s="40"/>
    </row>
    <row r="420" spans="1:20" ht="15.75">
      <c r="A420" s="13">
        <v>53935</v>
      </c>
      <c r="B420" s="48">
        <v>31</v>
      </c>
      <c r="C420" s="39">
        <v>194.20500000000001</v>
      </c>
      <c r="D420" s="39">
        <v>267.46600000000001</v>
      </c>
      <c r="E420" s="45">
        <v>812.32899999999995</v>
      </c>
      <c r="F420" s="39">
        <v>1274</v>
      </c>
      <c r="G420" s="39">
        <v>50</v>
      </c>
      <c r="H420" s="47">
        <v>600</v>
      </c>
      <c r="I420" s="39">
        <v>695</v>
      </c>
      <c r="J420" s="39">
        <v>0</v>
      </c>
      <c r="K420" s="40"/>
      <c r="L420" s="40"/>
      <c r="M420" s="40"/>
      <c r="N420" s="40"/>
      <c r="O420" s="40"/>
      <c r="P420" s="40"/>
      <c r="Q420" s="40"/>
      <c r="R420" s="40"/>
      <c r="S420" s="40"/>
      <c r="T420" s="40"/>
    </row>
    <row r="421" spans="1:20" ht="15.75">
      <c r="A421" s="13">
        <v>53965</v>
      </c>
      <c r="B421" s="48">
        <v>30</v>
      </c>
      <c r="C421" s="39">
        <v>194.20500000000001</v>
      </c>
      <c r="D421" s="39">
        <v>267.46600000000001</v>
      </c>
      <c r="E421" s="45">
        <v>812.32899999999995</v>
      </c>
      <c r="F421" s="39">
        <v>1274</v>
      </c>
      <c r="G421" s="39">
        <v>50</v>
      </c>
      <c r="H421" s="47">
        <v>600</v>
      </c>
      <c r="I421" s="39">
        <v>695</v>
      </c>
      <c r="J421" s="39">
        <v>0</v>
      </c>
      <c r="K421" s="40"/>
      <c r="L421" s="40"/>
      <c r="M421" s="40"/>
      <c r="N421" s="40"/>
      <c r="O421" s="40"/>
      <c r="P421" s="40"/>
      <c r="Q421" s="40"/>
      <c r="R421" s="40"/>
      <c r="S421" s="40"/>
      <c r="T421" s="40"/>
    </row>
    <row r="422" spans="1:20" ht="15.75">
      <c r="A422" s="13">
        <v>53996</v>
      </c>
      <c r="B422" s="48">
        <v>31</v>
      </c>
      <c r="C422" s="39">
        <v>131.881</v>
      </c>
      <c r="D422" s="39">
        <v>277.16699999999997</v>
      </c>
      <c r="E422" s="45">
        <v>829.952</v>
      </c>
      <c r="F422" s="39">
        <v>1239</v>
      </c>
      <c r="G422" s="39">
        <v>75</v>
      </c>
      <c r="H422" s="47">
        <v>600</v>
      </c>
      <c r="I422" s="39">
        <v>695</v>
      </c>
      <c r="J422" s="39">
        <v>0</v>
      </c>
      <c r="K422" s="40"/>
      <c r="L422" s="40"/>
      <c r="M422" s="40"/>
      <c r="N422" s="40"/>
      <c r="O422" s="40"/>
      <c r="P422" s="40"/>
      <c r="Q422" s="40"/>
      <c r="R422" s="40"/>
      <c r="S422" s="40"/>
      <c r="T422" s="40"/>
    </row>
    <row r="423" spans="1:20" ht="15.75">
      <c r="A423" s="13">
        <v>54026</v>
      </c>
      <c r="B423" s="48">
        <v>30</v>
      </c>
      <c r="C423" s="39">
        <v>122.58</v>
      </c>
      <c r="D423" s="39">
        <v>297.94099999999997</v>
      </c>
      <c r="E423" s="45">
        <v>729.47900000000004</v>
      </c>
      <c r="F423" s="39">
        <v>1150</v>
      </c>
      <c r="G423" s="39">
        <v>100</v>
      </c>
      <c r="H423" s="47">
        <v>600</v>
      </c>
      <c r="I423" s="39">
        <v>695</v>
      </c>
      <c r="J423" s="39">
        <v>50</v>
      </c>
      <c r="K423" s="40"/>
      <c r="L423" s="40"/>
      <c r="M423" s="40"/>
      <c r="N423" s="40"/>
      <c r="O423" s="40"/>
      <c r="P423" s="40"/>
      <c r="Q423" s="40"/>
      <c r="R423" s="40"/>
      <c r="S423" s="40"/>
      <c r="T423" s="40"/>
    </row>
    <row r="424" spans="1:20" ht="15.75">
      <c r="A424" s="13">
        <v>54057</v>
      </c>
      <c r="B424" s="48">
        <v>31</v>
      </c>
      <c r="C424" s="39">
        <v>122.58</v>
      </c>
      <c r="D424" s="39">
        <v>297.94099999999997</v>
      </c>
      <c r="E424" s="45">
        <v>729.47900000000004</v>
      </c>
      <c r="F424" s="39">
        <v>1150</v>
      </c>
      <c r="G424" s="39">
        <v>100</v>
      </c>
      <c r="H424" s="47">
        <v>600</v>
      </c>
      <c r="I424" s="39">
        <v>695</v>
      </c>
      <c r="J424" s="39">
        <v>50</v>
      </c>
      <c r="K424" s="40"/>
      <c r="L424" s="40"/>
      <c r="M424" s="40"/>
      <c r="N424" s="40"/>
      <c r="O424" s="40"/>
      <c r="P424" s="40"/>
      <c r="Q424" s="40"/>
      <c r="R424" s="40"/>
      <c r="S424" s="40"/>
      <c r="T424" s="40"/>
    </row>
    <row r="425" spans="1:20" ht="15.75">
      <c r="A425" s="13">
        <v>54088</v>
      </c>
      <c r="B425" s="48">
        <v>31</v>
      </c>
      <c r="C425" s="39">
        <v>122.58</v>
      </c>
      <c r="D425" s="39">
        <v>297.94099999999997</v>
      </c>
      <c r="E425" s="45">
        <v>729.47900000000004</v>
      </c>
      <c r="F425" s="39">
        <v>1150</v>
      </c>
      <c r="G425" s="39">
        <v>100</v>
      </c>
      <c r="H425" s="47">
        <v>600</v>
      </c>
      <c r="I425" s="39">
        <v>695</v>
      </c>
      <c r="J425" s="39">
        <v>50</v>
      </c>
      <c r="K425" s="40"/>
      <c r="L425" s="40"/>
      <c r="M425" s="40"/>
      <c r="N425" s="40"/>
      <c r="O425" s="40"/>
      <c r="P425" s="40"/>
      <c r="Q425" s="40"/>
      <c r="R425" s="40"/>
      <c r="S425" s="40"/>
      <c r="T425" s="40"/>
    </row>
    <row r="426" spans="1:20" ht="15.75">
      <c r="A426" s="13">
        <v>54116</v>
      </c>
      <c r="B426" s="48">
        <v>29</v>
      </c>
      <c r="C426" s="39">
        <v>122.58</v>
      </c>
      <c r="D426" s="39">
        <v>297.94099999999997</v>
      </c>
      <c r="E426" s="45">
        <v>729.47900000000004</v>
      </c>
      <c r="F426" s="39">
        <v>1150</v>
      </c>
      <c r="G426" s="39">
        <v>100</v>
      </c>
      <c r="H426" s="47">
        <v>600</v>
      </c>
      <c r="I426" s="39">
        <v>695</v>
      </c>
      <c r="J426" s="39">
        <v>50</v>
      </c>
      <c r="K426" s="40"/>
      <c r="L426" s="40"/>
      <c r="M426" s="40"/>
      <c r="N426" s="40"/>
      <c r="O426" s="40"/>
      <c r="P426" s="40"/>
      <c r="Q426" s="40"/>
      <c r="R426" s="40"/>
      <c r="S426" s="40"/>
      <c r="T426" s="40"/>
    </row>
    <row r="427" spans="1:20" ht="15.75">
      <c r="A427" s="13">
        <v>54148</v>
      </c>
      <c r="B427" s="48">
        <v>31</v>
      </c>
      <c r="C427" s="39">
        <v>122.58</v>
      </c>
      <c r="D427" s="39">
        <v>297.94099999999997</v>
      </c>
      <c r="E427" s="45">
        <v>729.47900000000004</v>
      </c>
      <c r="F427" s="39">
        <v>1150</v>
      </c>
      <c r="G427" s="39">
        <v>100</v>
      </c>
      <c r="H427" s="47">
        <v>600</v>
      </c>
      <c r="I427" s="39">
        <v>695</v>
      </c>
      <c r="J427" s="39">
        <v>50</v>
      </c>
      <c r="K427" s="40"/>
      <c r="L427" s="40"/>
      <c r="M427" s="40"/>
      <c r="N427" s="40"/>
      <c r="O427" s="40"/>
      <c r="P427" s="40"/>
      <c r="Q427" s="40"/>
      <c r="R427" s="40"/>
      <c r="S427" s="40"/>
      <c r="T427" s="40"/>
    </row>
    <row r="428" spans="1:20" ht="15.75">
      <c r="A428" s="13">
        <v>54178</v>
      </c>
      <c r="B428" s="48">
        <v>30</v>
      </c>
      <c r="C428" s="39">
        <v>141.29300000000001</v>
      </c>
      <c r="D428" s="39">
        <v>267.99299999999999</v>
      </c>
      <c r="E428" s="45">
        <v>829.71400000000006</v>
      </c>
      <c r="F428" s="39">
        <v>1239</v>
      </c>
      <c r="G428" s="39">
        <v>100</v>
      </c>
      <c r="H428" s="47">
        <v>600</v>
      </c>
      <c r="I428" s="39">
        <v>695</v>
      </c>
      <c r="J428" s="39">
        <v>50</v>
      </c>
      <c r="K428" s="40"/>
      <c r="L428" s="40"/>
      <c r="M428" s="40"/>
      <c r="N428" s="40"/>
      <c r="O428" s="40"/>
      <c r="P428" s="40"/>
      <c r="Q428" s="40"/>
      <c r="R428" s="40"/>
      <c r="S428" s="40"/>
      <c r="T428" s="40"/>
    </row>
    <row r="429" spans="1:20" ht="15.75">
      <c r="A429" s="13">
        <v>54209</v>
      </c>
      <c r="B429" s="48">
        <v>31</v>
      </c>
      <c r="C429" s="39">
        <v>194.20500000000001</v>
      </c>
      <c r="D429" s="39">
        <v>267.46600000000001</v>
      </c>
      <c r="E429" s="45">
        <v>812.32899999999995</v>
      </c>
      <c r="F429" s="39">
        <v>1274</v>
      </c>
      <c r="G429" s="39">
        <v>75</v>
      </c>
      <c r="H429" s="47">
        <v>600</v>
      </c>
      <c r="I429" s="39">
        <v>695</v>
      </c>
      <c r="J429" s="39">
        <v>50</v>
      </c>
      <c r="K429" s="40"/>
      <c r="L429" s="40"/>
      <c r="M429" s="40"/>
      <c r="N429" s="40"/>
      <c r="O429" s="40"/>
      <c r="P429" s="40"/>
      <c r="Q429" s="40"/>
      <c r="R429" s="40"/>
      <c r="S429" s="40"/>
      <c r="T429" s="40"/>
    </row>
    <row r="430" spans="1:20" ht="15.75">
      <c r="A430" s="13">
        <v>54239</v>
      </c>
      <c r="B430" s="48">
        <v>30</v>
      </c>
      <c r="C430" s="39">
        <v>194.20500000000001</v>
      </c>
      <c r="D430" s="39">
        <v>267.46600000000001</v>
      </c>
      <c r="E430" s="45">
        <v>812.32899999999995</v>
      </c>
      <c r="F430" s="39">
        <v>1274</v>
      </c>
      <c r="G430" s="39">
        <v>50</v>
      </c>
      <c r="H430" s="47">
        <v>600</v>
      </c>
      <c r="I430" s="39">
        <v>695</v>
      </c>
      <c r="J430" s="39">
        <v>50</v>
      </c>
      <c r="K430" s="40"/>
      <c r="L430" s="40"/>
      <c r="M430" s="40"/>
      <c r="N430" s="40"/>
      <c r="O430" s="40"/>
      <c r="P430" s="40"/>
      <c r="Q430" s="40"/>
      <c r="R430" s="40"/>
      <c r="S430" s="40"/>
      <c r="T430" s="40"/>
    </row>
    <row r="431" spans="1:20" ht="15.75">
      <c r="A431" s="13">
        <v>54270</v>
      </c>
      <c r="B431" s="48">
        <v>31</v>
      </c>
      <c r="C431" s="39">
        <v>194.20500000000001</v>
      </c>
      <c r="D431" s="39">
        <v>267.46600000000001</v>
      </c>
      <c r="E431" s="45">
        <v>812.32899999999995</v>
      </c>
      <c r="F431" s="39">
        <v>1274</v>
      </c>
      <c r="G431" s="39">
        <v>50</v>
      </c>
      <c r="H431" s="47">
        <v>600</v>
      </c>
      <c r="I431" s="39">
        <v>695</v>
      </c>
      <c r="J431" s="39">
        <v>0</v>
      </c>
      <c r="K431" s="40"/>
      <c r="L431" s="40"/>
      <c r="M431" s="40"/>
      <c r="N431" s="40"/>
      <c r="O431" s="40"/>
      <c r="P431" s="40"/>
      <c r="Q431" s="40"/>
      <c r="R431" s="40"/>
      <c r="S431" s="40"/>
      <c r="T431" s="40"/>
    </row>
    <row r="432" spans="1:20" ht="15.75">
      <c r="A432" s="13">
        <v>54301</v>
      </c>
      <c r="B432" s="48">
        <v>31</v>
      </c>
      <c r="C432" s="39">
        <v>194.20500000000001</v>
      </c>
      <c r="D432" s="39">
        <v>267.46600000000001</v>
      </c>
      <c r="E432" s="45">
        <v>812.32899999999995</v>
      </c>
      <c r="F432" s="39">
        <v>1274</v>
      </c>
      <c r="G432" s="39">
        <v>50</v>
      </c>
      <c r="H432" s="47">
        <v>600</v>
      </c>
      <c r="I432" s="39">
        <v>695</v>
      </c>
      <c r="J432" s="39">
        <v>0</v>
      </c>
      <c r="K432" s="40"/>
      <c r="L432" s="40"/>
      <c r="M432" s="40"/>
      <c r="N432" s="40"/>
      <c r="O432" s="40"/>
      <c r="P432" s="40"/>
      <c r="Q432" s="40"/>
      <c r="R432" s="40"/>
      <c r="S432" s="40"/>
      <c r="T432" s="40"/>
    </row>
    <row r="433" spans="1:20" ht="15.75">
      <c r="A433" s="13">
        <v>54331</v>
      </c>
      <c r="B433" s="48">
        <v>30</v>
      </c>
      <c r="C433" s="39">
        <v>194.20500000000001</v>
      </c>
      <c r="D433" s="39">
        <v>267.46600000000001</v>
      </c>
      <c r="E433" s="45">
        <v>812.32899999999995</v>
      </c>
      <c r="F433" s="39">
        <v>1274</v>
      </c>
      <c r="G433" s="39">
        <v>50</v>
      </c>
      <c r="H433" s="47">
        <v>600</v>
      </c>
      <c r="I433" s="39">
        <v>695</v>
      </c>
      <c r="J433" s="39">
        <v>0</v>
      </c>
      <c r="K433" s="40"/>
      <c r="L433" s="40"/>
      <c r="M433" s="40"/>
      <c r="N433" s="40"/>
      <c r="O433" s="40"/>
      <c r="P433" s="40"/>
      <c r="Q433" s="40"/>
      <c r="R433" s="40"/>
      <c r="S433" s="40"/>
      <c r="T433" s="40"/>
    </row>
    <row r="434" spans="1:20" ht="15.75">
      <c r="A434" s="13">
        <v>54362</v>
      </c>
      <c r="B434" s="48">
        <v>31</v>
      </c>
      <c r="C434" s="39">
        <v>131.881</v>
      </c>
      <c r="D434" s="39">
        <v>277.16699999999997</v>
      </c>
      <c r="E434" s="45">
        <v>829.952</v>
      </c>
      <c r="F434" s="39">
        <v>1239</v>
      </c>
      <c r="G434" s="39">
        <v>75</v>
      </c>
      <c r="H434" s="47">
        <v>600</v>
      </c>
      <c r="I434" s="39">
        <v>695</v>
      </c>
      <c r="J434" s="39">
        <v>0</v>
      </c>
      <c r="K434" s="40"/>
      <c r="L434" s="40"/>
      <c r="M434" s="40"/>
      <c r="N434" s="40"/>
      <c r="O434" s="40"/>
      <c r="P434" s="40"/>
      <c r="Q434" s="40"/>
      <c r="R434" s="40"/>
      <c r="S434" s="40"/>
      <c r="T434" s="40"/>
    </row>
    <row r="435" spans="1:20" ht="15.75">
      <c r="A435" s="13">
        <v>54392</v>
      </c>
      <c r="B435" s="48">
        <v>30</v>
      </c>
      <c r="C435" s="39">
        <v>122.58</v>
      </c>
      <c r="D435" s="39">
        <v>297.94099999999997</v>
      </c>
      <c r="E435" s="45">
        <v>729.47900000000004</v>
      </c>
      <c r="F435" s="39">
        <v>1150</v>
      </c>
      <c r="G435" s="39">
        <v>100</v>
      </c>
      <c r="H435" s="47">
        <v>600</v>
      </c>
      <c r="I435" s="39">
        <v>695</v>
      </c>
      <c r="J435" s="39">
        <v>50</v>
      </c>
      <c r="K435" s="40"/>
      <c r="L435" s="40"/>
      <c r="M435" s="40"/>
      <c r="N435" s="40"/>
      <c r="O435" s="40"/>
      <c r="P435" s="40"/>
      <c r="Q435" s="40"/>
      <c r="R435" s="40"/>
      <c r="S435" s="40"/>
      <c r="T435" s="40"/>
    </row>
    <row r="436" spans="1:20" ht="15.75">
      <c r="A436" s="13">
        <v>54423</v>
      </c>
      <c r="B436" s="48">
        <v>31</v>
      </c>
      <c r="C436" s="39">
        <v>122.58</v>
      </c>
      <c r="D436" s="39">
        <v>297.94099999999997</v>
      </c>
      <c r="E436" s="45">
        <v>729.47900000000004</v>
      </c>
      <c r="F436" s="39">
        <v>1150</v>
      </c>
      <c r="G436" s="39">
        <v>100</v>
      </c>
      <c r="H436" s="47">
        <v>600</v>
      </c>
      <c r="I436" s="39">
        <v>695</v>
      </c>
      <c r="J436" s="39">
        <v>50</v>
      </c>
      <c r="K436" s="40"/>
      <c r="L436" s="40"/>
      <c r="M436" s="40"/>
      <c r="N436" s="40"/>
      <c r="O436" s="40"/>
      <c r="P436" s="40"/>
      <c r="Q436" s="40"/>
      <c r="R436" s="40"/>
      <c r="S436" s="40"/>
      <c r="T436" s="40"/>
    </row>
    <row r="437" spans="1:20" ht="15.75">
      <c r="A437" s="13">
        <v>54454</v>
      </c>
      <c r="B437" s="48">
        <v>31</v>
      </c>
      <c r="C437" s="39">
        <v>122.58</v>
      </c>
      <c r="D437" s="39">
        <v>297.94099999999997</v>
      </c>
      <c r="E437" s="45">
        <v>729.47900000000004</v>
      </c>
      <c r="F437" s="39">
        <v>1150</v>
      </c>
      <c r="G437" s="39">
        <v>100</v>
      </c>
      <c r="H437" s="47">
        <v>600</v>
      </c>
      <c r="I437" s="39">
        <v>695</v>
      </c>
      <c r="J437" s="39">
        <v>50</v>
      </c>
      <c r="K437" s="40"/>
      <c r="L437" s="40"/>
      <c r="M437" s="40"/>
      <c r="N437" s="40"/>
      <c r="O437" s="40"/>
      <c r="P437" s="40"/>
      <c r="Q437" s="40"/>
      <c r="R437" s="40"/>
      <c r="S437" s="40"/>
      <c r="T437" s="40"/>
    </row>
    <row r="438" spans="1:20" ht="15.75">
      <c r="A438" s="13">
        <v>54482</v>
      </c>
      <c r="B438" s="48">
        <v>28</v>
      </c>
      <c r="C438" s="39">
        <v>122.58</v>
      </c>
      <c r="D438" s="39">
        <v>297.94099999999997</v>
      </c>
      <c r="E438" s="45">
        <v>729.47900000000004</v>
      </c>
      <c r="F438" s="39">
        <v>1150</v>
      </c>
      <c r="G438" s="39">
        <v>100</v>
      </c>
      <c r="H438" s="47">
        <v>600</v>
      </c>
      <c r="I438" s="39">
        <v>695</v>
      </c>
      <c r="J438" s="39">
        <v>50</v>
      </c>
      <c r="K438" s="40"/>
      <c r="L438" s="40"/>
      <c r="M438" s="40"/>
      <c r="N438" s="40"/>
      <c r="O438" s="40"/>
      <c r="P438" s="40"/>
      <c r="Q438" s="40"/>
      <c r="R438" s="40"/>
      <c r="S438" s="40"/>
      <c r="T438" s="40"/>
    </row>
    <row r="439" spans="1:20" ht="15.75">
      <c r="A439" s="13">
        <v>54513</v>
      </c>
      <c r="B439" s="48">
        <v>31</v>
      </c>
      <c r="C439" s="39">
        <v>122.58</v>
      </c>
      <c r="D439" s="39">
        <v>297.94099999999997</v>
      </c>
      <c r="E439" s="45">
        <v>729.47900000000004</v>
      </c>
      <c r="F439" s="39">
        <v>1150</v>
      </c>
      <c r="G439" s="39">
        <v>100</v>
      </c>
      <c r="H439" s="47">
        <v>600</v>
      </c>
      <c r="I439" s="39">
        <v>695</v>
      </c>
      <c r="J439" s="39">
        <v>50</v>
      </c>
      <c r="K439" s="40"/>
      <c r="L439" s="40"/>
      <c r="M439" s="40"/>
      <c r="N439" s="40"/>
      <c r="O439" s="40"/>
      <c r="P439" s="40"/>
      <c r="Q439" s="40"/>
      <c r="R439" s="40"/>
      <c r="S439" s="40"/>
      <c r="T439" s="40"/>
    </row>
    <row r="440" spans="1:20" ht="15.75">
      <c r="A440" s="13">
        <v>54543</v>
      </c>
      <c r="B440" s="48">
        <v>30</v>
      </c>
      <c r="C440" s="39">
        <v>141.29300000000001</v>
      </c>
      <c r="D440" s="39">
        <v>267.99299999999999</v>
      </c>
      <c r="E440" s="45">
        <v>829.71400000000006</v>
      </c>
      <c r="F440" s="39">
        <v>1239</v>
      </c>
      <c r="G440" s="39">
        <v>100</v>
      </c>
      <c r="H440" s="47">
        <v>600</v>
      </c>
      <c r="I440" s="39">
        <v>695</v>
      </c>
      <c r="J440" s="39">
        <v>50</v>
      </c>
      <c r="K440" s="40"/>
      <c r="L440" s="40"/>
      <c r="M440" s="40"/>
      <c r="N440" s="40"/>
      <c r="O440" s="40"/>
      <c r="P440" s="40"/>
      <c r="Q440" s="40"/>
      <c r="R440" s="40"/>
      <c r="S440" s="40"/>
      <c r="T440" s="40"/>
    </row>
    <row r="441" spans="1:20" ht="15.75">
      <c r="A441" s="13">
        <v>54574</v>
      </c>
      <c r="B441" s="48">
        <v>31</v>
      </c>
      <c r="C441" s="39">
        <v>194.20500000000001</v>
      </c>
      <c r="D441" s="39">
        <v>267.46600000000001</v>
      </c>
      <c r="E441" s="45">
        <v>812.32899999999995</v>
      </c>
      <c r="F441" s="39">
        <v>1274</v>
      </c>
      <c r="G441" s="39">
        <v>75</v>
      </c>
      <c r="H441" s="47">
        <v>600</v>
      </c>
      <c r="I441" s="39">
        <v>695</v>
      </c>
      <c r="J441" s="39">
        <v>50</v>
      </c>
      <c r="K441" s="40"/>
      <c r="L441" s="40"/>
      <c r="M441" s="40"/>
      <c r="N441" s="40"/>
      <c r="O441" s="40"/>
      <c r="P441" s="40"/>
      <c r="Q441" s="40"/>
      <c r="R441" s="40"/>
      <c r="S441" s="40"/>
      <c r="T441" s="40"/>
    </row>
    <row r="442" spans="1:20" ht="15.75">
      <c r="A442" s="13">
        <v>54604</v>
      </c>
      <c r="B442" s="48">
        <v>30</v>
      </c>
      <c r="C442" s="39">
        <v>194.20500000000001</v>
      </c>
      <c r="D442" s="39">
        <v>267.46600000000001</v>
      </c>
      <c r="E442" s="45">
        <v>812.32899999999995</v>
      </c>
      <c r="F442" s="39">
        <v>1274</v>
      </c>
      <c r="G442" s="39">
        <v>50</v>
      </c>
      <c r="H442" s="47">
        <v>600</v>
      </c>
      <c r="I442" s="39">
        <v>695</v>
      </c>
      <c r="J442" s="39">
        <v>50</v>
      </c>
      <c r="K442" s="40"/>
      <c r="L442" s="40"/>
      <c r="M442" s="40"/>
      <c r="N442" s="40"/>
      <c r="O442" s="40"/>
      <c r="P442" s="40"/>
      <c r="Q442" s="40"/>
      <c r="R442" s="40"/>
      <c r="S442" s="40"/>
      <c r="T442" s="40"/>
    </row>
    <row r="443" spans="1:20" ht="15.75">
      <c r="A443" s="13">
        <v>54635</v>
      </c>
      <c r="B443" s="48">
        <v>31</v>
      </c>
      <c r="C443" s="39">
        <v>194.20500000000001</v>
      </c>
      <c r="D443" s="39">
        <v>267.46600000000001</v>
      </c>
      <c r="E443" s="45">
        <v>812.32899999999995</v>
      </c>
      <c r="F443" s="39">
        <v>1274</v>
      </c>
      <c r="G443" s="39">
        <v>50</v>
      </c>
      <c r="H443" s="47">
        <v>600</v>
      </c>
      <c r="I443" s="39">
        <v>695</v>
      </c>
      <c r="J443" s="39">
        <v>0</v>
      </c>
      <c r="K443" s="40"/>
      <c r="L443" s="40"/>
      <c r="M443" s="40"/>
      <c r="N443" s="40"/>
      <c r="O443" s="40"/>
      <c r="P443" s="40"/>
      <c r="Q443" s="40"/>
      <c r="R443" s="40"/>
      <c r="S443" s="40"/>
      <c r="T443" s="40"/>
    </row>
    <row r="444" spans="1:20" ht="15.75">
      <c r="A444" s="13">
        <v>54666</v>
      </c>
      <c r="B444" s="48">
        <v>31</v>
      </c>
      <c r="C444" s="39">
        <v>194.20500000000001</v>
      </c>
      <c r="D444" s="39">
        <v>267.46600000000001</v>
      </c>
      <c r="E444" s="45">
        <v>812.32899999999995</v>
      </c>
      <c r="F444" s="39">
        <v>1274</v>
      </c>
      <c r="G444" s="39">
        <v>50</v>
      </c>
      <c r="H444" s="47">
        <v>600</v>
      </c>
      <c r="I444" s="39">
        <v>695</v>
      </c>
      <c r="J444" s="39">
        <v>0</v>
      </c>
      <c r="K444" s="40"/>
      <c r="L444" s="40"/>
      <c r="M444" s="40"/>
      <c r="N444" s="40"/>
      <c r="O444" s="40"/>
      <c r="P444" s="40"/>
      <c r="Q444" s="40"/>
      <c r="R444" s="40"/>
      <c r="S444" s="40"/>
      <c r="T444" s="40"/>
    </row>
    <row r="445" spans="1:20" ht="15.75">
      <c r="A445" s="13">
        <v>54696</v>
      </c>
      <c r="B445" s="48">
        <v>30</v>
      </c>
      <c r="C445" s="39">
        <v>194.20500000000001</v>
      </c>
      <c r="D445" s="39">
        <v>267.46600000000001</v>
      </c>
      <c r="E445" s="45">
        <v>812.32899999999995</v>
      </c>
      <c r="F445" s="39">
        <v>1274</v>
      </c>
      <c r="G445" s="39">
        <v>50</v>
      </c>
      <c r="H445" s="47">
        <v>600</v>
      </c>
      <c r="I445" s="39">
        <v>695</v>
      </c>
      <c r="J445" s="39">
        <v>0</v>
      </c>
      <c r="K445" s="40"/>
      <c r="L445" s="40"/>
      <c r="M445" s="40"/>
      <c r="N445" s="40"/>
      <c r="O445" s="40"/>
      <c r="P445" s="40"/>
      <c r="Q445" s="40"/>
      <c r="R445" s="40"/>
      <c r="S445" s="40"/>
      <c r="T445" s="40"/>
    </row>
    <row r="446" spans="1:20" ht="15.75">
      <c r="A446" s="13">
        <v>54727</v>
      </c>
      <c r="B446" s="48">
        <v>31</v>
      </c>
      <c r="C446" s="39">
        <v>131.881</v>
      </c>
      <c r="D446" s="39">
        <v>277.16699999999997</v>
      </c>
      <c r="E446" s="45">
        <v>829.952</v>
      </c>
      <c r="F446" s="39">
        <v>1239</v>
      </c>
      <c r="G446" s="39">
        <v>75</v>
      </c>
      <c r="H446" s="47">
        <v>600</v>
      </c>
      <c r="I446" s="39">
        <v>695</v>
      </c>
      <c r="J446" s="39">
        <v>0</v>
      </c>
      <c r="K446" s="40"/>
      <c r="L446" s="40"/>
      <c r="M446" s="40"/>
      <c r="N446" s="40"/>
      <c r="O446" s="40"/>
      <c r="P446" s="40"/>
      <c r="Q446" s="40"/>
      <c r="R446" s="40"/>
      <c r="S446" s="40"/>
      <c r="T446" s="40"/>
    </row>
    <row r="447" spans="1:20" ht="15.75">
      <c r="A447" s="13">
        <v>54757</v>
      </c>
      <c r="B447" s="48">
        <v>30</v>
      </c>
      <c r="C447" s="39">
        <v>122.58</v>
      </c>
      <c r="D447" s="39">
        <v>297.94099999999997</v>
      </c>
      <c r="E447" s="45">
        <v>729.47900000000004</v>
      </c>
      <c r="F447" s="39">
        <v>1150</v>
      </c>
      <c r="G447" s="39">
        <v>100</v>
      </c>
      <c r="H447" s="47">
        <v>600</v>
      </c>
      <c r="I447" s="39">
        <v>695</v>
      </c>
      <c r="J447" s="39">
        <v>50</v>
      </c>
      <c r="K447" s="40"/>
      <c r="L447" s="40"/>
      <c r="M447" s="40"/>
      <c r="N447" s="40"/>
      <c r="O447" s="40"/>
      <c r="P447" s="40"/>
      <c r="Q447" s="40"/>
      <c r="R447" s="40"/>
      <c r="S447" s="40"/>
      <c r="T447" s="40"/>
    </row>
    <row r="448" spans="1:20" ht="15.75">
      <c r="A448" s="13">
        <v>54788</v>
      </c>
      <c r="B448" s="48">
        <v>31</v>
      </c>
      <c r="C448" s="39">
        <v>122.58</v>
      </c>
      <c r="D448" s="39">
        <v>297.94099999999997</v>
      </c>
      <c r="E448" s="45">
        <v>729.47900000000004</v>
      </c>
      <c r="F448" s="39">
        <v>1150</v>
      </c>
      <c r="G448" s="39">
        <v>100</v>
      </c>
      <c r="H448" s="47">
        <v>600</v>
      </c>
      <c r="I448" s="39">
        <v>695</v>
      </c>
      <c r="J448" s="39">
        <v>50</v>
      </c>
      <c r="K448" s="40"/>
      <c r="L448" s="40"/>
      <c r="M448" s="40"/>
      <c r="N448" s="40"/>
      <c r="O448" s="40"/>
      <c r="P448" s="40"/>
      <c r="Q448" s="40"/>
      <c r="R448" s="40"/>
      <c r="S448" s="40"/>
      <c r="T448" s="40"/>
    </row>
    <row r="449" spans="1:20" ht="15.75">
      <c r="A449" s="13">
        <v>54819</v>
      </c>
      <c r="B449" s="48">
        <v>31</v>
      </c>
      <c r="C449" s="39">
        <v>122.58</v>
      </c>
      <c r="D449" s="39">
        <v>297.94099999999997</v>
      </c>
      <c r="E449" s="45">
        <v>729.47900000000004</v>
      </c>
      <c r="F449" s="39">
        <v>1150</v>
      </c>
      <c r="G449" s="39">
        <v>100</v>
      </c>
      <c r="H449" s="47">
        <v>600</v>
      </c>
      <c r="I449" s="39">
        <v>695</v>
      </c>
      <c r="J449" s="39">
        <v>50</v>
      </c>
      <c r="K449" s="40"/>
      <c r="L449" s="40"/>
      <c r="M449" s="40"/>
      <c r="N449" s="40"/>
      <c r="O449" s="40"/>
      <c r="P449" s="40"/>
      <c r="Q449" s="40"/>
      <c r="R449" s="40"/>
      <c r="S449" s="40"/>
      <c r="T449" s="40"/>
    </row>
    <row r="450" spans="1:20" ht="15.75">
      <c r="A450" s="13">
        <v>54847</v>
      </c>
      <c r="B450" s="48">
        <v>28</v>
      </c>
      <c r="C450" s="39">
        <v>122.58</v>
      </c>
      <c r="D450" s="39">
        <v>297.94099999999997</v>
      </c>
      <c r="E450" s="45">
        <v>729.47900000000004</v>
      </c>
      <c r="F450" s="39">
        <v>1150</v>
      </c>
      <c r="G450" s="39">
        <v>100</v>
      </c>
      <c r="H450" s="47">
        <v>600</v>
      </c>
      <c r="I450" s="39">
        <v>695</v>
      </c>
      <c r="J450" s="39">
        <v>50</v>
      </c>
      <c r="K450" s="40"/>
      <c r="L450" s="40"/>
      <c r="M450" s="40"/>
      <c r="N450" s="40"/>
      <c r="O450" s="40"/>
      <c r="P450" s="40"/>
      <c r="Q450" s="40"/>
      <c r="R450" s="40"/>
      <c r="S450" s="40"/>
      <c r="T450" s="40"/>
    </row>
    <row r="451" spans="1:20" ht="15.75">
      <c r="A451" s="13">
        <v>54878</v>
      </c>
      <c r="B451" s="48">
        <v>31</v>
      </c>
      <c r="C451" s="39">
        <v>122.58</v>
      </c>
      <c r="D451" s="39">
        <v>297.94099999999997</v>
      </c>
      <c r="E451" s="45">
        <v>729.47900000000004</v>
      </c>
      <c r="F451" s="39">
        <v>1150</v>
      </c>
      <c r="G451" s="39">
        <v>100</v>
      </c>
      <c r="H451" s="47">
        <v>600</v>
      </c>
      <c r="I451" s="39">
        <v>695</v>
      </c>
      <c r="J451" s="39">
        <v>50</v>
      </c>
      <c r="K451" s="40"/>
      <c r="L451" s="40"/>
      <c r="M451" s="40"/>
      <c r="N451" s="40"/>
      <c r="O451" s="40"/>
      <c r="P451" s="40"/>
      <c r="Q451" s="40"/>
      <c r="R451" s="40"/>
      <c r="S451" s="40"/>
      <c r="T451" s="40"/>
    </row>
    <row r="452" spans="1:20" ht="15.75">
      <c r="A452" s="13">
        <v>54908</v>
      </c>
      <c r="B452" s="48">
        <v>30</v>
      </c>
      <c r="C452" s="39">
        <v>141.29300000000001</v>
      </c>
      <c r="D452" s="39">
        <v>267.99299999999999</v>
      </c>
      <c r="E452" s="45">
        <v>829.71400000000006</v>
      </c>
      <c r="F452" s="39">
        <v>1239</v>
      </c>
      <c r="G452" s="39">
        <v>100</v>
      </c>
      <c r="H452" s="47">
        <v>600</v>
      </c>
      <c r="I452" s="39">
        <v>695</v>
      </c>
      <c r="J452" s="39">
        <v>50</v>
      </c>
      <c r="K452" s="40"/>
      <c r="L452" s="40"/>
      <c r="M452" s="40"/>
      <c r="N452" s="40"/>
      <c r="O452" s="40"/>
      <c r="P452" s="40"/>
      <c r="Q452" s="40"/>
      <c r="R452" s="40"/>
      <c r="S452" s="40"/>
      <c r="T452" s="40"/>
    </row>
    <row r="453" spans="1:20" ht="15.75">
      <c r="A453" s="13">
        <v>54939</v>
      </c>
      <c r="B453" s="48">
        <v>31</v>
      </c>
      <c r="C453" s="39">
        <v>194.20500000000001</v>
      </c>
      <c r="D453" s="39">
        <v>267.46600000000001</v>
      </c>
      <c r="E453" s="45">
        <v>812.32899999999995</v>
      </c>
      <c r="F453" s="39">
        <v>1274</v>
      </c>
      <c r="G453" s="39">
        <v>75</v>
      </c>
      <c r="H453" s="47">
        <v>600</v>
      </c>
      <c r="I453" s="39">
        <v>695</v>
      </c>
      <c r="J453" s="39">
        <v>50</v>
      </c>
      <c r="K453" s="40"/>
      <c r="L453" s="40"/>
      <c r="M453" s="40"/>
      <c r="N453" s="40"/>
      <c r="O453" s="40"/>
      <c r="P453" s="40"/>
      <c r="Q453" s="40"/>
      <c r="R453" s="40"/>
      <c r="S453" s="40"/>
      <c r="T453" s="40"/>
    </row>
    <row r="454" spans="1:20" ht="15.75">
      <c r="A454" s="13">
        <v>54969</v>
      </c>
      <c r="B454" s="48">
        <v>30</v>
      </c>
      <c r="C454" s="39">
        <v>194.20500000000001</v>
      </c>
      <c r="D454" s="39">
        <v>267.46600000000001</v>
      </c>
      <c r="E454" s="45">
        <v>812.32899999999995</v>
      </c>
      <c r="F454" s="39">
        <v>1274</v>
      </c>
      <c r="G454" s="39">
        <v>50</v>
      </c>
      <c r="H454" s="47">
        <v>600</v>
      </c>
      <c r="I454" s="39">
        <v>695</v>
      </c>
      <c r="J454" s="39">
        <v>50</v>
      </c>
      <c r="K454" s="40"/>
      <c r="L454" s="40"/>
      <c r="M454" s="40"/>
      <c r="N454" s="40"/>
      <c r="O454" s="40"/>
      <c r="P454" s="40"/>
      <c r="Q454" s="40"/>
      <c r="R454" s="40"/>
      <c r="S454" s="40"/>
      <c r="T454" s="40"/>
    </row>
    <row r="455" spans="1:20" ht="15.75">
      <c r="A455" s="13">
        <v>55000</v>
      </c>
      <c r="B455" s="48">
        <v>31</v>
      </c>
      <c r="C455" s="39">
        <v>194.20500000000001</v>
      </c>
      <c r="D455" s="39">
        <v>267.46600000000001</v>
      </c>
      <c r="E455" s="45">
        <v>812.32899999999995</v>
      </c>
      <c r="F455" s="39">
        <v>1274</v>
      </c>
      <c r="G455" s="39">
        <v>50</v>
      </c>
      <c r="H455" s="47">
        <v>600</v>
      </c>
      <c r="I455" s="39">
        <v>695</v>
      </c>
      <c r="J455" s="39">
        <v>0</v>
      </c>
      <c r="K455" s="40"/>
      <c r="L455" s="40"/>
      <c r="M455" s="40"/>
      <c r="N455" s="40"/>
      <c r="O455" s="40"/>
      <c r="P455" s="40"/>
      <c r="Q455" s="40"/>
      <c r="R455" s="40"/>
      <c r="S455" s="40"/>
      <c r="T455" s="40"/>
    </row>
    <row r="456" spans="1:20" ht="15.75">
      <c r="A456" s="13">
        <v>55031</v>
      </c>
      <c r="B456" s="48">
        <v>31</v>
      </c>
      <c r="C456" s="39">
        <v>194.20500000000001</v>
      </c>
      <c r="D456" s="39">
        <v>267.46600000000001</v>
      </c>
      <c r="E456" s="45">
        <v>812.32899999999995</v>
      </c>
      <c r="F456" s="39">
        <v>1274</v>
      </c>
      <c r="G456" s="39">
        <v>50</v>
      </c>
      <c r="H456" s="47">
        <v>600</v>
      </c>
      <c r="I456" s="39">
        <v>695</v>
      </c>
      <c r="J456" s="39">
        <v>0</v>
      </c>
      <c r="K456" s="40"/>
      <c r="L456" s="40"/>
      <c r="M456" s="40"/>
      <c r="N456" s="40"/>
      <c r="O456" s="40"/>
      <c r="P456" s="40"/>
      <c r="Q456" s="40"/>
      <c r="R456" s="40"/>
      <c r="S456" s="40"/>
      <c r="T456" s="40"/>
    </row>
    <row r="457" spans="1:20" ht="15.75">
      <c r="A457" s="13">
        <v>55061</v>
      </c>
      <c r="B457" s="48">
        <v>30</v>
      </c>
      <c r="C457" s="39">
        <v>194.20500000000001</v>
      </c>
      <c r="D457" s="39">
        <v>267.46600000000001</v>
      </c>
      <c r="E457" s="45">
        <v>812.32899999999995</v>
      </c>
      <c r="F457" s="39">
        <v>1274</v>
      </c>
      <c r="G457" s="39">
        <v>50</v>
      </c>
      <c r="H457" s="47">
        <v>600</v>
      </c>
      <c r="I457" s="39">
        <v>695</v>
      </c>
      <c r="J457" s="39">
        <v>0</v>
      </c>
      <c r="K457" s="40"/>
      <c r="L457" s="40"/>
      <c r="M457" s="40"/>
      <c r="N457" s="40"/>
      <c r="O457" s="40"/>
      <c r="P457" s="40"/>
      <c r="Q457" s="40"/>
      <c r="R457" s="40"/>
      <c r="S457" s="40"/>
      <c r="T457" s="40"/>
    </row>
    <row r="458" spans="1:20" ht="15.75">
      <c r="A458" s="13">
        <v>55092</v>
      </c>
      <c r="B458" s="48">
        <v>31</v>
      </c>
      <c r="C458" s="39">
        <v>131.881</v>
      </c>
      <c r="D458" s="39">
        <v>277.16699999999997</v>
      </c>
      <c r="E458" s="45">
        <v>829.952</v>
      </c>
      <c r="F458" s="39">
        <v>1239</v>
      </c>
      <c r="G458" s="39">
        <v>75</v>
      </c>
      <c r="H458" s="47">
        <v>600</v>
      </c>
      <c r="I458" s="39">
        <v>695</v>
      </c>
      <c r="J458" s="39">
        <v>0</v>
      </c>
      <c r="K458" s="40"/>
      <c r="L458" s="40"/>
      <c r="M458" s="40"/>
      <c r="N458" s="40"/>
      <c r="O458" s="40"/>
      <c r="P458" s="40"/>
      <c r="Q458" s="40"/>
      <c r="R458" s="40"/>
      <c r="S458" s="40"/>
      <c r="T458" s="40"/>
    </row>
    <row r="459" spans="1:20" ht="15.75">
      <c r="A459" s="13">
        <v>55122</v>
      </c>
      <c r="B459" s="48">
        <v>30</v>
      </c>
      <c r="C459" s="39">
        <v>122.58</v>
      </c>
      <c r="D459" s="39">
        <v>297.94099999999997</v>
      </c>
      <c r="E459" s="45">
        <v>729.47900000000004</v>
      </c>
      <c r="F459" s="39">
        <v>1150</v>
      </c>
      <c r="G459" s="39">
        <v>100</v>
      </c>
      <c r="H459" s="47">
        <v>600</v>
      </c>
      <c r="I459" s="39">
        <v>695</v>
      </c>
      <c r="J459" s="39">
        <v>50</v>
      </c>
      <c r="K459" s="40"/>
      <c r="L459" s="40"/>
      <c r="M459" s="40"/>
      <c r="N459" s="40"/>
      <c r="O459" s="40"/>
      <c r="P459" s="40"/>
      <c r="Q459" s="40"/>
      <c r="R459" s="40"/>
      <c r="S459" s="40"/>
      <c r="T459" s="40"/>
    </row>
    <row r="460" spans="1:20" ht="15.75">
      <c r="A460" s="13">
        <v>55153</v>
      </c>
      <c r="B460" s="48">
        <v>31</v>
      </c>
      <c r="C460" s="39">
        <v>122.58</v>
      </c>
      <c r="D460" s="39">
        <v>297.94099999999997</v>
      </c>
      <c r="E460" s="45">
        <v>729.47900000000004</v>
      </c>
      <c r="F460" s="39">
        <v>1150</v>
      </c>
      <c r="G460" s="39">
        <v>100</v>
      </c>
      <c r="H460" s="47">
        <v>600</v>
      </c>
      <c r="I460" s="39">
        <v>695</v>
      </c>
      <c r="J460" s="39">
        <v>50</v>
      </c>
      <c r="K460" s="40"/>
      <c r="L460" s="40"/>
      <c r="M460" s="40"/>
      <c r="N460" s="40"/>
      <c r="O460" s="40"/>
      <c r="P460" s="40"/>
      <c r="Q460" s="40"/>
      <c r="R460" s="40"/>
      <c r="S460" s="40"/>
      <c r="T460" s="40"/>
    </row>
    <row r="461" spans="1:20" ht="15.75">
      <c r="A461" s="13">
        <v>55184</v>
      </c>
      <c r="B461" s="48">
        <v>31</v>
      </c>
      <c r="C461" s="39">
        <v>122.58</v>
      </c>
      <c r="D461" s="39">
        <v>297.94099999999997</v>
      </c>
      <c r="E461" s="45">
        <v>729.47900000000004</v>
      </c>
      <c r="F461" s="39">
        <v>1150</v>
      </c>
      <c r="G461" s="39">
        <v>100</v>
      </c>
      <c r="H461" s="47">
        <v>600</v>
      </c>
      <c r="I461" s="39">
        <v>695</v>
      </c>
      <c r="J461" s="39">
        <v>50</v>
      </c>
      <c r="K461" s="40"/>
      <c r="L461" s="40"/>
      <c r="M461" s="40"/>
      <c r="N461" s="40"/>
      <c r="O461" s="40"/>
      <c r="P461" s="40"/>
      <c r="Q461" s="40"/>
      <c r="R461" s="40"/>
      <c r="S461" s="40"/>
      <c r="T461" s="40"/>
    </row>
    <row r="462" spans="1:20" ht="15.75">
      <c r="A462" s="13">
        <v>55212</v>
      </c>
      <c r="B462" s="48">
        <v>28</v>
      </c>
      <c r="C462" s="39">
        <v>122.58</v>
      </c>
      <c r="D462" s="39">
        <v>297.94099999999997</v>
      </c>
      <c r="E462" s="45">
        <v>729.47900000000004</v>
      </c>
      <c r="F462" s="39">
        <v>1150</v>
      </c>
      <c r="G462" s="39">
        <v>100</v>
      </c>
      <c r="H462" s="47">
        <v>600</v>
      </c>
      <c r="I462" s="39">
        <v>695</v>
      </c>
      <c r="J462" s="39">
        <v>50</v>
      </c>
      <c r="K462" s="40"/>
      <c r="L462" s="40"/>
      <c r="M462" s="40"/>
      <c r="N462" s="40"/>
      <c r="O462" s="40"/>
      <c r="P462" s="40"/>
      <c r="Q462" s="40"/>
      <c r="R462" s="40"/>
      <c r="S462" s="40"/>
      <c r="T462" s="40"/>
    </row>
    <row r="463" spans="1:20" ht="15.75">
      <c r="A463" s="13">
        <v>55243</v>
      </c>
      <c r="B463" s="48">
        <v>31</v>
      </c>
      <c r="C463" s="39">
        <v>122.58</v>
      </c>
      <c r="D463" s="39">
        <v>297.94099999999997</v>
      </c>
      <c r="E463" s="45">
        <v>729.47900000000004</v>
      </c>
      <c r="F463" s="39">
        <v>1150</v>
      </c>
      <c r="G463" s="39">
        <v>100</v>
      </c>
      <c r="H463" s="47">
        <v>600</v>
      </c>
      <c r="I463" s="39">
        <v>695</v>
      </c>
      <c r="J463" s="39">
        <v>50</v>
      </c>
      <c r="K463" s="40"/>
      <c r="L463" s="40"/>
      <c r="M463" s="40"/>
      <c r="N463" s="40"/>
      <c r="O463" s="40"/>
      <c r="P463" s="40"/>
      <c r="Q463" s="40"/>
      <c r="R463" s="40"/>
      <c r="S463" s="40"/>
      <c r="T463" s="40"/>
    </row>
    <row r="464" spans="1:20" ht="15.75">
      <c r="A464" s="13">
        <v>55273</v>
      </c>
      <c r="B464" s="48">
        <v>30</v>
      </c>
      <c r="C464" s="39">
        <v>141.29300000000001</v>
      </c>
      <c r="D464" s="39">
        <v>267.99299999999999</v>
      </c>
      <c r="E464" s="45">
        <v>829.71400000000006</v>
      </c>
      <c r="F464" s="39">
        <v>1239</v>
      </c>
      <c r="G464" s="39">
        <v>100</v>
      </c>
      <c r="H464" s="47">
        <v>600</v>
      </c>
      <c r="I464" s="39">
        <v>695</v>
      </c>
      <c r="J464" s="39">
        <v>50</v>
      </c>
      <c r="K464" s="40"/>
      <c r="L464" s="40"/>
      <c r="M464" s="40"/>
      <c r="N464" s="40"/>
      <c r="O464" s="40"/>
      <c r="P464" s="40"/>
      <c r="Q464" s="40"/>
      <c r="R464" s="40"/>
      <c r="S464" s="40"/>
      <c r="T464" s="40"/>
    </row>
    <row r="465" spans="1:20" ht="15.75">
      <c r="A465" s="13">
        <v>55304</v>
      </c>
      <c r="B465" s="48">
        <v>31</v>
      </c>
      <c r="C465" s="39">
        <v>194.20500000000001</v>
      </c>
      <c r="D465" s="39">
        <v>267.46600000000001</v>
      </c>
      <c r="E465" s="45">
        <v>812.32899999999995</v>
      </c>
      <c r="F465" s="39">
        <v>1274</v>
      </c>
      <c r="G465" s="39">
        <v>75</v>
      </c>
      <c r="H465" s="47">
        <v>600</v>
      </c>
      <c r="I465" s="39">
        <v>695</v>
      </c>
      <c r="J465" s="39">
        <v>50</v>
      </c>
      <c r="K465" s="40"/>
      <c r="L465" s="40"/>
      <c r="M465" s="40"/>
      <c r="N465" s="40"/>
      <c r="O465" s="40"/>
      <c r="P465" s="40"/>
      <c r="Q465" s="40"/>
      <c r="R465" s="40"/>
      <c r="S465" s="40"/>
      <c r="T465" s="40"/>
    </row>
    <row r="466" spans="1:20" ht="15.75">
      <c r="A466" s="13">
        <v>55334</v>
      </c>
      <c r="B466" s="48">
        <v>30</v>
      </c>
      <c r="C466" s="39">
        <v>194.20500000000001</v>
      </c>
      <c r="D466" s="39">
        <v>267.46600000000001</v>
      </c>
      <c r="E466" s="45">
        <v>812.32899999999995</v>
      </c>
      <c r="F466" s="39">
        <v>1274</v>
      </c>
      <c r="G466" s="39">
        <v>50</v>
      </c>
      <c r="H466" s="47">
        <v>600</v>
      </c>
      <c r="I466" s="39">
        <v>695</v>
      </c>
      <c r="J466" s="39">
        <v>50</v>
      </c>
      <c r="K466" s="40"/>
      <c r="L466" s="40"/>
      <c r="M466" s="40"/>
      <c r="N466" s="40"/>
      <c r="O466" s="40"/>
      <c r="P466" s="40"/>
      <c r="Q466" s="40"/>
      <c r="R466" s="40"/>
      <c r="S466" s="40"/>
      <c r="T466" s="40"/>
    </row>
    <row r="467" spans="1:20" ht="15.75">
      <c r="A467" s="13">
        <v>55365</v>
      </c>
      <c r="B467" s="48">
        <v>31</v>
      </c>
      <c r="C467" s="39">
        <v>194.20500000000001</v>
      </c>
      <c r="D467" s="39">
        <v>267.46600000000001</v>
      </c>
      <c r="E467" s="45">
        <v>812.32899999999995</v>
      </c>
      <c r="F467" s="39">
        <v>1274</v>
      </c>
      <c r="G467" s="39">
        <v>50</v>
      </c>
      <c r="H467" s="47">
        <v>600</v>
      </c>
      <c r="I467" s="39">
        <v>695</v>
      </c>
      <c r="J467" s="39">
        <v>0</v>
      </c>
      <c r="K467" s="40"/>
      <c r="L467" s="40"/>
      <c r="M467" s="40"/>
      <c r="N467" s="40"/>
      <c r="O467" s="40"/>
      <c r="P467" s="40"/>
      <c r="Q467" s="40"/>
      <c r="R467" s="40"/>
      <c r="S467" s="40"/>
      <c r="T467" s="40"/>
    </row>
    <row r="468" spans="1:20" ht="15.75">
      <c r="A468" s="13">
        <v>55396</v>
      </c>
      <c r="B468" s="48">
        <v>31</v>
      </c>
      <c r="C468" s="39">
        <v>194.20500000000001</v>
      </c>
      <c r="D468" s="39">
        <v>267.46600000000001</v>
      </c>
      <c r="E468" s="45">
        <v>812.32899999999995</v>
      </c>
      <c r="F468" s="39">
        <v>1274</v>
      </c>
      <c r="G468" s="39">
        <v>50</v>
      </c>
      <c r="H468" s="47">
        <v>600</v>
      </c>
      <c r="I468" s="39">
        <v>695</v>
      </c>
      <c r="J468" s="39">
        <v>0</v>
      </c>
      <c r="K468" s="40"/>
      <c r="L468" s="40"/>
      <c r="M468" s="40"/>
      <c r="N468" s="40"/>
      <c r="O468" s="40"/>
      <c r="P468" s="40"/>
      <c r="Q468" s="40"/>
      <c r="R468" s="40"/>
      <c r="S468" s="40"/>
      <c r="T468" s="40"/>
    </row>
    <row r="469" spans="1:20" ht="15.75">
      <c r="A469" s="13">
        <v>55426</v>
      </c>
      <c r="B469" s="48">
        <v>30</v>
      </c>
      <c r="C469" s="39">
        <v>194.20500000000001</v>
      </c>
      <c r="D469" s="39">
        <v>267.46600000000001</v>
      </c>
      <c r="E469" s="45">
        <v>812.32899999999995</v>
      </c>
      <c r="F469" s="39">
        <v>1274</v>
      </c>
      <c r="G469" s="39">
        <v>50</v>
      </c>
      <c r="H469" s="47">
        <v>600</v>
      </c>
      <c r="I469" s="39">
        <v>695</v>
      </c>
      <c r="J469" s="39">
        <v>0</v>
      </c>
      <c r="K469" s="40"/>
      <c r="L469" s="40"/>
      <c r="M469" s="40"/>
      <c r="N469" s="40"/>
      <c r="O469" s="40"/>
      <c r="P469" s="40"/>
      <c r="Q469" s="40"/>
      <c r="R469" s="40"/>
      <c r="S469" s="40"/>
      <c r="T469" s="40"/>
    </row>
    <row r="470" spans="1:20" ht="15.75">
      <c r="A470" s="13">
        <v>55457</v>
      </c>
      <c r="B470" s="48">
        <v>31</v>
      </c>
      <c r="C470" s="39">
        <v>131.881</v>
      </c>
      <c r="D470" s="39">
        <v>277.16699999999997</v>
      </c>
      <c r="E470" s="45">
        <v>829.952</v>
      </c>
      <c r="F470" s="39">
        <v>1239</v>
      </c>
      <c r="G470" s="39">
        <v>75</v>
      </c>
      <c r="H470" s="47">
        <v>600</v>
      </c>
      <c r="I470" s="39">
        <v>695</v>
      </c>
      <c r="J470" s="39">
        <v>0</v>
      </c>
      <c r="K470" s="40"/>
      <c r="L470" s="40"/>
      <c r="M470" s="40"/>
      <c r="N470" s="40"/>
      <c r="O470" s="40"/>
      <c r="P470" s="40"/>
      <c r="Q470" s="40"/>
      <c r="R470" s="40"/>
      <c r="S470" s="40"/>
      <c r="T470" s="40"/>
    </row>
    <row r="471" spans="1:20" ht="15.75">
      <c r="A471" s="13">
        <v>55487</v>
      </c>
      <c r="B471" s="48">
        <v>30</v>
      </c>
      <c r="C471" s="39">
        <v>122.58</v>
      </c>
      <c r="D471" s="39">
        <v>297.94099999999997</v>
      </c>
      <c r="E471" s="45">
        <v>729.47900000000004</v>
      </c>
      <c r="F471" s="39">
        <v>1150</v>
      </c>
      <c r="G471" s="39">
        <v>100</v>
      </c>
      <c r="H471" s="47">
        <v>600</v>
      </c>
      <c r="I471" s="39">
        <v>695</v>
      </c>
      <c r="J471" s="39">
        <v>50</v>
      </c>
      <c r="K471" s="40"/>
      <c r="L471" s="40"/>
      <c r="M471" s="40"/>
      <c r="N471" s="40"/>
      <c r="O471" s="40"/>
      <c r="P471" s="40"/>
      <c r="Q471" s="40"/>
      <c r="R471" s="40"/>
      <c r="S471" s="40"/>
      <c r="T471" s="40"/>
    </row>
    <row r="472" spans="1:20" ht="15.75">
      <c r="A472" s="13">
        <v>55518</v>
      </c>
      <c r="B472" s="48">
        <v>31</v>
      </c>
      <c r="C472" s="39">
        <v>122.58</v>
      </c>
      <c r="D472" s="39">
        <v>297.94099999999997</v>
      </c>
      <c r="E472" s="45">
        <v>729.47900000000004</v>
      </c>
      <c r="F472" s="39">
        <v>1150</v>
      </c>
      <c r="G472" s="39">
        <v>100</v>
      </c>
      <c r="H472" s="47">
        <v>600</v>
      </c>
      <c r="I472" s="39">
        <v>695</v>
      </c>
      <c r="J472" s="39">
        <v>50</v>
      </c>
      <c r="K472" s="40"/>
      <c r="L472" s="40"/>
      <c r="M472" s="40"/>
      <c r="N472" s="40"/>
      <c r="O472" s="40"/>
      <c r="P472" s="40"/>
      <c r="Q472" s="40"/>
      <c r="R472" s="40"/>
      <c r="S472" s="40"/>
      <c r="T472" s="40"/>
    </row>
    <row r="473" spans="1:20" ht="15.75">
      <c r="A473" s="13">
        <v>55549</v>
      </c>
      <c r="B473" s="48">
        <v>31</v>
      </c>
      <c r="C473" s="39">
        <v>122.58</v>
      </c>
      <c r="D473" s="39">
        <v>297.94099999999997</v>
      </c>
      <c r="E473" s="45">
        <v>729.47900000000004</v>
      </c>
      <c r="F473" s="39">
        <v>1150</v>
      </c>
      <c r="G473" s="39">
        <v>100</v>
      </c>
      <c r="H473" s="47">
        <v>600</v>
      </c>
      <c r="I473" s="39">
        <v>695</v>
      </c>
      <c r="J473" s="39">
        <v>50</v>
      </c>
      <c r="K473" s="40"/>
      <c r="L473" s="40"/>
      <c r="M473" s="40"/>
      <c r="N473" s="40"/>
      <c r="O473" s="40"/>
      <c r="P473" s="40"/>
      <c r="Q473" s="40"/>
      <c r="R473" s="40"/>
      <c r="S473" s="40"/>
      <c r="T473" s="40"/>
    </row>
    <row r="474" spans="1:20" ht="15.75">
      <c r="A474" s="13">
        <v>55577</v>
      </c>
      <c r="B474" s="48">
        <v>29</v>
      </c>
      <c r="C474" s="39">
        <v>122.58</v>
      </c>
      <c r="D474" s="39">
        <v>297.94099999999997</v>
      </c>
      <c r="E474" s="45">
        <v>729.47900000000004</v>
      </c>
      <c r="F474" s="39">
        <v>1150</v>
      </c>
      <c r="G474" s="39">
        <v>100</v>
      </c>
      <c r="H474" s="47">
        <v>600</v>
      </c>
      <c r="I474" s="39">
        <v>695</v>
      </c>
      <c r="J474" s="39">
        <v>50</v>
      </c>
      <c r="K474" s="40"/>
      <c r="L474" s="40"/>
      <c r="M474" s="40"/>
      <c r="N474" s="40"/>
      <c r="O474" s="40"/>
      <c r="P474" s="40"/>
      <c r="Q474" s="40"/>
      <c r="R474" s="40"/>
      <c r="S474" s="40"/>
      <c r="T474" s="40"/>
    </row>
    <row r="475" spans="1:20" ht="15.75">
      <c r="A475" s="13">
        <v>55609</v>
      </c>
      <c r="B475" s="48">
        <v>31</v>
      </c>
      <c r="C475" s="39">
        <v>122.58</v>
      </c>
      <c r="D475" s="39">
        <v>297.94099999999997</v>
      </c>
      <c r="E475" s="45">
        <v>729.47900000000004</v>
      </c>
      <c r="F475" s="39">
        <v>1150</v>
      </c>
      <c r="G475" s="39">
        <v>100</v>
      </c>
      <c r="H475" s="47">
        <v>600</v>
      </c>
      <c r="I475" s="39">
        <v>695</v>
      </c>
      <c r="J475" s="39">
        <v>50</v>
      </c>
      <c r="K475" s="40"/>
      <c r="L475" s="40"/>
      <c r="M475" s="40"/>
      <c r="N475" s="40"/>
      <c r="O475" s="40"/>
      <c r="P475" s="40"/>
      <c r="Q475" s="40"/>
      <c r="R475" s="40"/>
      <c r="S475" s="40"/>
      <c r="T475" s="40"/>
    </row>
    <row r="476" spans="1:20" ht="15.75">
      <c r="A476" s="13">
        <v>55639</v>
      </c>
      <c r="B476" s="48">
        <v>30</v>
      </c>
      <c r="C476" s="39">
        <v>141.29300000000001</v>
      </c>
      <c r="D476" s="39">
        <v>267.99299999999999</v>
      </c>
      <c r="E476" s="45">
        <v>829.71400000000006</v>
      </c>
      <c r="F476" s="39">
        <v>1239</v>
      </c>
      <c r="G476" s="39">
        <v>100</v>
      </c>
      <c r="H476" s="47">
        <v>600</v>
      </c>
      <c r="I476" s="39">
        <v>695</v>
      </c>
      <c r="J476" s="39">
        <v>50</v>
      </c>
      <c r="K476" s="40"/>
      <c r="L476" s="40"/>
      <c r="M476" s="40"/>
      <c r="N476" s="40"/>
      <c r="O476" s="40"/>
      <c r="P476" s="40"/>
      <c r="Q476" s="40"/>
      <c r="R476" s="40"/>
      <c r="S476" s="40"/>
      <c r="T476" s="40"/>
    </row>
    <row r="477" spans="1:20" ht="15.75">
      <c r="A477" s="13">
        <v>55670</v>
      </c>
      <c r="B477" s="48">
        <v>31</v>
      </c>
      <c r="C477" s="39">
        <v>194.20500000000001</v>
      </c>
      <c r="D477" s="39">
        <v>267.46600000000001</v>
      </c>
      <c r="E477" s="45">
        <v>812.32899999999995</v>
      </c>
      <c r="F477" s="39">
        <v>1274</v>
      </c>
      <c r="G477" s="39">
        <v>75</v>
      </c>
      <c r="H477" s="47">
        <v>600</v>
      </c>
      <c r="I477" s="39">
        <v>695</v>
      </c>
      <c r="J477" s="39">
        <v>50</v>
      </c>
      <c r="K477" s="40"/>
      <c r="L477" s="40"/>
      <c r="M477" s="40"/>
      <c r="N477" s="40"/>
      <c r="O477" s="40"/>
      <c r="P477" s="40"/>
      <c r="Q477" s="40"/>
      <c r="R477" s="40"/>
      <c r="S477" s="40"/>
      <c r="T477" s="40"/>
    </row>
    <row r="478" spans="1:20" ht="15.75">
      <c r="A478" s="13">
        <v>55700</v>
      </c>
      <c r="B478" s="48">
        <v>30</v>
      </c>
      <c r="C478" s="39">
        <v>194.20500000000001</v>
      </c>
      <c r="D478" s="39">
        <v>267.46600000000001</v>
      </c>
      <c r="E478" s="45">
        <v>812.32899999999995</v>
      </c>
      <c r="F478" s="39">
        <v>1274</v>
      </c>
      <c r="G478" s="39">
        <v>50</v>
      </c>
      <c r="H478" s="47">
        <v>600</v>
      </c>
      <c r="I478" s="39">
        <v>695</v>
      </c>
      <c r="J478" s="39">
        <v>50</v>
      </c>
      <c r="K478" s="40"/>
      <c r="L478" s="40"/>
      <c r="M478" s="40"/>
      <c r="N478" s="40"/>
      <c r="O478" s="40"/>
      <c r="P478" s="40"/>
      <c r="Q478" s="40"/>
      <c r="R478" s="40"/>
      <c r="S478" s="40"/>
      <c r="T478" s="40"/>
    </row>
    <row r="479" spans="1:20" ht="15.75">
      <c r="A479" s="13">
        <v>55731</v>
      </c>
      <c r="B479" s="48">
        <v>31</v>
      </c>
      <c r="C479" s="39">
        <v>194.20500000000001</v>
      </c>
      <c r="D479" s="39">
        <v>267.46600000000001</v>
      </c>
      <c r="E479" s="45">
        <v>812.32899999999995</v>
      </c>
      <c r="F479" s="39">
        <v>1274</v>
      </c>
      <c r="G479" s="39">
        <v>50</v>
      </c>
      <c r="H479" s="47">
        <v>600</v>
      </c>
      <c r="I479" s="39">
        <v>695</v>
      </c>
      <c r="J479" s="39">
        <v>0</v>
      </c>
      <c r="K479" s="40"/>
      <c r="L479" s="40"/>
      <c r="M479" s="40"/>
      <c r="N479" s="40"/>
      <c r="O479" s="40"/>
      <c r="P479" s="40"/>
      <c r="Q479" s="40"/>
      <c r="R479" s="40"/>
      <c r="S479" s="40"/>
      <c r="T479" s="40"/>
    </row>
    <row r="480" spans="1:20" ht="15.75">
      <c r="A480" s="13">
        <v>55762</v>
      </c>
      <c r="B480" s="48">
        <v>31</v>
      </c>
      <c r="C480" s="39">
        <v>194.20500000000001</v>
      </c>
      <c r="D480" s="39">
        <v>267.46600000000001</v>
      </c>
      <c r="E480" s="45">
        <v>812.32899999999995</v>
      </c>
      <c r="F480" s="39">
        <v>1274</v>
      </c>
      <c r="G480" s="39">
        <v>50</v>
      </c>
      <c r="H480" s="47">
        <v>600</v>
      </c>
      <c r="I480" s="39">
        <v>695</v>
      </c>
      <c r="J480" s="39">
        <v>0</v>
      </c>
      <c r="K480" s="40"/>
      <c r="L480" s="40"/>
      <c r="M480" s="40"/>
      <c r="N480" s="40"/>
      <c r="O480" s="40"/>
      <c r="P480" s="40"/>
      <c r="Q480" s="40"/>
      <c r="R480" s="40"/>
      <c r="S480" s="40"/>
      <c r="T480" s="40"/>
    </row>
    <row r="481" spans="1:20" ht="15.75">
      <c r="A481" s="13">
        <v>55792</v>
      </c>
      <c r="B481" s="48">
        <v>30</v>
      </c>
      <c r="C481" s="39">
        <v>194.20500000000001</v>
      </c>
      <c r="D481" s="39">
        <v>267.46600000000001</v>
      </c>
      <c r="E481" s="45">
        <v>812.32899999999995</v>
      </c>
      <c r="F481" s="39">
        <v>1274</v>
      </c>
      <c r="G481" s="39">
        <v>50</v>
      </c>
      <c r="H481" s="47">
        <v>600</v>
      </c>
      <c r="I481" s="39">
        <v>695</v>
      </c>
      <c r="J481" s="39">
        <v>0</v>
      </c>
      <c r="K481" s="40"/>
      <c r="L481" s="40"/>
      <c r="M481" s="40"/>
      <c r="N481" s="40"/>
      <c r="O481" s="40"/>
      <c r="P481" s="40"/>
      <c r="Q481" s="40"/>
      <c r="R481" s="40"/>
      <c r="S481" s="40"/>
      <c r="T481" s="40"/>
    </row>
    <row r="482" spans="1:20" ht="15.75">
      <c r="A482" s="13">
        <v>55823</v>
      </c>
      <c r="B482" s="48">
        <v>31</v>
      </c>
      <c r="C482" s="39">
        <v>131.881</v>
      </c>
      <c r="D482" s="39">
        <v>277.16699999999997</v>
      </c>
      <c r="E482" s="45">
        <v>829.952</v>
      </c>
      <c r="F482" s="39">
        <v>1239</v>
      </c>
      <c r="G482" s="39">
        <v>75</v>
      </c>
      <c r="H482" s="47">
        <v>600</v>
      </c>
      <c r="I482" s="39">
        <v>695</v>
      </c>
      <c r="J482" s="39">
        <v>0</v>
      </c>
      <c r="K482" s="40"/>
      <c r="L482" s="40"/>
      <c r="M482" s="40"/>
      <c r="N482" s="40"/>
      <c r="O482" s="40"/>
      <c r="P482" s="40"/>
      <c r="Q482" s="40"/>
      <c r="R482" s="40"/>
      <c r="S482" s="40"/>
      <c r="T482" s="40"/>
    </row>
    <row r="483" spans="1:20" ht="15.75">
      <c r="A483" s="13">
        <v>55853</v>
      </c>
      <c r="B483" s="48">
        <v>30</v>
      </c>
      <c r="C483" s="39">
        <v>122.58</v>
      </c>
      <c r="D483" s="39">
        <v>297.94099999999997</v>
      </c>
      <c r="E483" s="45">
        <v>729.47900000000004</v>
      </c>
      <c r="F483" s="39">
        <v>1150</v>
      </c>
      <c r="G483" s="39">
        <v>100</v>
      </c>
      <c r="H483" s="47">
        <v>600</v>
      </c>
      <c r="I483" s="39">
        <v>695</v>
      </c>
      <c r="J483" s="39">
        <v>50</v>
      </c>
      <c r="K483" s="40"/>
      <c r="L483" s="40"/>
      <c r="M483" s="40"/>
      <c r="N483" s="40"/>
      <c r="O483" s="40"/>
      <c r="P483" s="40"/>
      <c r="Q483" s="40"/>
      <c r="R483" s="40"/>
      <c r="S483" s="40"/>
      <c r="T483" s="40"/>
    </row>
    <row r="484" spans="1:20" ht="15.75">
      <c r="A484" s="13">
        <v>55884</v>
      </c>
      <c r="B484" s="48">
        <v>31</v>
      </c>
      <c r="C484" s="39">
        <v>122.58</v>
      </c>
      <c r="D484" s="39">
        <v>297.94099999999997</v>
      </c>
      <c r="E484" s="45">
        <v>729.47900000000004</v>
      </c>
      <c r="F484" s="39">
        <v>1150</v>
      </c>
      <c r="G484" s="39">
        <v>100</v>
      </c>
      <c r="H484" s="47">
        <v>600</v>
      </c>
      <c r="I484" s="39">
        <v>695</v>
      </c>
      <c r="J484" s="39">
        <v>50</v>
      </c>
      <c r="K484" s="40"/>
      <c r="L484" s="40"/>
      <c r="M484" s="40"/>
      <c r="N484" s="40"/>
      <c r="O484" s="40"/>
      <c r="P484" s="40"/>
      <c r="Q484" s="40"/>
      <c r="R484" s="40"/>
      <c r="S484" s="40"/>
      <c r="T484" s="40"/>
    </row>
    <row r="485" spans="1:20" ht="15.75">
      <c r="A485" s="13">
        <v>55915</v>
      </c>
      <c r="B485" s="48">
        <v>31</v>
      </c>
      <c r="C485" s="39">
        <v>122.58</v>
      </c>
      <c r="D485" s="39">
        <v>297.94099999999997</v>
      </c>
      <c r="E485" s="45">
        <v>729.47900000000004</v>
      </c>
      <c r="F485" s="39">
        <v>1150</v>
      </c>
      <c r="G485" s="39">
        <v>100</v>
      </c>
      <c r="H485" s="47">
        <v>600</v>
      </c>
      <c r="I485" s="39">
        <v>695</v>
      </c>
      <c r="J485" s="39">
        <v>50</v>
      </c>
      <c r="K485" s="40"/>
      <c r="L485" s="40"/>
      <c r="M485" s="40"/>
      <c r="N485" s="40"/>
      <c r="O485" s="40"/>
      <c r="P485" s="40"/>
      <c r="Q485" s="40"/>
      <c r="R485" s="40"/>
      <c r="S485" s="40"/>
      <c r="T485" s="40"/>
    </row>
    <row r="486" spans="1:20" ht="15.75">
      <c r="A486" s="13">
        <v>55943</v>
      </c>
      <c r="B486" s="48">
        <v>28</v>
      </c>
      <c r="C486" s="39">
        <v>122.58</v>
      </c>
      <c r="D486" s="39">
        <v>297.94099999999997</v>
      </c>
      <c r="E486" s="45">
        <v>729.47900000000004</v>
      </c>
      <c r="F486" s="39">
        <v>1150</v>
      </c>
      <c r="G486" s="39">
        <v>100</v>
      </c>
      <c r="H486" s="47">
        <v>600</v>
      </c>
      <c r="I486" s="39">
        <v>695</v>
      </c>
      <c r="J486" s="39">
        <v>50</v>
      </c>
      <c r="K486" s="40"/>
      <c r="L486" s="40"/>
      <c r="M486" s="40"/>
      <c r="N486" s="40"/>
      <c r="O486" s="40"/>
      <c r="P486" s="40"/>
      <c r="Q486" s="40"/>
      <c r="R486" s="40"/>
      <c r="S486" s="40"/>
      <c r="T486" s="40"/>
    </row>
    <row r="487" spans="1:20" ht="15.75">
      <c r="A487" s="13">
        <v>55974</v>
      </c>
      <c r="B487" s="48">
        <v>31</v>
      </c>
      <c r="C487" s="39">
        <v>122.58</v>
      </c>
      <c r="D487" s="39">
        <v>297.94099999999997</v>
      </c>
      <c r="E487" s="45">
        <v>729.47900000000004</v>
      </c>
      <c r="F487" s="39">
        <v>1150</v>
      </c>
      <c r="G487" s="39">
        <v>100</v>
      </c>
      <c r="H487" s="47">
        <v>600</v>
      </c>
      <c r="I487" s="39">
        <v>695</v>
      </c>
      <c r="J487" s="39">
        <v>50</v>
      </c>
      <c r="K487" s="40"/>
      <c r="L487" s="40"/>
      <c r="M487" s="40"/>
      <c r="N487" s="40"/>
      <c r="O487" s="40"/>
      <c r="P487" s="40"/>
      <c r="Q487" s="40"/>
      <c r="R487" s="40"/>
      <c r="S487" s="40"/>
      <c r="T487" s="40"/>
    </row>
    <row r="488" spans="1:20" ht="15.75">
      <c r="A488" s="13">
        <v>56004</v>
      </c>
      <c r="B488" s="48">
        <v>30</v>
      </c>
      <c r="C488" s="39">
        <v>141.29300000000001</v>
      </c>
      <c r="D488" s="39">
        <v>267.99299999999999</v>
      </c>
      <c r="E488" s="45">
        <v>829.71400000000006</v>
      </c>
      <c r="F488" s="39">
        <v>1239</v>
      </c>
      <c r="G488" s="39">
        <v>100</v>
      </c>
      <c r="H488" s="47">
        <v>600</v>
      </c>
      <c r="I488" s="39">
        <v>695</v>
      </c>
      <c r="J488" s="39">
        <v>50</v>
      </c>
      <c r="K488" s="40"/>
      <c r="L488" s="40"/>
      <c r="M488" s="40"/>
      <c r="N488" s="40"/>
      <c r="O488" s="40"/>
      <c r="P488" s="40"/>
      <c r="Q488" s="40"/>
      <c r="R488" s="40"/>
      <c r="S488" s="40"/>
      <c r="T488" s="40"/>
    </row>
    <row r="489" spans="1:20" ht="15.75">
      <c r="A489" s="13">
        <v>56035</v>
      </c>
      <c r="B489" s="48">
        <v>31</v>
      </c>
      <c r="C489" s="39">
        <v>194.20500000000001</v>
      </c>
      <c r="D489" s="39">
        <v>267.46600000000001</v>
      </c>
      <c r="E489" s="45">
        <v>812.32899999999995</v>
      </c>
      <c r="F489" s="39">
        <v>1274</v>
      </c>
      <c r="G489" s="39">
        <v>75</v>
      </c>
      <c r="H489" s="47">
        <v>600</v>
      </c>
      <c r="I489" s="39">
        <v>695</v>
      </c>
      <c r="J489" s="39">
        <v>50</v>
      </c>
      <c r="K489" s="40"/>
      <c r="L489" s="40"/>
      <c r="M489" s="40"/>
      <c r="N489" s="40"/>
      <c r="O489" s="40"/>
      <c r="P489" s="40"/>
      <c r="Q489" s="40"/>
      <c r="R489" s="40"/>
      <c r="S489" s="40"/>
      <c r="T489" s="40"/>
    </row>
    <row r="490" spans="1:20" ht="15.75">
      <c r="A490" s="13">
        <v>56065</v>
      </c>
      <c r="B490" s="48">
        <v>30</v>
      </c>
      <c r="C490" s="39">
        <v>194.20500000000001</v>
      </c>
      <c r="D490" s="39">
        <v>267.46600000000001</v>
      </c>
      <c r="E490" s="45">
        <v>812.32899999999995</v>
      </c>
      <c r="F490" s="39">
        <v>1274</v>
      </c>
      <c r="G490" s="39">
        <v>50</v>
      </c>
      <c r="H490" s="47">
        <v>600</v>
      </c>
      <c r="I490" s="39">
        <v>695</v>
      </c>
      <c r="J490" s="39">
        <v>50</v>
      </c>
      <c r="K490" s="40"/>
      <c r="L490" s="40"/>
      <c r="M490" s="40"/>
      <c r="N490" s="40"/>
      <c r="O490" s="40"/>
      <c r="P490" s="40"/>
      <c r="Q490" s="40"/>
      <c r="R490" s="40"/>
      <c r="S490" s="40"/>
      <c r="T490" s="40"/>
    </row>
    <row r="491" spans="1:20" ht="15.75">
      <c r="A491" s="13">
        <v>56096</v>
      </c>
      <c r="B491" s="48">
        <v>31</v>
      </c>
      <c r="C491" s="39">
        <v>194.20500000000001</v>
      </c>
      <c r="D491" s="39">
        <v>267.46600000000001</v>
      </c>
      <c r="E491" s="45">
        <v>812.32899999999995</v>
      </c>
      <c r="F491" s="39">
        <v>1274</v>
      </c>
      <c r="G491" s="39">
        <v>50</v>
      </c>
      <c r="H491" s="47">
        <v>600</v>
      </c>
      <c r="I491" s="39">
        <v>695</v>
      </c>
      <c r="J491" s="39">
        <v>0</v>
      </c>
      <c r="K491" s="40"/>
      <c r="L491" s="40"/>
      <c r="M491" s="40"/>
      <c r="N491" s="40"/>
      <c r="O491" s="40"/>
      <c r="P491" s="40"/>
      <c r="Q491" s="40"/>
      <c r="R491" s="40"/>
      <c r="S491" s="40"/>
      <c r="T491" s="40"/>
    </row>
    <row r="492" spans="1:20" ht="15.75">
      <c r="A492" s="13">
        <v>56127</v>
      </c>
      <c r="B492" s="48">
        <v>31</v>
      </c>
      <c r="C492" s="39">
        <v>194.20500000000001</v>
      </c>
      <c r="D492" s="39">
        <v>267.46600000000001</v>
      </c>
      <c r="E492" s="45">
        <v>812.32899999999995</v>
      </c>
      <c r="F492" s="39">
        <v>1274</v>
      </c>
      <c r="G492" s="39">
        <v>50</v>
      </c>
      <c r="H492" s="47">
        <v>600</v>
      </c>
      <c r="I492" s="39">
        <v>695</v>
      </c>
      <c r="J492" s="39">
        <v>0</v>
      </c>
      <c r="K492" s="40"/>
      <c r="L492" s="40"/>
      <c r="M492" s="40"/>
      <c r="N492" s="40"/>
      <c r="O492" s="40"/>
      <c r="P492" s="40"/>
      <c r="Q492" s="40"/>
      <c r="R492" s="40"/>
      <c r="S492" s="40"/>
      <c r="T492" s="40"/>
    </row>
    <row r="493" spans="1:20" ht="15.75">
      <c r="A493" s="13">
        <v>56157</v>
      </c>
      <c r="B493" s="48">
        <v>30</v>
      </c>
      <c r="C493" s="39">
        <v>194.20500000000001</v>
      </c>
      <c r="D493" s="39">
        <v>267.46600000000001</v>
      </c>
      <c r="E493" s="45">
        <v>812.32899999999995</v>
      </c>
      <c r="F493" s="39">
        <v>1274</v>
      </c>
      <c r="G493" s="39">
        <v>50</v>
      </c>
      <c r="H493" s="47">
        <v>600</v>
      </c>
      <c r="I493" s="39">
        <v>695</v>
      </c>
      <c r="J493" s="39">
        <v>0</v>
      </c>
      <c r="K493" s="40"/>
      <c r="L493" s="40"/>
      <c r="M493" s="40"/>
      <c r="N493" s="40"/>
      <c r="O493" s="40"/>
      <c r="P493" s="40"/>
      <c r="Q493" s="40"/>
      <c r="R493" s="40"/>
      <c r="S493" s="40"/>
      <c r="T493" s="40"/>
    </row>
    <row r="494" spans="1:20" ht="15.75">
      <c r="A494" s="13">
        <v>56188</v>
      </c>
      <c r="B494" s="48">
        <v>31</v>
      </c>
      <c r="C494" s="39">
        <v>131.881</v>
      </c>
      <c r="D494" s="39">
        <v>277.16699999999997</v>
      </c>
      <c r="E494" s="45">
        <v>829.952</v>
      </c>
      <c r="F494" s="39">
        <v>1239</v>
      </c>
      <c r="G494" s="39">
        <v>75</v>
      </c>
      <c r="H494" s="47">
        <v>600</v>
      </c>
      <c r="I494" s="39">
        <v>695</v>
      </c>
      <c r="J494" s="39">
        <v>0</v>
      </c>
      <c r="K494" s="40"/>
      <c r="L494" s="40"/>
      <c r="M494" s="40"/>
      <c r="N494" s="40"/>
      <c r="O494" s="40"/>
      <c r="P494" s="40"/>
      <c r="Q494" s="40"/>
      <c r="R494" s="40"/>
      <c r="S494" s="40"/>
      <c r="T494" s="40"/>
    </row>
    <row r="495" spans="1:20" ht="15.75">
      <c r="A495" s="13">
        <v>56218</v>
      </c>
      <c r="B495" s="48">
        <v>30</v>
      </c>
      <c r="C495" s="39">
        <v>122.58</v>
      </c>
      <c r="D495" s="39">
        <v>297.94099999999997</v>
      </c>
      <c r="E495" s="45">
        <v>729.47900000000004</v>
      </c>
      <c r="F495" s="39">
        <v>1150</v>
      </c>
      <c r="G495" s="39">
        <v>100</v>
      </c>
      <c r="H495" s="47">
        <v>600</v>
      </c>
      <c r="I495" s="39">
        <v>695</v>
      </c>
      <c r="J495" s="39">
        <v>50</v>
      </c>
      <c r="K495" s="40"/>
      <c r="L495" s="40"/>
      <c r="M495" s="40"/>
      <c r="N495" s="40"/>
      <c r="O495" s="40"/>
      <c r="P495" s="40"/>
      <c r="Q495" s="40"/>
      <c r="R495" s="40"/>
      <c r="S495" s="40"/>
      <c r="T495" s="40"/>
    </row>
    <row r="496" spans="1:20" ht="15.75">
      <c r="A496" s="13">
        <v>56249</v>
      </c>
      <c r="B496" s="48">
        <v>31</v>
      </c>
      <c r="C496" s="39">
        <v>122.58</v>
      </c>
      <c r="D496" s="39">
        <v>297.94099999999997</v>
      </c>
      <c r="E496" s="45">
        <v>729.47900000000004</v>
      </c>
      <c r="F496" s="39">
        <v>1150</v>
      </c>
      <c r="G496" s="39">
        <v>100</v>
      </c>
      <c r="H496" s="47">
        <v>600</v>
      </c>
      <c r="I496" s="39">
        <v>695</v>
      </c>
      <c r="J496" s="39">
        <v>50</v>
      </c>
      <c r="K496" s="40"/>
      <c r="L496" s="40"/>
      <c r="M496" s="40"/>
      <c r="N496" s="40"/>
      <c r="O496" s="40"/>
      <c r="P496" s="40"/>
      <c r="Q496" s="40"/>
      <c r="R496" s="40"/>
      <c r="S496" s="40"/>
      <c r="T496" s="40"/>
    </row>
    <row r="497" spans="1:20" ht="15.75">
      <c r="A497" s="13">
        <v>56280</v>
      </c>
      <c r="B497" s="48">
        <v>31</v>
      </c>
      <c r="C497" s="39">
        <v>122.58</v>
      </c>
      <c r="D497" s="39">
        <v>297.94099999999997</v>
      </c>
      <c r="E497" s="45">
        <v>729.47900000000004</v>
      </c>
      <c r="F497" s="39">
        <v>1150</v>
      </c>
      <c r="G497" s="39">
        <v>100</v>
      </c>
      <c r="H497" s="47">
        <v>600</v>
      </c>
      <c r="I497" s="39">
        <v>695</v>
      </c>
      <c r="J497" s="39">
        <v>50</v>
      </c>
      <c r="K497" s="40"/>
      <c r="L497" s="40"/>
      <c r="M497" s="40"/>
      <c r="N497" s="40"/>
      <c r="O497" s="40"/>
      <c r="P497" s="40"/>
      <c r="Q497" s="40"/>
      <c r="R497" s="40"/>
      <c r="S497" s="40"/>
      <c r="T497" s="40"/>
    </row>
    <row r="498" spans="1:20" ht="15.75">
      <c r="A498" s="13">
        <v>56308</v>
      </c>
      <c r="B498" s="48">
        <v>28</v>
      </c>
      <c r="C498" s="39">
        <v>122.58</v>
      </c>
      <c r="D498" s="39">
        <v>297.94099999999997</v>
      </c>
      <c r="E498" s="45">
        <v>729.47900000000004</v>
      </c>
      <c r="F498" s="39">
        <v>1150</v>
      </c>
      <c r="G498" s="39">
        <v>100</v>
      </c>
      <c r="H498" s="47">
        <v>600</v>
      </c>
      <c r="I498" s="39">
        <v>695</v>
      </c>
      <c r="J498" s="39">
        <v>50</v>
      </c>
      <c r="K498" s="40"/>
      <c r="L498" s="40"/>
      <c r="M498" s="40"/>
      <c r="N498" s="40"/>
      <c r="O498" s="40"/>
      <c r="P498" s="40"/>
      <c r="Q498" s="40"/>
      <c r="R498" s="40"/>
      <c r="S498" s="40"/>
      <c r="T498" s="40"/>
    </row>
    <row r="499" spans="1:20" ht="15.75">
      <c r="A499" s="13">
        <v>56339</v>
      </c>
      <c r="B499" s="48">
        <v>31</v>
      </c>
      <c r="C499" s="39">
        <v>122.58</v>
      </c>
      <c r="D499" s="39">
        <v>297.94099999999997</v>
      </c>
      <c r="E499" s="45">
        <v>729.47900000000004</v>
      </c>
      <c r="F499" s="39">
        <v>1150</v>
      </c>
      <c r="G499" s="39">
        <v>100</v>
      </c>
      <c r="H499" s="47">
        <v>600</v>
      </c>
      <c r="I499" s="39">
        <v>695</v>
      </c>
      <c r="J499" s="39">
        <v>50</v>
      </c>
      <c r="K499" s="40"/>
      <c r="L499" s="40"/>
      <c r="M499" s="40"/>
      <c r="N499" s="40"/>
      <c r="O499" s="40"/>
      <c r="P499" s="40"/>
      <c r="Q499" s="40"/>
      <c r="R499" s="40"/>
      <c r="S499" s="40"/>
      <c r="T499" s="40"/>
    </row>
    <row r="500" spans="1:20" ht="15.75">
      <c r="A500" s="13">
        <v>56369</v>
      </c>
      <c r="B500" s="48">
        <v>30</v>
      </c>
      <c r="C500" s="39">
        <v>141.29300000000001</v>
      </c>
      <c r="D500" s="39">
        <v>267.99299999999999</v>
      </c>
      <c r="E500" s="45">
        <v>829.71400000000006</v>
      </c>
      <c r="F500" s="39">
        <v>1239</v>
      </c>
      <c r="G500" s="39">
        <v>100</v>
      </c>
      <c r="H500" s="47">
        <v>600</v>
      </c>
      <c r="I500" s="39">
        <v>695</v>
      </c>
      <c r="J500" s="39">
        <v>50</v>
      </c>
      <c r="K500" s="40"/>
      <c r="L500" s="40"/>
      <c r="M500" s="40"/>
      <c r="N500" s="40"/>
      <c r="O500" s="40"/>
      <c r="P500" s="40"/>
      <c r="Q500" s="40"/>
      <c r="R500" s="40"/>
      <c r="S500" s="40"/>
      <c r="T500" s="40"/>
    </row>
    <row r="501" spans="1:20" ht="15.75">
      <c r="A501" s="13">
        <v>56400</v>
      </c>
      <c r="B501" s="48">
        <v>31</v>
      </c>
      <c r="C501" s="39">
        <v>194.20500000000001</v>
      </c>
      <c r="D501" s="39">
        <v>267.46600000000001</v>
      </c>
      <c r="E501" s="45">
        <v>812.32899999999995</v>
      </c>
      <c r="F501" s="39">
        <v>1274</v>
      </c>
      <c r="G501" s="39">
        <v>75</v>
      </c>
      <c r="H501" s="47">
        <v>600</v>
      </c>
      <c r="I501" s="39">
        <v>695</v>
      </c>
      <c r="J501" s="39">
        <v>50</v>
      </c>
      <c r="K501" s="40"/>
      <c r="L501" s="40"/>
      <c r="M501" s="40"/>
      <c r="N501" s="40"/>
      <c r="O501" s="40"/>
      <c r="P501" s="40"/>
      <c r="Q501" s="40"/>
      <c r="R501" s="40"/>
      <c r="S501" s="40"/>
      <c r="T501" s="40"/>
    </row>
    <row r="502" spans="1:20" ht="15.75">
      <c r="A502" s="13">
        <v>56430</v>
      </c>
      <c r="B502" s="48">
        <v>30</v>
      </c>
      <c r="C502" s="39">
        <v>194.20500000000001</v>
      </c>
      <c r="D502" s="39">
        <v>267.46600000000001</v>
      </c>
      <c r="E502" s="45">
        <v>812.32899999999995</v>
      </c>
      <c r="F502" s="39">
        <v>1274</v>
      </c>
      <c r="G502" s="39">
        <v>50</v>
      </c>
      <c r="H502" s="47">
        <v>600</v>
      </c>
      <c r="I502" s="39">
        <v>695</v>
      </c>
      <c r="J502" s="39">
        <v>50</v>
      </c>
      <c r="K502" s="40"/>
      <c r="L502" s="40"/>
      <c r="M502" s="40"/>
      <c r="N502" s="40"/>
      <c r="O502" s="40"/>
      <c r="P502" s="40"/>
      <c r="Q502" s="40"/>
      <c r="R502" s="40"/>
      <c r="S502" s="40"/>
      <c r="T502" s="40"/>
    </row>
    <row r="503" spans="1:20" ht="15.75">
      <c r="A503" s="13">
        <v>56461</v>
      </c>
      <c r="B503" s="48">
        <v>31</v>
      </c>
      <c r="C503" s="39">
        <v>194.20500000000001</v>
      </c>
      <c r="D503" s="39">
        <v>267.46600000000001</v>
      </c>
      <c r="E503" s="45">
        <v>812.32899999999995</v>
      </c>
      <c r="F503" s="39">
        <v>1274</v>
      </c>
      <c r="G503" s="39">
        <v>50</v>
      </c>
      <c r="H503" s="47">
        <v>600</v>
      </c>
      <c r="I503" s="39">
        <v>695</v>
      </c>
      <c r="J503" s="39">
        <v>0</v>
      </c>
      <c r="K503" s="40"/>
      <c r="L503" s="40"/>
      <c r="M503" s="40"/>
      <c r="N503" s="40"/>
      <c r="O503" s="40"/>
      <c r="P503" s="40"/>
      <c r="Q503" s="40"/>
      <c r="R503" s="40"/>
      <c r="S503" s="40"/>
      <c r="T503" s="40"/>
    </row>
    <row r="504" spans="1:20" ht="15.75">
      <c r="A504" s="13">
        <v>56492</v>
      </c>
      <c r="B504" s="48">
        <v>31</v>
      </c>
      <c r="C504" s="39">
        <v>194.20500000000001</v>
      </c>
      <c r="D504" s="39">
        <v>267.46600000000001</v>
      </c>
      <c r="E504" s="45">
        <v>812.32899999999995</v>
      </c>
      <c r="F504" s="39">
        <v>1274</v>
      </c>
      <c r="G504" s="39">
        <v>50</v>
      </c>
      <c r="H504" s="47">
        <v>600</v>
      </c>
      <c r="I504" s="39">
        <v>695</v>
      </c>
      <c r="J504" s="39">
        <v>0</v>
      </c>
      <c r="K504" s="40"/>
      <c r="L504" s="40"/>
      <c r="M504" s="40"/>
      <c r="N504" s="40"/>
      <c r="O504" s="40"/>
      <c r="P504" s="40"/>
      <c r="Q504" s="40"/>
      <c r="R504" s="40"/>
      <c r="S504" s="40"/>
      <c r="T504" s="40"/>
    </row>
    <row r="505" spans="1:20" ht="15.75">
      <c r="A505" s="13">
        <v>56522</v>
      </c>
      <c r="B505" s="48">
        <v>30</v>
      </c>
      <c r="C505" s="39">
        <v>194.20500000000001</v>
      </c>
      <c r="D505" s="39">
        <v>267.46600000000001</v>
      </c>
      <c r="E505" s="45">
        <v>812.32899999999995</v>
      </c>
      <c r="F505" s="39">
        <v>1274</v>
      </c>
      <c r="G505" s="39">
        <v>50</v>
      </c>
      <c r="H505" s="47">
        <v>600</v>
      </c>
      <c r="I505" s="39">
        <v>695</v>
      </c>
      <c r="J505" s="39">
        <v>0</v>
      </c>
      <c r="K505" s="40"/>
      <c r="L505" s="40"/>
      <c r="M505" s="40"/>
      <c r="N505" s="40"/>
      <c r="O505" s="40"/>
      <c r="P505" s="40"/>
      <c r="Q505" s="40"/>
      <c r="R505" s="40"/>
      <c r="S505" s="40"/>
      <c r="T505" s="40"/>
    </row>
    <row r="506" spans="1:20" ht="15.75">
      <c r="A506" s="13">
        <v>56553</v>
      </c>
      <c r="B506" s="48">
        <v>31</v>
      </c>
      <c r="C506" s="39">
        <v>131.881</v>
      </c>
      <c r="D506" s="39">
        <v>277.16699999999997</v>
      </c>
      <c r="E506" s="45">
        <v>829.952</v>
      </c>
      <c r="F506" s="39">
        <v>1239</v>
      </c>
      <c r="G506" s="39">
        <v>75</v>
      </c>
      <c r="H506" s="47">
        <v>600</v>
      </c>
      <c r="I506" s="39">
        <v>695</v>
      </c>
      <c r="J506" s="39">
        <v>0</v>
      </c>
      <c r="K506" s="40"/>
      <c r="L506" s="40"/>
      <c r="M506" s="40"/>
      <c r="N506" s="40"/>
      <c r="O506" s="40"/>
      <c r="P506" s="40"/>
      <c r="Q506" s="40"/>
      <c r="R506" s="40"/>
      <c r="S506" s="40"/>
      <c r="T506" s="40"/>
    </row>
    <row r="507" spans="1:20" ht="15.75">
      <c r="A507" s="13">
        <v>56583</v>
      </c>
      <c r="B507" s="48">
        <v>30</v>
      </c>
      <c r="C507" s="39">
        <v>122.58</v>
      </c>
      <c r="D507" s="39">
        <v>297.94099999999997</v>
      </c>
      <c r="E507" s="45">
        <v>729.47900000000004</v>
      </c>
      <c r="F507" s="39">
        <v>1150</v>
      </c>
      <c r="G507" s="39">
        <v>100</v>
      </c>
      <c r="H507" s="47">
        <v>600</v>
      </c>
      <c r="I507" s="39">
        <v>695</v>
      </c>
      <c r="J507" s="39">
        <v>50</v>
      </c>
      <c r="K507" s="40"/>
      <c r="L507" s="40"/>
      <c r="M507" s="40"/>
      <c r="N507" s="40"/>
      <c r="O507" s="40"/>
      <c r="P507" s="40"/>
      <c r="Q507" s="40"/>
      <c r="R507" s="40"/>
      <c r="S507" s="40"/>
      <c r="T507" s="40"/>
    </row>
    <row r="508" spans="1:20" ht="15.75">
      <c r="A508" s="13">
        <v>56614</v>
      </c>
      <c r="B508" s="48">
        <v>31</v>
      </c>
      <c r="C508" s="39">
        <v>122.58</v>
      </c>
      <c r="D508" s="39">
        <v>297.94099999999997</v>
      </c>
      <c r="E508" s="45">
        <v>729.47900000000004</v>
      </c>
      <c r="F508" s="39">
        <v>1150</v>
      </c>
      <c r="G508" s="39">
        <v>100</v>
      </c>
      <c r="H508" s="47">
        <v>600</v>
      </c>
      <c r="I508" s="39">
        <v>695</v>
      </c>
      <c r="J508" s="39">
        <v>50</v>
      </c>
      <c r="K508" s="40"/>
      <c r="L508" s="40"/>
      <c r="M508" s="40"/>
      <c r="N508" s="40"/>
      <c r="O508" s="40"/>
      <c r="P508" s="40"/>
      <c r="Q508" s="40"/>
      <c r="R508" s="40"/>
      <c r="S508" s="40"/>
      <c r="T508" s="40"/>
    </row>
    <row r="509" spans="1:20" ht="15.75">
      <c r="A509" s="13">
        <v>56645</v>
      </c>
      <c r="B509" s="48">
        <v>31</v>
      </c>
      <c r="C509" s="39">
        <v>122.58</v>
      </c>
      <c r="D509" s="39">
        <v>297.94099999999997</v>
      </c>
      <c r="E509" s="45">
        <v>729.47900000000004</v>
      </c>
      <c r="F509" s="39">
        <v>1150</v>
      </c>
      <c r="G509" s="39">
        <v>100</v>
      </c>
      <c r="H509" s="47">
        <v>600</v>
      </c>
      <c r="I509" s="39">
        <v>695</v>
      </c>
      <c r="J509" s="39">
        <v>50</v>
      </c>
      <c r="K509" s="40"/>
      <c r="L509" s="40"/>
      <c r="M509" s="40"/>
      <c r="N509" s="40"/>
      <c r="O509" s="40"/>
      <c r="P509" s="40"/>
      <c r="Q509" s="40"/>
      <c r="R509" s="40"/>
      <c r="S509" s="40"/>
      <c r="T509" s="40"/>
    </row>
    <row r="510" spans="1:20" ht="15.75">
      <c r="A510" s="13">
        <v>56673</v>
      </c>
      <c r="B510" s="48">
        <v>28</v>
      </c>
      <c r="C510" s="39">
        <v>122.58</v>
      </c>
      <c r="D510" s="39">
        <v>297.94099999999997</v>
      </c>
      <c r="E510" s="45">
        <v>729.47900000000004</v>
      </c>
      <c r="F510" s="39">
        <v>1150</v>
      </c>
      <c r="G510" s="39">
        <v>100</v>
      </c>
      <c r="H510" s="47">
        <v>600</v>
      </c>
      <c r="I510" s="39">
        <v>695</v>
      </c>
      <c r="J510" s="39">
        <v>50</v>
      </c>
      <c r="K510" s="40"/>
      <c r="L510" s="40"/>
      <c r="M510" s="40"/>
      <c r="N510" s="40"/>
      <c r="O510" s="40"/>
      <c r="P510" s="40"/>
      <c r="Q510" s="40"/>
      <c r="R510" s="40"/>
      <c r="S510" s="40"/>
      <c r="T510" s="40"/>
    </row>
    <row r="511" spans="1:20" ht="15.75">
      <c r="A511" s="13">
        <v>56704</v>
      </c>
      <c r="B511" s="48">
        <v>31</v>
      </c>
      <c r="C511" s="39">
        <v>122.58</v>
      </c>
      <c r="D511" s="39">
        <v>297.94099999999997</v>
      </c>
      <c r="E511" s="45">
        <v>729.47900000000004</v>
      </c>
      <c r="F511" s="39">
        <v>1150</v>
      </c>
      <c r="G511" s="39">
        <v>100</v>
      </c>
      <c r="H511" s="47">
        <v>600</v>
      </c>
      <c r="I511" s="39">
        <v>695</v>
      </c>
      <c r="J511" s="39">
        <v>50</v>
      </c>
      <c r="K511" s="40"/>
      <c r="L511" s="40"/>
      <c r="M511" s="40"/>
      <c r="N511" s="40"/>
      <c r="O511" s="40"/>
      <c r="P511" s="40"/>
      <c r="Q511" s="40"/>
      <c r="R511" s="40"/>
      <c r="S511" s="40"/>
      <c r="T511" s="40"/>
    </row>
    <row r="512" spans="1:20" ht="15.75">
      <c r="A512" s="13">
        <v>56734</v>
      </c>
      <c r="B512" s="48">
        <v>30</v>
      </c>
      <c r="C512" s="39">
        <v>141.29300000000001</v>
      </c>
      <c r="D512" s="39">
        <v>267.99299999999999</v>
      </c>
      <c r="E512" s="45">
        <v>829.71400000000006</v>
      </c>
      <c r="F512" s="39">
        <v>1239</v>
      </c>
      <c r="G512" s="39">
        <v>100</v>
      </c>
      <c r="H512" s="47">
        <v>600</v>
      </c>
      <c r="I512" s="39">
        <v>695</v>
      </c>
      <c r="J512" s="39">
        <v>50</v>
      </c>
      <c r="K512" s="40"/>
      <c r="L512" s="40"/>
      <c r="M512" s="40"/>
      <c r="N512" s="40"/>
      <c r="O512" s="40"/>
      <c r="P512" s="40"/>
      <c r="Q512" s="40"/>
      <c r="R512" s="40"/>
      <c r="S512" s="40"/>
      <c r="T512" s="40"/>
    </row>
    <row r="513" spans="1:20" ht="15.75">
      <c r="A513" s="13">
        <v>56765</v>
      </c>
      <c r="B513" s="48">
        <v>31</v>
      </c>
      <c r="C513" s="39">
        <v>194.20500000000001</v>
      </c>
      <c r="D513" s="39">
        <v>267.46600000000001</v>
      </c>
      <c r="E513" s="45">
        <v>812.32899999999995</v>
      </c>
      <c r="F513" s="39">
        <v>1274</v>
      </c>
      <c r="G513" s="39">
        <v>75</v>
      </c>
      <c r="H513" s="47">
        <v>600</v>
      </c>
      <c r="I513" s="39">
        <v>695</v>
      </c>
      <c r="J513" s="39">
        <v>50</v>
      </c>
      <c r="K513" s="40"/>
      <c r="L513" s="40"/>
      <c r="M513" s="40"/>
      <c r="N513" s="40"/>
      <c r="O513" s="40"/>
      <c r="P513" s="40"/>
      <c r="Q513" s="40"/>
      <c r="R513" s="40"/>
      <c r="S513" s="40"/>
      <c r="T513" s="40"/>
    </row>
    <row r="514" spans="1:20" ht="15.75">
      <c r="A514" s="13">
        <v>56795</v>
      </c>
      <c r="B514" s="48">
        <v>30</v>
      </c>
      <c r="C514" s="39">
        <v>194.20500000000001</v>
      </c>
      <c r="D514" s="39">
        <v>267.46600000000001</v>
      </c>
      <c r="E514" s="45">
        <v>812.32899999999995</v>
      </c>
      <c r="F514" s="39">
        <v>1274</v>
      </c>
      <c r="G514" s="39">
        <v>50</v>
      </c>
      <c r="H514" s="47">
        <v>600</v>
      </c>
      <c r="I514" s="39">
        <v>695</v>
      </c>
      <c r="J514" s="39">
        <v>50</v>
      </c>
      <c r="K514" s="40"/>
      <c r="L514" s="40"/>
      <c r="M514" s="40"/>
      <c r="N514" s="40"/>
      <c r="O514" s="40"/>
      <c r="P514" s="40"/>
      <c r="Q514" s="40"/>
      <c r="R514" s="40"/>
      <c r="S514" s="40"/>
      <c r="T514" s="40"/>
    </row>
    <row r="515" spans="1:20" ht="15.75">
      <c r="A515" s="13">
        <v>56826</v>
      </c>
      <c r="B515" s="48">
        <v>31</v>
      </c>
      <c r="C515" s="39">
        <v>194.20500000000001</v>
      </c>
      <c r="D515" s="39">
        <v>267.46600000000001</v>
      </c>
      <c r="E515" s="45">
        <v>812.32899999999995</v>
      </c>
      <c r="F515" s="39">
        <v>1274</v>
      </c>
      <c r="G515" s="39">
        <v>50</v>
      </c>
      <c r="H515" s="47">
        <v>600</v>
      </c>
      <c r="I515" s="39">
        <v>695</v>
      </c>
      <c r="J515" s="39">
        <v>0</v>
      </c>
      <c r="K515" s="40"/>
      <c r="L515" s="40"/>
      <c r="M515" s="40"/>
      <c r="N515" s="40"/>
      <c r="O515" s="40"/>
      <c r="P515" s="40"/>
      <c r="Q515" s="40"/>
      <c r="R515" s="40"/>
      <c r="S515" s="40"/>
      <c r="T515" s="40"/>
    </row>
    <row r="516" spans="1:20" ht="15.75">
      <c r="A516" s="13">
        <v>56857</v>
      </c>
      <c r="B516" s="48">
        <v>31</v>
      </c>
      <c r="C516" s="39">
        <v>194.20500000000001</v>
      </c>
      <c r="D516" s="39">
        <v>267.46600000000001</v>
      </c>
      <c r="E516" s="45">
        <v>812.32899999999995</v>
      </c>
      <c r="F516" s="39">
        <v>1274</v>
      </c>
      <c r="G516" s="39">
        <v>50</v>
      </c>
      <c r="H516" s="47">
        <v>600</v>
      </c>
      <c r="I516" s="39">
        <v>695</v>
      </c>
      <c r="J516" s="39">
        <v>0</v>
      </c>
      <c r="K516" s="40"/>
      <c r="L516" s="40"/>
      <c r="M516" s="40"/>
      <c r="N516" s="40"/>
      <c r="O516" s="40"/>
      <c r="P516" s="40"/>
      <c r="Q516" s="40"/>
      <c r="R516" s="40"/>
      <c r="S516" s="40"/>
      <c r="T516" s="40"/>
    </row>
    <row r="517" spans="1:20" ht="15.75">
      <c r="A517" s="13">
        <v>56887</v>
      </c>
      <c r="B517" s="48">
        <v>30</v>
      </c>
      <c r="C517" s="39">
        <v>194.20500000000001</v>
      </c>
      <c r="D517" s="39">
        <v>267.46600000000001</v>
      </c>
      <c r="E517" s="45">
        <v>812.32899999999995</v>
      </c>
      <c r="F517" s="39">
        <v>1274</v>
      </c>
      <c r="G517" s="39">
        <v>50</v>
      </c>
      <c r="H517" s="47">
        <v>600</v>
      </c>
      <c r="I517" s="39">
        <v>695</v>
      </c>
      <c r="J517" s="39">
        <v>0</v>
      </c>
      <c r="K517" s="40"/>
      <c r="L517" s="40"/>
      <c r="M517" s="40"/>
      <c r="N517" s="40"/>
      <c r="O517" s="40"/>
      <c r="P517" s="40"/>
      <c r="Q517" s="40"/>
      <c r="R517" s="40"/>
      <c r="S517" s="40"/>
      <c r="T517" s="40"/>
    </row>
    <row r="518" spans="1:20" ht="15.75">
      <c r="A518" s="13">
        <v>56918</v>
      </c>
      <c r="B518" s="48">
        <v>31</v>
      </c>
      <c r="C518" s="39">
        <v>131.881</v>
      </c>
      <c r="D518" s="39">
        <v>277.16699999999997</v>
      </c>
      <c r="E518" s="45">
        <v>829.952</v>
      </c>
      <c r="F518" s="39">
        <v>1239</v>
      </c>
      <c r="G518" s="39">
        <v>75</v>
      </c>
      <c r="H518" s="47">
        <v>600</v>
      </c>
      <c r="I518" s="39">
        <v>695</v>
      </c>
      <c r="J518" s="39">
        <v>0</v>
      </c>
      <c r="K518" s="40"/>
      <c r="L518" s="40"/>
      <c r="M518" s="40"/>
      <c r="N518" s="40"/>
      <c r="O518" s="40"/>
      <c r="P518" s="40"/>
      <c r="Q518" s="40"/>
      <c r="R518" s="40"/>
      <c r="S518" s="40"/>
      <c r="T518" s="40"/>
    </row>
    <row r="519" spans="1:20" ht="15.75">
      <c r="A519" s="13">
        <v>56948</v>
      </c>
      <c r="B519" s="48">
        <v>30</v>
      </c>
      <c r="C519" s="39">
        <v>122.58</v>
      </c>
      <c r="D519" s="39">
        <v>297.94099999999997</v>
      </c>
      <c r="E519" s="45">
        <v>729.47900000000004</v>
      </c>
      <c r="F519" s="39">
        <v>1150</v>
      </c>
      <c r="G519" s="39">
        <v>100</v>
      </c>
      <c r="H519" s="47">
        <v>600</v>
      </c>
      <c r="I519" s="39">
        <v>695</v>
      </c>
      <c r="J519" s="39">
        <v>50</v>
      </c>
      <c r="K519" s="40"/>
      <c r="L519" s="40"/>
      <c r="M519" s="40"/>
      <c r="N519" s="40"/>
      <c r="O519" s="40"/>
      <c r="P519" s="40"/>
      <c r="Q519" s="40"/>
      <c r="R519" s="40"/>
      <c r="S519" s="40"/>
      <c r="T519" s="40"/>
    </row>
    <row r="520" spans="1:20" ht="15.75">
      <c r="A520" s="13">
        <v>56979</v>
      </c>
      <c r="B520" s="48">
        <v>31</v>
      </c>
      <c r="C520" s="39">
        <v>122.58</v>
      </c>
      <c r="D520" s="39">
        <v>297.94099999999997</v>
      </c>
      <c r="E520" s="45">
        <v>729.47900000000004</v>
      </c>
      <c r="F520" s="39">
        <v>1150</v>
      </c>
      <c r="G520" s="39">
        <v>100</v>
      </c>
      <c r="H520" s="47">
        <v>600</v>
      </c>
      <c r="I520" s="39">
        <v>695</v>
      </c>
      <c r="J520" s="39">
        <v>50</v>
      </c>
      <c r="K520" s="40"/>
      <c r="L520" s="40"/>
      <c r="M520" s="40"/>
      <c r="N520" s="40"/>
      <c r="O520" s="40"/>
      <c r="P520" s="40"/>
      <c r="Q520" s="40"/>
      <c r="R520" s="40"/>
      <c r="S520" s="40"/>
      <c r="T520" s="40"/>
    </row>
    <row r="521" spans="1:20" ht="15.75">
      <c r="A521" s="13">
        <v>57010</v>
      </c>
      <c r="B521" s="48">
        <v>31</v>
      </c>
      <c r="C521" s="39">
        <v>122.58</v>
      </c>
      <c r="D521" s="39">
        <v>297.94099999999997</v>
      </c>
      <c r="E521" s="45">
        <v>729.47900000000004</v>
      </c>
      <c r="F521" s="39">
        <v>1150</v>
      </c>
      <c r="G521" s="39">
        <v>100</v>
      </c>
      <c r="H521" s="47">
        <v>600</v>
      </c>
      <c r="I521" s="39">
        <v>695</v>
      </c>
      <c r="J521" s="39">
        <v>50</v>
      </c>
      <c r="K521" s="40"/>
      <c r="L521" s="40"/>
      <c r="M521" s="40"/>
      <c r="N521" s="40"/>
      <c r="O521" s="40"/>
      <c r="P521" s="40"/>
      <c r="Q521" s="40"/>
      <c r="R521" s="40"/>
      <c r="S521" s="40"/>
      <c r="T521" s="40"/>
    </row>
    <row r="522" spans="1:20" ht="15.75">
      <c r="A522" s="13">
        <v>57038</v>
      </c>
      <c r="B522" s="48">
        <v>29</v>
      </c>
      <c r="C522" s="39">
        <v>122.58</v>
      </c>
      <c r="D522" s="39">
        <v>297.94099999999997</v>
      </c>
      <c r="E522" s="45">
        <v>729.47900000000004</v>
      </c>
      <c r="F522" s="39">
        <v>1150</v>
      </c>
      <c r="G522" s="39">
        <v>100</v>
      </c>
      <c r="H522" s="47">
        <v>600</v>
      </c>
      <c r="I522" s="39">
        <v>695</v>
      </c>
      <c r="J522" s="39">
        <v>50</v>
      </c>
      <c r="K522" s="40"/>
      <c r="L522" s="40"/>
      <c r="M522" s="40"/>
      <c r="N522" s="40"/>
      <c r="O522" s="40"/>
      <c r="P522" s="40"/>
      <c r="Q522" s="40"/>
      <c r="R522" s="40"/>
      <c r="S522" s="40"/>
      <c r="T522" s="40"/>
    </row>
    <row r="523" spans="1:20" ht="15.75">
      <c r="A523" s="13">
        <v>57070</v>
      </c>
      <c r="B523" s="48">
        <v>31</v>
      </c>
      <c r="C523" s="39">
        <v>122.58</v>
      </c>
      <c r="D523" s="39">
        <v>297.94099999999997</v>
      </c>
      <c r="E523" s="45">
        <v>729.47900000000004</v>
      </c>
      <c r="F523" s="39">
        <v>1150</v>
      </c>
      <c r="G523" s="39">
        <v>100</v>
      </c>
      <c r="H523" s="47">
        <v>600</v>
      </c>
      <c r="I523" s="39">
        <v>695</v>
      </c>
      <c r="J523" s="39">
        <v>50</v>
      </c>
      <c r="K523" s="40"/>
      <c r="L523" s="40"/>
      <c r="M523" s="40"/>
      <c r="N523" s="40"/>
      <c r="O523" s="40"/>
      <c r="P523" s="40"/>
      <c r="Q523" s="40"/>
      <c r="R523" s="40"/>
      <c r="S523" s="40"/>
      <c r="T523" s="40"/>
    </row>
    <row r="524" spans="1:20" ht="15.75">
      <c r="A524" s="13">
        <v>57100</v>
      </c>
      <c r="B524" s="48">
        <v>30</v>
      </c>
      <c r="C524" s="39">
        <v>141.29300000000001</v>
      </c>
      <c r="D524" s="39">
        <v>267.99299999999999</v>
      </c>
      <c r="E524" s="45">
        <v>829.71400000000006</v>
      </c>
      <c r="F524" s="39">
        <v>1239</v>
      </c>
      <c r="G524" s="39">
        <v>100</v>
      </c>
      <c r="H524" s="47">
        <v>600</v>
      </c>
      <c r="I524" s="39">
        <v>695</v>
      </c>
      <c r="J524" s="39">
        <v>50</v>
      </c>
      <c r="K524" s="40"/>
      <c r="L524" s="40"/>
      <c r="M524" s="40"/>
      <c r="N524" s="40"/>
      <c r="O524" s="40"/>
      <c r="P524" s="40"/>
      <c r="Q524" s="40"/>
      <c r="R524" s="40"/>
      <c r="S524" s="40"/>
      <c r="T524" s="40"/>
    </row>
    <row r="525" spans="1:20" ht="15.75">
      <c r="A525" s="13">
        <v>57131</v>
      </c>
      <c r="B525" s="48">
        <v>31</v>
      </c>
      <c r="C525" s="39">
        <v>194.20500000000001</v>
      </c>
      <c r="D525" s="39">
        <v>267.46600000000001</v>
      </c>
      <c r="E525" s="45">
        <v>812.32899999999995</v>
      </c>
      <c r="F525" s="39">
        <v>1274</v>
      </c>
      <c r="G525" s="39">
        <v>75</v>
      </c>
      <c r="H525" s="47">
        <v>600</v>
      </c>
      <c r="I525" s="39">
        <v>695</v>
      </c>
      <c r="J525" s="39">
        <v>50</v>
      </c>
      <c r="K525" s="40"/>
      <c r="L525" s="40"/>
      <c r="M525" s="40"/>
      <c r="N525" s="40"/>
      <c r="O525" s="40"/>
      <c r="P525" s="40"/>
      <c r="Q525" s="40"/>
      <c r="R525" s="40"/>
      <c r="S525" s="40"/>
      <c r="T525" s="40"/>
    </row>
    <row r="526" spans="1:20" ht="15.75">
      <c r="A526" s="13">
        <v>57161</v>
      </c>
      <c r="B526" s="48">
        <v>30</v>
      </c>
      <c r="C526" s="39">
        <v>194.20500000000001</v>
      </c>
      <c r="D526" s="39">
        <v>267.46600000000001</v>
      </c>
      <c r="E526" s="45">
        <v>812.32899999999995</v>
      </c>
      <c r="F526" s="39">
        <v>1274</v>
      </c>
      <c r="G526" s="39">
        <v>50</v>
      </c>
      <c r="H526" s="47">
        <v>600</v>
      </c>
      <c r="I526" s="39">
        <v>695</v>
      </c>
      <c r="J526" s="39">
        <v>50</v>
      </c>
      <c r="K526" s="40"/>
      <c r="L526" s="40"/>
      <c r="M526" s="40"/>
      <c r="N526" s="40"/>
      <c r="O526" s="40"/>
      <c r="P526" s="40"/>
      <c r="Q526" s="40"/>
      <c r="R526" s="40"/>
      <c r="S526" s="40"/>
      <c r="T526" s="40"/>
    </row>
    <row r="527" spans="1:20" ht="15.75">
      <c r="A527" s="13">
        <v>57192</v>
      </c>
      <c r="B527" s="48">
        <v>31</v>
      </c>
      <c r="C527" s="39">
        <v>194.20500000000001</v>
      </c>
      <c r="D527" s="39">
        <v>267.46600000000001</v>
      </c>
      <c r="E527" s="45">
        <v>812.32899999999995</v>
      </c>
      <c r="F527" s="39">
        <v>1274</v>
      </c>
      <c r="G527" s="39">
        <v>50</v>
      </c>
      <c r="H527" s="47">
        <v>600</v>
      </c>
      <c r="I527" s="39">
        <v>695</v>
      </c>
      <c r="J527" s="39">
        <v>0</v>
      </c>
      <c r="K527" s="40"/>
      <c r="L527" s="40"/>
      <c r="M527" s="40"/>
      <c r="N527" s="40"/>
      <c r="O527" s="40"/>
      <c r="P527" s="40"/>
      <c r="Q527" s="40"/>
      <c r="R527" s="40"/>
      <c r="S527" s="40"/>
      <c r="T527" s="40"/>
    </row>
    <row r="528" spans="1:20" ht="15.75">
      <c r="A528" s="13">
        <v>57223</v>
      </c>
      <c r="B528" s="48">
        <v>31</v>
      </c>
      <c r="C528" s="39">
        <v>194.20500000000001</v>
      </c>
      <c r="D528" s="39">
        <v>267.46600000000001</v>
      </c>
      <c r="E528" s="45">
        <v>812.32899999999995</v>
      </c>
      <c r="F528" s="39">
        <v>1274</v>
      </c>
      <c r="G528" s="39">
        <v>50</v>
      </c>
      <c r="H528" s="47">
        <v>600</v>
      </c>
      <c r="I528" s="39">
        <v>695</v>
      </c>
      <c r="J528" s="39">
        <v>0</v>
      </c>
      <c r="K528" s="40"/>
      <c r="L528" s="40"/>
      <c r="M528" s="40"/>
      <c r="N528" s="40"/>
      <c r="O528" s="40"/>
      <c r="P528" s="40"/>
      <c r="Q528" s="40"/>
      <c r="R528" s="40"/>
      <c r="S528" s="40"/>
      <c r="T528" s="40"/>
    </row>
    <row r="529" spans="1:20" ht="15.75">
      <c r="A529" s="13">
        <v>57253</v>
      </c>
      <c r="B529" s="48">
        <v>30</v>
      </c>
      <c r="C529" s="39">
        <v>194.20500000000001</v>
      </c>
      <c r="D529" s="39">
        <v>267.46600000000001</v>
      </c>
      <c r="E529" s="45">
        <v>812.32899999999995</v>
      </c>
      <c r="F529" s="39">
        <v>1274</v>
      </c>
      <c r="G529" s="39">
        <v>50</v>
      </c>
      <c r="H529" s="47">
        <v>600</v>
      </c>
      <c r="I529" s="39">
        <v>695</v>
      </c>
      <c r="J529" s="39">
        <v>0</v>
      </c>
      <c r="K529" s="40"/>
      <c r="L529" s="40"/>
      <c r="M529" s="40"/>
      <c r="N529" s="40"/>
      <c r="O529" s="40"/>
      <c r="P529" s="40"/>
      <c r="Q529" s="40"/>
      <c r="R529" s="40"/>
      <c r="S529" s="40"/>
      <c r="T529" s="40"/>
    </row>
    <row r="530" spans="1:20" ht="15.75">
      <c r="A530" s="13">
        <v>57284</v>
      </c>
      <c r="B530" s="48">
        <v>31</v>
      </c>
      <c r="C530" s="39">
        <v>131.881</v>
      </c>
      <c r="D530" s="39">
        <v>277.16699999999997</v>
      </c>
      <c r="E530" s="45">
        <v>829.952</v>
      </c>
      <c r="F530" s="39">
        <v>1239</v>
      </c>
      <c r="G530" s="39">
        <v>75</v>
      </c>
      <c r="H530" s="47">
        <v>600</v>
      </c>
      <c r="I530" s="39">
        <v>695</v>
      </c>
      <c r="J530" s="39">
        <v>0</v>
      </c>
      <c r="K530" s="40"/>
      <c r="L530" s="40"/>
      <c r="M530" s="40"/>
      <c r="N530" s="40"/>
      <c r="O530" s="40"/>
      <c r="P530" s="40"/>
      <c r="Q530" s="40"/>
      <c r="R530" s="40"/>
      <c r="S530" s="40"/>
      <c r="T530" s="40"/>
    </row>
    <row r="531" spans="1:20" ht="15.75">
      <c r="A531" s="13">
        <v>57314</v>
      </c>
      <c r="B531" s="48">
        <v>30</v>
      </c>
      <c r="C531" s="39">
        <v>122.58</v>
      </c>
      <c r="D531" s="39">
        <v>297.94099999999997</v>
      </c>
      <c r="E531" s="45">
        <v>729.47900000000004</v>
      </c>
      <c r="F531" s="39">
        <v>1150</v>
      </c>
      <c r="G531" s="39">
        <v>100</v>
      </c>
      <c r="H531" s="47">
        <v>600</v>
      </c>
      <c r="I531" s="39">
        <v>695</v>
      </c>
      <c r="J531" s="39">
        <v>50</v>
      </c>
      <c r="K531" s="40"/>
      <c r="L531" s="40"/>
      <c r="M531" s="40"/>
      <c r="N531" s="40"/>
      <c r="O531" s="40"/>
      <c r="P531" s="40"/>
      <c r="Q531" s="40"/>
      <c r="R531" s="40"/>
      <c r="S531" s="40"/>
      <c r="T531" s="40"/>
    </row>
    <row r="532" spans="1:20" ht="15.75">
      <c r="A532" s="13">
        <v>57345</v>
      </c>
      <c r="B532" s="48">
        <v>31</v>
      </c>
      <c r="C532" s="39">
        <v>122.58</v>
      </c>
      <c r="D532" s="39">
        <v>297.94099999999997</v>
      </c>
      <c r="E532" s="45">
        <v>729.47900000000004</v>
      </c>
      <c r="F532" s="39">
        <v>1150</v>
      </c>
      <c r="G532" s="39">
        <v>100</v>
      </c>
      <c r="H532" s="47">
        <v>600</v>
      </c>
      <c r="I532" s="39">
        <v>695</v>
      </c>
      <c r="J532" s="39">
        <v>50</v>
      </c>
      <c r="K532" s="40"/>
      <c r="L532" s="40"/>
      <c r="M532" s="40"/>
      <c r="N532" s="40"/>
      <c r="O532" s="40"/>
      <c r="P532" s="40"/>
      <c r="Q532" s="40"/>
      <c r="R532" s="40"/>
      <c r="S532" s="40"/>
      <c r="T532" s="40"/>
    </row>
    <row r="533" spans="1:20" ht="15.75">
      <c r="A533" s="13">
        <v>57376</v>
      </c>
      <c r="B533" s="48">
        <v>31</v>
      </c>
      <c r="C533" s="39">
        <v>122.58</v>
      </c>
      <c r="D533" s="39">
        <v>297.94099999999997</v>
      </c>
      <c r="E533" s="45">
        <v>729.47900000000004</v>
      </c>
      <c r="F533" s="39">
        <v>1150</v>
      </c>
      <c r="G533" s="39">
        <v>100</v>
      </c>
      <c r="H533" s="47">
        <v>600</v>
      </c>
      <c r="I533" s="39">
        <v>695</v>
      </c>
      <c r="J533" s="39">
        <v>50</v>
      </c>
      <c r="K533" s="40"/>
      <c r="L533" s="40"/>
      <c r="M533" s="40"/>
      <c r="N533" s="40"/>
      <c r="O533" s="40"/>
      <c r="P533" s="40"/>
      <c r="Q533" s="40"/>
      <c r="R533" s="40"/>
      <c r="S533" s="40"/>
      <c r="T533" s="40"/>
    </row>
    <row r="534" spans="1:20" ht="15.75">
      <c r="A534" s="13">
        <v>57404</v>
      </c>
      <c r="B534" s="48">
        <v>28</v>
      </c>
      <c r="C534" s="39">
        <v>122.58</v>
      </c>
      <c r="D534" s="39">
        <v>297.94099999999997</v>
      </c>
      <c r="E534" s="45">
        <v>729.47900000000004</v>
      </c>
      <c r="F534" s="39">
        <v>1150</v>
      </c>
      <c r="G534" s="39">
        <v>100</v>
      </c>
      <c r="H534" s="47">
        <v>600</v>
      </c>
      <c r="I534" s="39">
        <v>695</v>
      </c>
      <c r="J534" s="39">
        <v>50</v>
      </c>
      <c r="K534" s="40"/>
      <c r="L534" s="40"/>
      <c r="M534" s="40"/>
      <c r="N534" s="40"/>
      <c r="O534" s="40"/>
      <c r="P534" s="40"/>
      <c r="Q534" s="40"/>
      <c r="R534" s="40"/>
      <c r="S534" s="40"/>
      <c r="T534" s="40"/>
    </row>
    <row r="535" spans="1:20" ht="15.75">
      <c r="A535" s="13">
        <v>57435</v>
      </c>
      <c r="B535" s="48">
        <v>31</v>
      </c>
      <c r="C535" s="39">
        <v>122.58</v>
      </c>
      <c r="D535" s="39">
        <v>297.94099999999997</v>
      </c>
      <c r="E535" s="45">
        <v>729.47900000000004</v>
      </c>
      <c r="F535" s="39">
        <v>1150</v>
      </c>
      <c r="G535" s="39">
        <v>100</v>
      </c>
      <c r="H535" s="47">
        <v>600</v>
      </c>
      <c r="I535" s="39">
        <v>695</v>
      </c>
      <c r="J535" s="39">
        <v>50</v>
      </c>
      <c r="K535" s="40"/>
      <c r="L535" s="40"/>
      <c r="M535" s="40"/>
      <c r="N535" s="40"/>
      <c r="O535" s="40"/>
      <c r="P535" s="40"/>
      <c r="Q535" s="40"/>
      <c r="R535" s="40"/>
      <c r="S535" s="40"/>
      <c r="T535" s="40"/>
    </row>
    <row r="536" spans="1:20" ht="15.75">
      <c r="A536" s="13">
        <v>57465</v>
      </c>
      <c r="B536" s="48">
        <v>30</v>
      </c>
      <c r="C536" s="39">
        <v>141.29300000000001</v>
      </c>
      <c r="D536" s="39">
        <v>267.99299999999999</v>
      </c>
      <c r="E536" s="45">
        <v>829.71400000000006</v>
      </c>
      <c r="F536" s="39">
        <v>1239</v>
      </c>
      <c r="G536" s="39">
        <v>100</v>
      </c>
      <c r="H536" s="47">
        <v>600</v>
      </c>
      <c r="I536" s="39">
        <v>695</v>
      </c>
      <c r="J536" s="39">
        <v>50</v>
      </c>
      <c r="K536" s="40"/>
      <c r="L536" s="40"/>
      <c r="M536" s="40"/>
      <c r="N536" s="40"/>
      <c r="O536" s="40"/>
      <c r="P536" s="40"/>
      <c r="Q536" s="40"/>
      <c r="R536" s="40"/>
      <c r="S536" s="40"/>
      <c r="T536" s="40"/>
    </row>
    <row r="537" spans="1:20" ht="15.75">
      <c r="A537" s="13">
        <v>57496</v>
      </c>
      <c r="B537" s="48">
        <v>31</v>
      </c>
      <c r="C537" s="39">
        <v>194.20500000000001</v>
      </c>
      <c r="D537" s="39">
        <v>267.46600000000001</v>
      </c>
      <c r="E537" s="45">
        <v>812.32899999999995</v>
      </c>
      <c r="F537" s="39">
        <v>1274</v>
      </c>
      <c r="G537" s="39">
        <v>75</v>
      </c>
      <c r="H537" s="47">
        <v>600</v>
      </c>
      <c r="I537" s="39">
        <v>695</v>
      </c>
      <c r="J537" s="39">
        <v>50</v>
      </c>
      <c r="K537" s="40"/>
      <c r="L537" s="40"/>
      <c r="M537" s="40"/>
      <c r="N537" s="40"/>
      <c r="O537" s="40"/>
      <c r="P537" s="40"/>
      <c r="Q537" s="40"/>
      <c r="R537" s="40"/>
      <c r="S537" s="40"/>
      <c r="T537" s="40"/>
    </row>
    <row r="538" spans="1:20" ht="15.75">
      <c r="A538" s="13">
        <v>57526</v>
      </c>
      <c r="B538" s="48">
        <v>30</v>
      </c>
      <c r="C538" s="39">
        <v>194.20500000000001</v>
      </c>
      <c r="D538" s="39">
        <v>267.46600000000001</v>
      </c>
      <c r="E538" s="45">
        <v>812.32899999999995</v>
      </c>
      <c r="F538" s="39">
        <v>1274</v>
      </c>
      <c r="G538" s="39">
        <v>50</v>
      </c>
      <c r="H538" s="47">
        <v>600</v>
      </c>
      <c r="I538" s="39">
        <v>695</v>
      </c>
      <c r="J538" s="39">
        <v>50</v>
      </c>
      <c r="K538" s="40"/>
      <c r="L538" s="40"/>
      <c r="M538" s="40"/>
      <c r="N538" s="40"/>
      <c r="O538" s="40"/>
      <c r="P538" s="40"/>
      <c r="Q538" s="40"/>
      <c r="R538" s="40"/>
      <c r="S538" s="40"/>
      <c r="T538" s="40"/>
    </row>
    <row r="539" spans="1:20" ht="15.75">
      <c r="A539" s="13">
        <v>57557</v>
      </c>
      <c r="B539" s="48">
        <v>31</v>
      </c>
      <c r="C539" s="39">
        <v>194.20500000000001</v>
      </c>
      <c r="D539" s="39">
        <v>267.46600000000001</v>
      </c>
      <c r="E539" s="45">
        <v>812.32899999999995</v>
      </c>
      <c r="F539" s="39">
        <v>1274</v>
      </c>
      <c r="G539" s="39">
        <v>50</v>
      </c>
      <c r="H539" s="47">
        <v>600</v>
      </c>
      <c r="I539" s="39">
        <v>695</v>
      </c>
      <c r="J539" s="39">
        <v>0</v>
      </c>
      <c r="K539" s="40"/>
      <c r="L539" s="40"/>
      <c r="M539" s="40"/>
      <c r="N539" s="40"/>
      <c r="O539" s="40"/>
      <c r="P539" s="40"/>
      <c r="Q539" s="40"/>
      <c r="R539" s="40"/>
      <c r="S539" s="40"/>
      <c r="T539" s="40"/>
    </row>
    <row r="540" spans="1:20" ht="15.75">
      <c r="A540" s="13">
        <v>57588</v>
      </c>
      <c r="B540" s="48">
        <v>31</v>
      </c>
      <c r="C540" s="39">
        <v>194.20500000000001</v>
      </c>
      <c r="D540" s="39">
        <v>267.46600000000001</v>
      </c>
      <c r="E540" s="45">
        <v>812.32899999999995</v>
      </c>
      <c r="F540" s="39">
        <v>1274</v>
      </c>
      <c r="G540" s="39">
        <v>50</v>
      </c>
      <c r="H540" s="47">
        <v>600</v>
      </c>
      <c r="I540" s="39">
        <v>695</v>
      </c>
      <c r="J540" s="39">
        <v>0</v>
      </c>
      <c r="K540" s="40"/>
      <c r="L540" s="40"/>
      <c r="M540" s="40"/>
      <c r="N540" s="40"/>
      <c r="O540" s="40"/>
      <c r="P540" s="40"/>
      <c r="Q540" s="40"/>
      <c r="R540" s="40"/>
      <c r="S540" s="40"/>
      <c r="T540" s="40"/>
    </row>
    <row r="541" spans="1:20" ht="15.75">
      <c r="A541" s="13">
        <v>57618</v>
      </c>
      <c r="B541" s="48">
        <v>30</v>
      </c>
      <c r="C541" s="39">
        <v>194.20500000000001</v>
      </c>
      <c r="D541" s="39">
        <v>267.46600000000001</v>
      </c>
      <c r="E541" s="45">
        <v>812.32899999999995</v>
      </c>
      <c r="F541" s="39">
        <v>1274</v>
      </c>
      <c r="G541" s="39">
        <v>50</v>
      </c>
      <c r="H541" s="47">
        <v>600</v>
      </c>
      <c r="I541" s="39">
        <v>695</v>
      </c>
      <c r="J541" s="39">
        <v>0</v>
      </c>
      <c r="K541" s="40"/>
      <c r="L541" s="40"/>
      <c r="M541" s="40"/>
      <c r="N541" s="40"/>
      <c r="O541" s="40"/>
      <c r="P541" s="40"/>
      <c r="Q541" s="40"/>
      <c r="R541" s="40"/>
      <c r="S541" s="40"/>
      <c r="T541" s="40"/>
    </row>
    <row r="542" spans="1:20" ht="15.75">
      <c r="A542" s="13">
        <v>57649</v>
      </c>
      <c r="B542" s="48">
        <v>31</v>
      </c>
      <c r="C542" s="39">
        <v>131.881</v>
      </c>
      <c r="D542" s="39">
        <v>277.16699999999997</v>
      </c>
      <c r="E542" s="45">
        <v>829.952</v>
      </c>
      <c r="F542" s="39">
        <v>1239</v>
      </c>
      <c r="G542" s="39">
        <v>75</v>
      </c>
      <c r="H542" s="47">
        <v>600</v>
      </c>
      <c r="I542" s="39">
        <v>695</v>
      </c>
      <c r="J542" s="39">
        <v>0</v>
      </c>
      <c r="K542" s="40"/>
      <c r="L542" s="40"/>
      <c r="M542" s="40"/>
      <c r="N542" s="40"/>
      <c r="O542" s="40"/>
      <c r="P542" s="40"/>
      <c r="Q542" s="40"/>
      <c r="R542" s="40"/>
      <c r="S542" s="40"/>
      <c r="T542" s="40"/>
    </row>
    <row r="543" spans="1:20" ht="15.75">
      <c r="A543" s="13">
        <v>57679</v>
      </c>
      <c r="B543" s="48">
        <v>30</v>
      </c>
      <c r="C543" s="39">
        <v>122.58</v>
      </c>
      <c r="D543" s="39">
        <v>297.94099999999997</v>
      </c>
      <c r="E543" s="45">
        <v>729.47900000000004</v>
      </c>
      <c r="F543" s="39">
        <v>1150</v>
      </c>
      <c r="G543" s="39">
        <v>100</v>
      </c>
      <c r="H543" s="47">
        <v>600</v>
      </c>
      <c r="I543" s="39">
        <v>695</v>
      </c>
      <c r="J543" s="39">
        <v>50</v>
      </c>
      <c r="K543" s="40"/>
      <c r="L543" s="40"/>
      <c r="M543" s="40"/>
      <c r="N543" s="40"/>
      <c r="O543" s="40"/>
      <c r="P543" s="40"/>
      <c r="Q543" s="40"/>
      <c r="R543" s="40"/>
      <c r="S543" s="40"/>
      <c r="T543" s="40"/>
    </row>
    <row r="544" spans="1:20" ht="15.75">
      <c r="A544" s="13">
        <v>57710</v>
      </c>
      <c r="B544" s="48">
        <v>31</v>
      </c>
      <c r="C544" s="39">
        <v>122.58</v>
      </c>
      <c r="D544" s="39">
        <v>297.94099999999997</v>
      </c>
      <c r="E544" s="45">
        <v>729.47900000000004</v>
      </c>
      <c r="F544" s="39">
        <v>1150</v>
      </c>
      <c r="G544" s="39">
        <v>100</v>
      </c>
      <c r="H544" s="47">
        <v>600</v>
      </c>
      <c r="I544" s="39">
        <v>695</v>
      </c>
      <c r="J544" s="39">
        <v>50</v>
      </c>
      <c r="K544" s="40"/>
      <c r="L544" s="40"/>
      <c r="M544" s="40"/>
      <c r="N544" s="40"/>
      <c r="O544" s="40"/>
      <c r="P544" s="40"/>
      <c r="Q544" s="40"/>
      <c r="R544" s="40"/>
      <c r="S544" s="40"/>
      <c r="T544" s="40"/>
    </row>
    <row r="545" spans="1:20" ht="15.75">
      <c r="A545" s="13">
        <v>57741</v>
      </c>
      <c r="B545" s="48">
        <v>31</v>
      </c>
      <c r="C545" s="39">
        <v>122.58</v>
      </c>
      <c r="D545" s="39">
        <v>297.94099999999997</v>
      </c>
      <c r="E545" s="45">
        <v>729.47900000000004</v>
      </c>
      <c r="F545" s="39">
        <v>1150</v>
      </c>
      <c r="G545" s="39">
        <v>100</v>
      </c>
      <c r="H545" s="47">
        <v>600</v>
      </c>
      <c r="I545" s="39">
        <v>695</v>
      </c>
      <c r="J545" s="39">
        <v>50</v>
      </c>
      <c r="K545" s="40"/>
      <c r="L545" s="40"/>
      <c r="M545" s="40"/>
      <c r="N545" s="40"/>
      <c r="O545" s="40"/>
      <c r="P545" s="40"/>
      <c r="Q545" s="40"/>
      <c r="R545" s="40"/>
      <c r="S545" s="40"/>
      <c r="T545" s="40"/>
    </row>
    <row r="546" spans="1:20" ht="15.75">
      <c r="A546" s="13">
        <v>57769</v>
      </c>
      <c r="B546" s="48">
        <v>28</v>
      </c>
      <c r="C546" s="39">
        <v>122.58</v>
      </c>
      <c r="D546" s="39">
        <v>297.94099999999997</v>
      </c>
      <c r="E546" s="45">
        <v>729.47900000000004</v>
      </c>
      <c r="F546" s="39">
        <v>1150</v>
      </c>
      <c r="G546" s="39">
        <v>100</v>
      </c>
      <c r="H546" s="47">
        <v>600</v>
      </c>
      <c r="I546" s="39">
        <v>695</v>
      </c>
      <c r="J546" s="39">
        <v>50</v>
      </c>
      <c r="K546" s="40"/>
      <c r="L546" s="40"/>
      <c r="M546" s="40"/>
      <c r="N546" s="40"/>
      <c r="O546" s="40"/>
      <c r="P546" s="40"/>
      <c r="Q546" s="40"/>
      <c r="R546" s="40"/>
      <c r="S546" s="40"/>
      <c r="T546" s="40"/>
    </row>
    <row r="547" spans="1:20" ht="15.75">
      <c r="A547" s="13">
        <v>57800</v>
      </c>
      <c r="B547" s="48">
        <v>31</v>
      </c>
      <c r="C547" s="39">
        <v>122.58</v>
      </c>
      <c r="D547" s="39">
        <v>297.94099999999997</v>
      </c>
      <c r="E547" s="45">
        <v>729.47900000000004</v>
      </c>
      <c r="F547" s="39">
        <v>1150</v>
      </c>
      <c r="G547" s="39">
        <v>100</v>
      </c>
      <c r="H547" s="47">
        <v>600</v>
      </c>
      <c r="I547" s="39">
        <v>695</v>
      </c>
      <c r="J547" s="39">
        <v>50</v>
      </c>
      <c r="K547" s="40"/>
      <c r="L547" s="40"/>
      <c r="M547" s="40"/>
      <c r="N547" s="40"/>
      <c r="O547" s="40"/>
      <c r="P547" s="40"/>
      <c r="Q547" s="40"/>
      <c r="R547" s="40"/>
      <c r="S547" s="40"/>
      <c r="T547" s="40"/>
    </row>
    <row r="548" spans="1:20" ht="15.75">
      <c r="A548" s="13">
        <v>57830</v>
      </c>
      <c r="B548" s="48">
        <v>30</v>
      </c>
      <c r="C548" s="39">
        <v>141.29300000000001</v>
      </c>
      <c r="D548" s="39">
        <v>267.99299999999999</v>
      </c>
      <c r="E548" s="45">
        <v>829.71400000000006</v>
      </c>
      <c r="F548" s="39">
        <v>1239</v>
      </c>
      <c r="G548" s="39">
        <v>100</v>
      </c>
      <c r="H548" s="47">
        <v>600</v>
      </c>
      <c r="I548" s="39">
        <v>695</v>
      </c>
      <c r="J548" s="39">
        <v>50</v>
      </c>
      <c r="K548" s="40"/>
      <c r="L548" s="40"/>
      <c r="M548" s="40"/>
      <c r="N548" s="40"/>
      <c r="O548" s="40"/>
      <c r="P548" s="40"/>
      <c r="Q548" s="40"/>
      <c r="R548" s="40"/>
      <c r="S548" s="40"/>
      <c r="T548" s="40"/>
    </row>
    <row r="549" spans="1:20" ht="15.75">
      <c r="A549" s="13">
        <v>57861</v>
      </c>
      <c r="B549" s="48">
        <v>31</v>
      </c>
      <c r="C549" s="39">
        <v>194.20500000000001</v>
      </c>
      <c r="D549" s="39">
        <v>267.46600000000001</v>
      </c>
      <c r="E549" s="45">
        <v>812.32899999999995</v>
      </c>
      <c r="F549" s="39">
        <v>1274</v>
      </c>
      <c r="G549" s="39">
        <v>75</v>
      </c>
      <c r="H549" s="47">
        <v>600</v>
      </c>
      <c r="I549" s="39">
        <v>695</v>
      </c>
      <c r="J549" s="39">
        <v>50</v>
      </c>
      <c r="K549" s="40"/>
      <c r="L549" s="40"/>
      <c r="M549" s="40"/>
      <c r="N549" s="40"/>
      <c r="O549" s="40"/>
      <c r="P549" s="40"/>
      <c r="Q549" s="40"/>
      <c r="R549" s="40"/>
      <c r="S549" s="40"/>
      <c r="T549" s="40"/>
    </row>
    <row r="550" spans="1:20" ht="15.75">
      <c r="A550" s="13">
        <v>57891</v>
      </c>
      <c r="B550" s="48">
        <v>30</v>
      </c>
      <c r="C550" s="39">
        <v>194.20500000000001</v>
      </c>
      <c r="D550" s="39">
        <v>267.46600000000001</v>
      </c>
      <c r="E550" s="45">
        <v>812.32899999999995</v>
      </c>
      <c r="F550" s="39">
        <v>1274</v>
      </c>
      <c r="G550" s="39">
        <v>50</v>
      </c>
      <c r="H550" s="47">
        <v>600</v>
      </c>
      <c r="I550" s="39">
        <v>695</v>
      </c>
      <c r="J550" s="39">
        <v>50</v>
      </c>
      <c r="K550" s="40"/>
      <c r="L550" s="40"/>
      <c r="M550" s="40"/>
      <c r="N550" s="40"/>
      <c r="O550" s="40"/>
      <c r="P550" s="40"/>
      <c r="Q550" s="40"/>
      <c r="R550" s="40"/>
      <c r="S550" s="40"/>
      <c r="T550" s="40"/>
    </row>
    <row r="551" spans="1:20" ht="15.75">
      <c r="A551" s="13">
        <v>57922</v>
      </c>
      <c r="B551" s="48">
        <v>31</v>
      </c>
      <c r="C551" s="39">
        <v>194.20500000000001</v>
      </c>
      <c r="D551" s="39">
        <v>267.46600000000001</v>
      </c>
      <c r="E551" s="45">
        <v>812.32899999999995</v>
      </c>
      <c r="F551" s="39">
        <v>1274</v>
      </c>
      <c r="G551" s="39">
        <v>50</v>
      </c>
      <c r="H551" s="47">
        <v>600</v>
      </c>
      <c r="I551" s="39">
        <v>695</v>
      </c>
      <c r="J551" s="39">
        <v>0</v>
      </c>
      <c r="K551" s="40"/>
      <c r="L551" s="40"/>
      <c r="M551" s="40"/>
      <c r="N551" s="40"/>
      <c r="O551" s="40"/>
      <c r="P551" s="40"/>
      <c r="Q551" s="40"/>
      <c r="R551" s="40"/>
      <c r="S551" s="40"/>
      <c r="T551" s="40"/>
    </row>
    <row r="552" spans="1:20" ht="15.75">
      <c r="A552" s="13">
        <v>57953</v>
      </c>
      <c r="B552" s="48">
        <v>31</v>
      </c>
      <c r="C552" s="39">
        <v>194.20500000000001</v>
      </c>
      <c r="D552" s="39">
        <v>267.46600000000001</v>
      </c>
      <c r="E552" s="45">
        <v>812.32899999999995</v>
      </c>
      <c r="F552" s="39">
        <v>1274</v>
      </c>
      <c r="G552" s="39">
        <v>50</v>
      </c>
      <c r="H552" s="47">
        <v>600</v>
      </c>
      <c r="I552" s="39">
        <v>695</v>
      </c>
      <c r="J552" s="39">
        <v>0</v>
      </c>
      <c r="K552" s="40"/>
      <c r="L552" s="40"/>
      <c r="M552" s="40"/>
      <c r="N552" s="40"/>
      <c r="O552" s="40"/>
      <c r="P552" s="40"/>
      <c r="Q552" s="40"/>
      <c r="R552" s="40"/>
      <c r="S552" s="40"/>
      <c r="T552" s="40"/>
    </row>
    <row r="553" spans="1:20" ht="15.75">
      <c r="A553" s="13">
        <v>57983</v>
      </c>
      <c r="B553" s="48">
        <v>30</v>
      </c>
      <c r="C553" s="39">
        <v>194.20500000000001</v>
      </c>
      <c r="D553" s="39">
        <v>267.46600000000001</v>
      </c>
      <c r="E553" s="45">
        <v>812.32899999999995</v>
      </c>
      <c r="F553" s="39">
        <v>1274</v>
      </c>
      <c r="G553" s="39">
        <v>50</v>
      </c>
      <c r="H553" s="47">
        <v>600</v>
      </c>
      <c r="I553" s="39">
        <v>695</v>
      </c>
      <c r="J553" s="39">
        <v>0</v>
      </c>
      <c r="K553" s="40"/>
      <c r="L553" s="40"/>
      <c r="M553" s="40"/>
      <c r="N553" s="40"/>
      <c r="O553" s="40"/>
      <c r="P553" s="40"/>
      <c r="Q553" s="40"/>
      <c r="R553" s="40"/>
      <c r="S553" s="40"/>
      <c r="T553" s="40"/>
    </row>
    <row r="554" spans="1:20" ht="15.75">
      <c r="A554" s="13">
        <v>58014</v>
      </c>
      <c r="B554" s="48">
        <v>31</v>
      </c>
      <c r="C554" s="39">
        <v>131.881</v>
      </c>
      <c r="D554" s="39">
        <v>277.16699999999997</v>
      </c>
      <c r="E554" s="45">
        <v>829.952</v>
      </c>
      <c r="F554" s="39">
        <v>1239</v>
      </c>
      <c r="G554" s="39">
        <v>75</v>
      </c>
      <c r="H554" s="47">
        <v>600</v>
      </c>
      <c r="I554" s="39">
        <v>695</v>
      </c>
      <c r="J554" s="39">
        <v>0</v>
      </c>
      <c r="K554" s="40"/>
      <c r="L554" s="40"/>
      <c r="M554" s="40"/>
      <c r="N554" s="40"/>
      <c r="O554" s="40"/>
      <c r="P554" s="40"/>
      <c r="Q554" s="40"/>
      <c r="R554" s="40"/>
      <c r="S554" s="40"/>
      <c r="T554" s="40"/>
    </row>
    <row r="555" spans="1:20" ht="15.75">
      <c r="A555" s="13">
        <v>58044</v>
      </c>
      <c r="B555" s="48">
        <v>30</v>
      </c>
      <c r="C555" s="39">
        <v>122.58</v>
      </c>
      <c r="D555" s="39">
        <v>297.94099999999997</v>
      </c>
      <c r="E555" s="45">
        <v>729.47900000000004</v>
      </c>
      <c r="F555" s="39">
        <v>1150</v>
      </c>
      <c r="G555" s="39">
        <v>100</v>
      </c>
      <c r="H555" s="47">
        <v>600</v>
      </c>
      <c r="I555" s="39">
        <v>695</v>
      </c>
      <c r="J555" s="39">
        <v>50</v>
      </c>
      <c r="K555" s="40"/>
      <c r="L555" s="40"/>
      <c r="M555" s="40"/>
      <c r="N555" s="40"/>
      <c r="O555" s="40"/>
      <c r="P555" s="40"/>
      <c r="Q555" s="40"/>
      <c r="R555" s="40"/>
      <c r="S555" s="40"/>
      <c r="T555" s="40"/>
    </row>
    <row r="556" spans="1:20" ht="15.75">
      <c r="A556" s="13">
        <v>58075</v>
      </c>
      <c r="B556" s="48">
        <v>31</v>
      </c>
      <c r="C556" s="39">
        <v>122.58</v>
      </c>
      <c r="D556" s="39">
        <v>297.94099999999997</v>
      </c>
      <c r="E556" s="45">
        <v>729.47900000000004</v>
      </c>
      <c r="F556" s="39">
        <v>1150</v>
      </c>
      <c r="G556" s="39">
        <v>100</v>
      </c>
      <c r="H556" s="47">
        <v>600</v>
      </c>
      <c r="I556" s="39">
        <v>695</v>
      </c>
      <c r="J556" s="39">
        <v>50</v>
      </c>
      <c r="K556" s="40"/>
      <c r="L556" s="40"/>
      <c r="M556" s="40"/>
      <c r="N556" s="40"/>
      <c r="O556" s="40"/>
      <c r="P556" s="40"/>
      <c r="Q556" s="40"/>
      <c r="R556" s="40"/>
      <c r="S556" s="40"/>
      <c r="T556" s="40"/>
    </row>
    <row r="557" spans="1:20" ht="15.75">
      <c r="A557" s="13">
        <v>58106</v>
      </c>
      <c r="B557" s="48">
        <v>31</v>
      </c>
      <c r="C557" s="39">
        <v>122.58</v>
      </c>
      <c r="D557" s="39">
        <v>297.94099999999997</v>
      </c>
      <c r="E557" s="45">
        <v>729.47900000000004</v>
      </c>
      <c r="F557" s="39">
        <v>1150</v>
      </c>
      <c r="G557" s="39">
        <v>100</v>
      </c>
      <c r="H557" s="47">
        <v>600</v>
      </c>
      <c r="I557" s="39">
        <v>695</v>
      </c>
      <c r="J557" s="39">
        <v>50</v>
      </c>
      <c r="K557" s="40"/>
      <c r="L557" s="40"/>
      <c r="M557" s="40"/>
      <c r="N557" s="40"/>
      <c r="O557" s="40"/>
      <c r="P557" s="40"/>
      <c r="Q557" s="40"/>
      <c r="R557" s="40"/>
      <c r="S557" s="40"/>
      <c r="T557" s="40"/>
    </row>
    <row r="558" spans="1:20" ht="15.75">
      <c r="A558" s="13">
        <v>58134</v>
      </c>
      <c r="B558" s="48">
        <v>28</v>
      </c>
      <c r="C558" s="39">
        <v>122.58</v>
      </c>
      <c r="D558" s="39">
        <v>297.94099999999997</v>
      </c>
      <c r="E558" s="45">
        <v>729.47900000000004</v>
      </c>
      <c r="F558" s="39">
        <v>1150</v>
      </c>
      <c r="G558" s="39">
        <v>100</v>
      </c>
      <c r="H558" s="47">
        <v>600</v>
      </c>
      <c r="I558" s="39">
        <v>695</v>
      </c>
      <c r="J558" s="39">
        <v>50</v>
      </c>
      <c r="K558" s="40"/>
      <c r="L558" s="40"/>
      <c r="M558" s="40"/>
      <c r="N558" s="40"/>
      <c r="O558" s="40"/>
      <c r="P558" s="40"/>
      <c r="Q558" s="40"/>
      <c r="R558" s="40"/>
      <c r="S558" s="40"/>
      <c r="T558" s="40"/>
    </row>
    <row r="559" spans="1:20" ht="15.75">
      <c r="A559" s="13">
        <v>58165</v>
      </c>
      <c r="B559" s="48">
        <v>31</v>
      </c>
      <c r="C559" s="39">
        <v>122.58</v>
      </c>
      <c r="D559" s="39">
        <v>297.94099999999997</v>
      </c>
      <c r="E559" s="45">
        <v>729.47900000000004</v>
      </c>
      <c r="F559" s="39">
        <v>1150</v>
      </c>
      <c r="G559" s="39">
        <v>100</v>
      </c>
      <c r="H559" s="47">
        <v>600</v>
      </c>
      <c r="I559" s="39">
        <v>695</v>
      </c>
      <c r="J559" s="39">
        <v>50</v>
      </c>
      <c r="K559" s="40"/>
      <c r="L559" s="40"/>
      <c r="M559" s="40"/>
      <c r="N559" s="40"/>
      <c r="O559" s="40"/>
      <c r="P559" s="40"/>
      <c r="Q559" s="40"/>
      <c r="R559" s="40"/>
      <c r="S559" s="40"/>
      <c r="T559" s="40"/>
    </row>
    <row r="560" spans="1:20" ht="15.75">
      <c r="A560" s="13">
        <v>58195</v>
      </c>
      <c r="B560" s="48">
        <v>30</v>
      </c>
      <c r="C560" s="39">
        <v>141.29300000000001</v>
      </c>
      <c r="D560" s="39">
        <v>267.99299999999999</v>
      </c>
      <c r="E560" s="45">
        <v>829.71400000000006</v>
      </c>
      <c r="F560" s="39">
        <v>1239</v>
      </c>
      <c r="G560" s="39">
        <v>100</v>
      </c>
      <c r="H560" s="47">
        <v>600</v>
      </c>
      <c r="I560" s="39">
        <v>695</v>
      </c>
      <c r="J560" s="39">
        <v>50</v>
      </c>
      <c r="K560" s="40"/>
      <c r="L560" s="40"/>
      <c r="M560" s="40"/>
      <c r="N560" s="40"/>
      <c r="O560" s="40"/>
      <c r="P560" s="40"/>
      <c r="Q560" s="40"/>
      <c r="R560" s="40"/>
      <c r="S560" s="40"/>
      <c r="T560" s="40"/>
    </row>
    <row r="561" spans="1:20" ht="15.75">
      <c r="A561" s="13">
        <v>58226</v>
      </c>
      <c r="B561" s="48">
        <v>31</v>
      </c>
      <c r="C561" s="39">
        <v>194.20500000000001</v>
      </c>
      <c r="D561" s="39">
        <v>267.46600000000001</v>
      </c>
      <c r="E561" s="45">
        <v>812.32899999999995</v>
      </c>
      <c r="F561" s="39">
        <v>1274</v>
      </c>
      <c r="G561" s="39">
        <v>75</v>
      </c>
      <c r="H561" s="47">
        <v>600</v>
      </c>
      <c r="I561" s="39">
        <v>695</v>
      </c>
      <c r="J561" s="39">
        <v>50</v>
      </c>
      <c r="K561" s="40"/>
      <c r="L561" s="40"/>
      <c r="M561" s="40"/>
      <c r="N561" s="40"/>
      <c r="O561" s="40"/>
      <c r="P561" s="40"/>
      <c r="Q561" s="40"/>
      <c r="R561" s="40"/>
      <c r="S561" s="40"/>
      <c r="T561" s="40"/>
    </row>
    <row r="562" spans="1:20" ht="15.75">
      <c r="A562" s="13">
        <v>58256</v>
      </c>
      <c r="B562" s="48">
        <v>30</v>
      </c>
      <c r="C562" s="39">
        <v>194.20500000000001</v>
      </c>
      <c r="D562" s="39">
        <v>267.46600000000001</v>
      </c>
      <c r="E562" s="45">
        <v>812.32899999999995</v>
      </c>
      <c r="F562" s="39">
        <v>1274</v>
      </c>
      <c r="G562" s="39">
        <v>50</v>
      </c>
      <c r="H562" s="47">
        <v>600</v>
      </c>
      <c r="I562" s="39">
        <v>695</v>
      </c>
      <c r="J562" s="39">
        <v>50</v>
      </c>
      <c r="K562" s="40"/>
      <c r="L562" s="40"/>
      <c r="M562" s="40"/>
      <c r="N562" s="40"/>
      <c r="O562" s="40"/>
      <c r="P562" s="40"/>
      <c r="Q562" s="40"/>
      <c r="R562" s="40"/>
      <c r="S562" s="40"/>
      <c r="T562" s="40"/>
    </row>
    <row r="563" spans="1:20" ht="15.75">
      <c r="A563" s="13">
        <v>58287</v>
      </c>
      <c r="B563" s="48">
        <v>31</v>
      </c>
      <c r="C563" s="39">
        <v>194.20500000000001</v>
      </c>
      <c r="D563" s="39">
        <v>267.46600000000001</v>
      </c>
      <c r="E563" s="45">
        <v>812.32899999999995</v>
      </c>
      <c r="F563" s="39">
        <v>1274</v>
      </c>
      <c r="G563" s="39">
        <v>50</v>
      </c>
      <c r="H563" s="47">
        <v>600</v>
      </c>
      <c r="I563" s="39">
        <v>695</v>
      </c>
      <c r="J563" s="39">
        <v>0</v>
      </c>
      <c r="K563" s="40"/>
      <c r="L563" s="40"/>
      <c r="M563" s="40"/>
      <c r="N563" s="40"/>
      <c r="O563" s="40"/>
      <c r="P563" s="40"/>
      <c r="Q563" s="40"/>
      <c r="R563" s="40"/>
      <c r="S563" s="40"/>
      <c r="T563" s="40"/>
    </row>
    <row r="564" spans="1:20" ht="15.75">
      <c r="A564" s="13">
        <v>58318</v>
      </c>
      <c r="B564" s="48">
        <v>31</v>
      </c>
      <c r="C564" s="39">
        <v>194.20500000000001</v>
      </c>
      <c r="D564" s="39">
        <v>267.46600000000001</v>
      </c>
      <c r="E564" s="45">
        <v>812.32899999999995</v>
      </c>
      <c r="F564" s="39">
        <v>1274</v>
      </c>
      <c r="G564" s="39">
        <v>50</v>
      </c>
      <c r="H564" s="47">
        <v>600</v>
      </c>
      <c r="I564" s="39">
        <v>695</v>
      </c>
      <c r="J564" s="39">
        <v>0</v>
      </c>
      <c r="K564" s="40"/>
      <c r="L564" s="40"/>
      <c r="M564" s="40"/>
      <c r="N564" s="40"/>
      <c r="O564" s="40"/>
      <c r="P564" s="40"/>
      <c r="Q564" s="40"/>
      <c r="R564" s="40"/>
      <c r="S564" s="40"/>
      <c r="T564" s="40"/>
    </row>
    <row r="565" spans="1:20" ht="15.75">
      <c r="A565" s="13">
        <v>58348</v>
      </c>
      <c r="B565" s="48">
        <v>30</v>
      </c>
      <c r="C565" s="39">
        <v>194.20500000000001</v>
      </c>
      <c r="D565" s="39">
        <v>267.46600000000001</v>
      </c>
      <c r="E565" s="45">
        <v>812.32899999999995</v>
      </c>
      <c r="F565" s="39">
        <v>1274</v>
      </c>
      <c r="G565" s="39">
        <v>50</v>
      </c>
      <c r="H565" s="47">
        <v>600</v>
      </c>
      <c r="I565" s="39">
        <v>695</v>
      </c>
      <c r="J565" s="39">
        <v>0</v>
      </c>
      <c r="K565" s="40"/>
      <c r="L565" s="40"/>
      <c r="M565" s="40"/>
      <c r="N565" s="40"/>
      <c r="O565" s="40"/>
      <c r="P565" s="40"/>
      <c r="Q565" s="40"/>
      <c r="R565" s="40"/>
      <c r="S565" s="40"/>
      <c r="T565" s="40"/>
    </row>
    <row r="566" spans="1:20" ht="15.75">
      <c r="A566" s="13">
        <v>58379</v>
      </c>
      <c r="B566" s="48">
        <v>31</v>
      </c>
      <c r="C566" s="39">
        <v>131.881</v>
      </c>
      <c r="D566" s="39">
        <v>277.16699999999997</v>
      </c>
      <c r="E566" s="45">
        <v>829.952</v>
      </c>
      <c r="F566" s="39">
        <v>1239</v>
      </c>
      <c r="G566" s="39">
        <v>75</v>
      </c>
      <c r="H566" s="47">
        <v>600</v>
      </c>
      <c r="I566" s="39">
        <v>695</v>
      </c>
      <c r="J566" s="39">
        <v>0</v>
      </c>
      <c r="K566" s="40"/>
      <c r="L566" s="40"/>
      <c r="M566" s="40"/>
      <c r="N566" s="40"/>
      <c r="O566" s="40"/>
      <c r="P566" s="40"/>
      <c r="Q566" s="40"/>
      <c r="R566" s="40"/>
      <c r="S566" s="40"/>
      <c r="T566" s="40"/>
    </row>
    <row r="567" spans="1:20" ht="15.75">
      <c r="A567" s="13">
        <v>58409</v>
      </c>
      <c r="B567" s="48">
        <v>30</v>
      </c>
      <c r="C567" s="39">
        <v>122.58</v>
      </c>
      <c r="D567" s="39">
        <v>297.94099999999997</v>
      </c>
      <c r="E567" s="45">
        <v>729.47900000000004</v>
      </c>
      <c r="F567" s="39">
        <v>1150</v>
      </c>
      <c r="G567" s="39">
        <v>100</v>
      </c>
      <c r="H567" s="47">
        <v>600</v>
      </c>
      <c r="I567" s="39">
        <v>695</v>
      </c>
      <c r="J567" s="39">
        <v>50</v>
      </c>
      <c r="K567" s="40"/>
      <c r="L567" s="40"/>
      <c r="M567" s="40"/>
      <c r="N567" s="40"/>
      <c r="O567" s="40"/>
      <c r="P567" s="40"/>
      <c r="Q567" s="40"/>
      <c r="R567" s="40"/>
      <c r="S567" s="40"/>
      <c r="T567" s="40"/>
    </row>
    <row r="568" spans="1:20" ht="15.75">
      <c r="A568" s="13">
        <v>58440</v>
      </c>
      <c r="B568" s="48">
        <v>31</v>
      </c>
      <c r="C568" s="39">
        <v>122.58</v>
      </c>
      <c r="D568" s="39">
        <v>297.94099999999997</v>
      </c>
      <c r="E568" s="45">
        <v>729.47900000000004</v>
      </c>
      <c r="F568" s="39">
        <v>1150</v>
      </c>
      <c r="G568" s="39">
        <v>100</v>
      </c>
      <c r="H568" s="47">
        <v>600</v>
      </c>
      <c r="I568" s="39">
        <v>695</v>
      </c>
      <c r="J568" s="39">
        <v>50</v>
      </c>
      <c r="K568" s="40"/>
      <c r="L568" s="40"/>
      <c r="M568" s="40"/>
      <c r="N568" s="40"/>
      <c r="O568" s="40"/>
      <c r="P568" s="40"/>
      <c r="Q568" s="40"/>
      <c r="R568" s="40"/>
      <c r="S568" s="40"/>
      <c r="T568" s="40"/>
    </row>
    <row r="569" spans="1:20" ht="15.75">
      <c r="A569" s="13">
        <v>58471</v>
      </c>
      <c r="B569" s="48">
        <v>31</v>
      </c>
      <c r="C569" s="39">
        <v>122.58</v>
      </c>
      <c r="D569" s="39">
        <v>297.94099999999997</v>
      </c>
      <c r="E569" s="45">
        <v>729.47900000000004</v>
      </c>
      <c r="F569" s="39">
        <v>1150</v>
      </c>
      <c r="G569" s="39">
        <v>100</v>
      </c>
      <c r="H569" s="47">
        <v>600</v>
      </c>
      <c r="I569" s="39">
        <v>695</v>
      </c>
      <c r="J569" s="39">
        <v>50</v>
      </c>
      <c r="K569" s="40"/>
      <c r="L569" s="40"/>
      <c r="M569" s="40"/>
      <c r="N569" s="40"/>
      <c r="O569" s="40"/>
      <c r="P569" s="40"/>
      <c r="Q569" s="40"/>
      <c r="R569" s="40"/>
      <c r="S569" s="40"/>
      <c r="T569" s="40"/>
    </row>
    <row r="570" spans="1:20" ht="15.75">
      <c r="A570" s="13">
        <v>58499</v>
      </c>
      <c r="B570" s="48">
        <v>29</v>
      </c>
      <c r="C570" s="39">
        <v>122.58</v>
      </c>
      <c r="D570" s="39">
        <v>297.94099999999997</v>
      </c>
      <c r="E570" s="45">
        <v>729.47900000000004</v>
      </c>
      <c r="F570" s="39">
        <v>1150</v>
      </c>
      <c r="G570" s="39">
        <v>100</v>
      </c>
      <c r="H570" s="47">
        <v>600</v>
      </c>
      <c r="I570" s="39">
        <v>695</v>
      </c>
      <c r="J570" s="39">
        <v>50</v>
      </c>
      <c r="K570" s="40"/>
      <c r="L570" s="40"/>
      <c r="M570" s="40"/>
      <c r="N570" s="40"/>
      <c r="O570" s="40"/>
      <c r="P570" s="40"/>
      <c r="Q570" s="40"/>
      <c r="R570" s="40"/>
      <c r="S570" s="40"/>
      <c r="T570" s="40"/>
    </row>
    <row r="571" spans="1:20" ht="15.75">
      <c r="A571" s="13">
        <v>58531</v>
      </c>
      <c r="B571" s="48">
        <v>31</v>
      </c>
      <c r="C571" s="39">
        <v>122.58</v>
      </c>
      <c r="D571" s="39">
        <v>297.94099999999997</v>
      </c>
      <c r="E571" s="45">
        <v>729.47900000000004</v>
      </c>
      <c r="F571" s="39">
        <v>1150</v>
      </c>
      <c r="G571" s="39">
        <v>100</v>
      </c>
      <c r="H571" s="47">
        <v>600</v>
      </c>
      <c r="I571" s="39">
        <v>695</v>
      </c>
      <c r="J571" s="39">
        <v>50</v>
      </c>
      <c r="K571" s="40"/>
      <c r="L571" s="40"/>
      <c r="M571" s="40"/>
      <c r="N571" s="40"/>
      <c r="O571" s="40"/>
      <c r="P571" s="40"/>
      <c r="Q571" s="40"/>
      <c r="R571" s="40"/>
      <c r="S571" s="40"/>
      <c r="T571" s="40"/>
    </row>
    <row r="572" spans="1:20" ht="15.75">
      <c r="A572" s="13">
        <v>58561</v>
      </c>
      <c r="B572" s="48">
        <v>30</v>
      </c>
      <c r="C572" s="39">
        <v>141.29300000000001</v>
      </c>
      <c r="D572" s="39">
        <v>267.99299999999999</v>
      </c>
      <c r="E572" s="45">
        <v>829.71400000000006</v>
      </c>
      <c r="F572" s="39">
        <v>1239</v>
      </c>
      <c r="G572" s="39">
        <v>100</v>
      </c>
      <c r="H572" s="47">
        <v>600</v>
      </c>
      <c r="I572" s="39">
        <v>695</v>
      </c>
      <c r="J572" s="39">
        <v>50</v>
      </c>
      <c r="K572" s="40"/>
      <c r="L572" s="40"/>
      <c r="M572" s="40"/>
      <c r="N572" s="40"/>
      <c r="O572" s="40"/>
      <c r="P572" s="40"/>
      <c r="Q572" s="40"/>
      <c r="R572" s="40"/>
      <c r="S572" s="40"/>
      <c r="T572" s="40"/>
    </row>
    <row r="573" spans="1:20" ht="15.75">
      <c r="A573" s="13">
        <v>58592</v>
      </c>
      <c r="B573" s="48">
        <v>31</v>
      </c>
      <c r="C573" s="39">
        <v>194.20500000000001</v>
      </c>
      <c r="D573" s="39">
        <v>267.46600000000001</v>
      </c>
      <c r="E573" s="45">
        <v>812.32899999999995</v>
      </c>
      <c r="F573" s="39">
        <v>1274</v>
      </c>
      <c r="G573" s="39">
        <v>75</v>
      </c>
      <c r="H573" s="47">
        <v>600</v>
      </c>
      <c r="I573" s="39">
        <v>695</v>
      </c>
      <c r="J573" s="39">
        <v>50</v>
      </c>
      <c r="K573" s="40"/>
      <c r="L573" s="40"/>
      <c r="M573" s="40"/>
      <c r="N573" s="40"/>
      <c r="O573" s="40"/>
      <c r="P573" s="40"/>
      <c r="Q573" s="40"/>
      <c r="R573" s="40"/>
      <c r="S573" s="40"/>
      <c r="T573" s="40"/>
    </row>
    <row r="574" spans="1:20" ht="15.75">
      <c r="A574" s="13">
        <v>58622</v>
      </c>
      <c r="B574" s="48">
        <v>30</v>
      </c>
      <c r="C574" s="39">
        <v>194.20500000000001</v>
      </c>
      <c r="D574" s="39">
        <v>267.46600000000001</v>
      </c>
      <c r="E574" s="45">
        <v>812.32899999999995</v>
      </c>
      <c r="F574" s="39">
        <v>1274</v>
      </c>
      <c r="G574" s="39">
        <v>50</v>
      </c>
      <c r="H574" s="47">
        <v>600</v>
      </c>
      <c r="I574" s="39">
        <v>695</v>
      </c>
      <c r="J574" s="39">
        <v>50</v>
      </c>
      <c r="K574" s="40"/>
      <c r="L574" s="40"/>
      <c r="M574" s="40"/>
      <c r="N574" s="40"/>
      <c r="O574" s="40"/>
      <c r="P574" s="40"/>
      <c r="Q574" s="40"/>
      <c r="R574" s="40"/>
      <c r="S574" s="40"/>
      <c r="T574" s="40"/>
    </row>
    <row r="575" spans="1:20" ht="15.75">
      <c r="A575" s="13">
        <v>58653</v>
      </c>
      <c r="B575" s="48">
        <v>31</v>
      </c>
      <c r="C575" s="39">
        <v>194.20500000000001</v>
      </c>
      <c r="D575" s="39">
        <v>267.46600000000001</v>
      </c>
      <c r="E575" s="45">
        <v>812.32899999999995</v>
      </c>
      <c r="F575" s="39">
        <v>1274</v>
      </c>
      <c r="G575" s="39">
        <v>50</v>
      </c>
      <c r="H575" s="47">
        <v>600</v>
      </c>
      <c r="I575" s="39">
        <v>695</v>
      </c>
      <c r="J575" s="39">
        <v>0</v>
      </c>
      <c r="K575" s="40"/>
      <c r="L575" s="40"/>
      <c r="M575" s="40"/>
      <c r="N575" s="40"/>
      <c r="O575" s="40"/>
      <c r="P575" s="40"/>
      <c r="Q575" s="40"/>
      <c r="R575" s="40"/>
      <c r="S575" s="40"/>
      <c r="T575" s="40"/>
    </row>
    <row r="576" spans="1:20" ht="15.75">
      <c r="A576" s="13">
        <v>58684</v>
      </c>
      <c r="B576" s="48">
        <v>31</v>
      </c>
      <c r="C576" s="39">
        <v>194.20500000000001</v>
      </c>
      <c r="D576" s="39">
        <v>267.46600000000001</v>
      </c>
      <c r="E576" s="45">
        <v>812.32899999999995</v>
      </c>
      <c r="F576" s="39">
        <v>1274</v>
      </c>
      <c r="G576" s="39">
        <v>50</v>
      </c>
      <c r="H576" s="47">
        <v>600</v>
      </c>
      <c r="I576" s="39">
        <v>695</v>
      </c>
      <c r="J576" s="39">
        <v>0</v>
      </c>
      <c r="K576" s="40"/>
      <c r="L576" s="40"/>
      <c r="M576" s="40"/>
      <c r="N576" s="40"/>
      <c r="O576" s="40"/>
      <c r="P576" s="40"/>
      <c r="Q576" s="40"/>
      <c r="R576" s="40"/>
      <c r="S576" s="40"/>
      <c r="T576" s="40"/>
    </row>
    <row r="577" spans="1:20" ht="15.75">
      <c r="A577" s="13">
        <v>58714</v>
      </c>
      <c r="B577" s="48">
        <v>30</v>
      </c>
      <c r="C577" s="39">
        <v>194.20500000000001</v>
      </c>
      <c r="D577" s="39">
        <v>267.46600000000001</v>
      </c>
      <c r="E577" s="45">
        <v>812.32899999999995</v>
      </c>
      <c r="F577" s="39">
        <v>1274</v>
      </c>
      <c r="G577" s="39">
        <v>50</v>
      </c>
      <c r="H577" s="47">
        <v>600</v>
      </c>
      <c r="I577" s="39">
        <v>695</v>
      </c>
      <c r="J577" s="39">
        <v>0</v>
      </c>
      <c r="K577" s="40"/>
      <c r="L577" s="40"/>
      <c r="M577" s="40"/>
      <c r="N577" s="40"/>
      <c r="O577" s="40"/>
      <c r="P577" s="40"/>
      <c r="Q577" s="40"/>
      <c r="R577" s="40"/>
      <c r="S577" s="40"/>
      <c r="T577" s="40"/>
    </row>
    <row r="578" spans="1:20" ht="15.75">
      <c r="A578" s="13">
        <v>58745</v>
      </c>
      <c r="B578" s="48">
        <v>31</v>
      </c>
      <c r="C578" s="39">
        <v>131.881</v>
      </c>
      <c r="D578" s="39">
        <v>277.16699999999997</v>
      </c>
      <c r="E578" s="45">
        <v>829.952</v>
      </c>
      <c r="F578" s="39">
        <v>1239</v>
      </c>
      <c r="G578" s="39">
        <v>75</v>
      </c>
      <c r="H578" s="47">
        <v>600</v>
      </c>
      <c r="I578" s="39">
        <v>695</v>
      </c>
      <c r="J578" s="39">
        <v>0</v>
      </c>
      <c r="K578" s="40"/>
      <c r="L578" s="40"/>
      <c r="M578" s="40"/>
      <c r="N578" s="40"/>
      <c r="O578" s="40"/>
      <c r="P578" s="40"/>
      <c r="Q578" s="40"/>
      <c r="R578" s="40"/>
      <c r="S578" s="40"/>
      <c r="T578" s="40"/>
    </row>
    <row r="579" spans="1:20" ht="15.75">
      <c r="A579" s="13">
        <v>58775</v>
      </c>
      <c r="B579" s="48">
        <v>30</v>
      </c>
      <c r="C579" s="39">
        <v>122.58</v>
      </c>
      <c r="D579" s="39">
        <v>297.94099999999997</v>
      </c>
      <c r="E579" s="45">
        <v>729.47900000000004</v>
      </c>
      <c r="F579" s="39">
        <v>1150</v>
      </c>
      <c r="G579" s="39">
        <v>100</v>
      </c>
      <c r="H579" s="47">
        <v>600</v>
      </c>
      <c r="I579" s="39">
        <v>695</v>
      </c>
      <c r="J579" s="39">
        <v>50</v>
      </c>
      <c r="K579" s="40"/>
      <c r="L579" s="40"/>
      <c r="M579" s="40"/>
      <c r="N579" s="40"/>
      <c r="O579" s="40"/>
      <c r="P579" s="40"/>
      <c r="Q579" s="40"/>
      <c r="R579" s="40"/>
      <c r="S579" s="40"/>
      <c r="T579" s="40"/>
    </row>
    <row r="580" spans="1:20" ht="15.75">
      <c r="A580" s="13">
        <v>58806</v>
      </c>
      <c r="B580" s="48">
        <v>31</v>
      </c>
      <c r="C580" s="39">
        <v>122.58</v>
      </c>
      <c r="D580" s="39">
        <v>297.94099999999997</v>
      </c>
      <c r="E580" s="45">
        <v>729.47900000000004</v>
      </c>
      <c r="F580" s="39">
        <v>1150</v>
      </c>
      <c r="G580" s="39">
        <v>100</v>
      </c>
      <c r="H580" s="47">
        <v>600</v>
      </c>
      <c r="I580" s="39">
        <v>695</v>
      </c>
      <c r="J580" s="39">
        <v>50</v>
      </c>
      <c r="K580" s="40"/>
      <c r="L580" s="40"/>
      <c r="M580" s="40"/>
      <c r="N580" s="40"/>
      <c r="O580" s="40"/>
      <c r="P580" s="40"/>
      <c r="Q580" s="40"/>
      <c r="R580" s="40"/>
      <c r="S580" s="40"/>
      <c r="T580" s="40"/>
    </row>
    <row r="581" spans="1:20" ht="15.75">
      <c r="A581" s="13">
        <v>58837</v>
      </c>
      <c r="B581" s="48">
        <v>31</v>
      </c>
      <c r="C581" s="39">
        <v>122.58</v>
      </c>
      <c r="D581" s="39">
        <v>297.94099999999997</v>
      </c>
      <c r="E581" s="45">
        <v>729.47900000000004</v>
      </c>
      <c r="F581" s="39">
        <v>1150</v>
      </c>
      <c r="G581" s="39">
        <v>100</v>
      </c>
      <c r="H581" s="47">
        <v>600</v>
      </c>
      <c r="I581" s="39">
        <v>695</v>
      </c>
      <c r="J581" s="39">
        <v>50</v>
      </c>
      <c r="K581" s="40"/>
      <c r="L581" s="40"/>
      <c r="M581" s="40"/>
      <c r="N581" s="40"/>
      <c r="O581" s="40"/>
      <c r="P581" s="40"/>
      <c r="Q581" s="40"/>
      <c r="R581" s="40"/>
      <c r="S581" s="40"/>
      <c r="T581" s="40"/>
    </row>
    <row r="582" spans="1:20" ht="15.75">
      <c r="A582" s="13">
        <v>58865</v>
      </c>
      <c r="B582" s="48">
        <v>28</v>
      </c>
      <c r="C582" s="39">
        <v>122.58</v>
      </c>
      <c r="D582" s="39">
        <v>297.94099999999997</v>
      </c>
      <c r="E582" s="45">
        <v>729.47900000000004</v>
      </c>
      <c r="F582" s="39">
        <v>1150</v>
      </c>
      <c r="G582" s="39">
        <v>100</v>
      </c>
      <c r="H582" s="47">
        <v>600</v>
      </c>
      <c r="I582" s="39">
        <v>695</v>
      </c>
      <c r="J582" s="39">
        <v>50</v>
      </c>
      <c r="K582" s="40"/>
      <c r="L582" s="40"/>
      <c r="M582" s="40"/>
      <c r="N582" s="40"/>
      <c r="O582" s="40"/>
      <c r="P582" s="40"/>
      <c r="Q582" s="40"/>
      <c r="R582" s="40"/>
      <c r="S582" s="40"/>
      <c r="T582" s="40"/>
    </row>
    <row r="583" spans="1:20" ht="15.75">
      <c r="A583" s="13">
        <v>58893</v>
      </c>
      <c r="B583" s="48">
        <v>31</v>
      </c>
      <c r="C583" s="39">
        <v>122.58</v>
      </c>
      <c r="D583" s="39">
        <v>297.94099999999997</v>
      </c>
      <c r="E583" s="45">
        <v>729.47900000000004</v>
      </c>
      <c r="F583" s="39">
        <v>1150</v>
      </c>
      <c r="G583" s="39">
        <v>100</v>
      </c>
      <c r="H583" s="47">
        <v>600</v>
      </c>
      <c r="I583" s="39">
        <v>695</v>
      </c>
      <c r="J583" s="39">
        <v>50</v>
      </c>
      <c r="K583" s="40"/>
      <c r="L583" s="40"/>
      <c r="M583" s="40"/>
      <c r="N583" s="40"/>
      <c r="O583" s="40"/>
      <c r="P583" s="40"/>
      <c r="Q583" s="40"/>
      <c r="R583" s="40"/>
      <c r="S583" s="40"/>
      <c r="T583" s="40"/>
    </row>
    <row r="584" spans="1:20" ht="15.75">
      <c r="A584" s="13">
        <v>58926</v>
      </c>
      <c r="B584" s="48">
        <v>30</v>
      </c>
      <c r="C584" s="39">
        <v>141.29300000000001</v>
      </c>
      <c r="D584" s="39">
        <v>267.99299999999999</v>
      </c>
      <c r="E584" s="45">
        <v>829.71400000000006</v>
      </c>
      <c r="F584" s="39">
        <v>1239</v>
      </c>
      <c r="G584" s="39">
        <v>100</v>
      </c>
      <c r="H584" s="47">
        <v>600</v>
      </c>
      <c r="I584" s="39">
        <v>695</v>
      </c>
      <c r="J584" s="39">
        <v>50</v>
      </c>
      <c r="K584" s="40"/>
      <c r="L584" s="40"/>
      <c r="M584" s="40"/>
      <c r="N584" s="40"/>
      <c r="O584" s="40"/>
      <c r="P584" s="40"/>
      <c r="Q584" s="40"/>
      <c r="R584" s="40"/>
      <c r="S584" s="40"/>
      <c r="T584" s="40"/>
    </row>
    <row r="585" spans="1:20" ht="15.75">
      <c r="A585" s="13">
        <v>58957</v>
      </c>
      <c r="B585" s="48">
        <v>31</v>
      </c>
      <c r="C585" s="39">
        <v>194.20500000000001</v>
      </c>
      <c r="D585" s="39">
        <v>267.46600000000001</v>
      </c>
      <c r="E585" s="45">
        <v>812.32899999999995</v>
      </c>
      <c r="F585" s="39">
        <v>1274</v>
      </c>
      <c r="G585" s="39">
        <v>75</v>
      </c>
      <c r="H585" s="47">
        <v>600</v>
      </c>
      <c r="I585" s="39">
        <v>695</v>
      </c>
      <c r="J585" s="39">
        <v>50</v>
      </c>
      <c r="K585" s="40"/>
      <c r="L585" s="40"/>
      <c r="M585" s="40"/>
      <c r="N585" s="40"/>
      <c r="O585" s="40"/>
      <c r="P585" s="40"/>
      <c r="Q585" s="40"/>
      <c r="R585" s="40"/>
      <c r="S585" s="40"/>
      <c r="T585" s="40"/>
    </row>
    <row r="586" spans="1:20" ht="15.75">
      <c r="A586" s="13">
        <v>58987</v>
      </c>
      <c r="B586" s="48">
        <v>30</v>
      </c>
      <c r="C586" s="39">
        <v>194.20500000000001</v>
      </c>
      <c r="D586" s="39">
        <v>267.46600000000001</v>
      </c>
      <c r="E586" s="45">
        <v>812.32899999999995</v>
      </c>
      <c r="F586" s="39">
        <v>1274</v>
      </c>
      <c r="G586" s="39">
        <v>50</v>
      </c>
      <c r="H586" s="47">
        <v>600</v>
      </c>
      <c r="I586" s="39">
        <v>695</v>
      </c>
      <c r="J586" s="39">
        <v>50</v>
      </c>
      <c r="K586" s="40"/>
      <c r="L586" s="40"/>
      <c r="M586" s="40"/>
      <c r="N586" s="40"/>
      <c r="O586" s="40"/>
      <c r="P586" s="40"/>
      <c r="Q586" s="40"/>
      <c r="R586" s="40"/>
      <c r="S586" s="40"/>
      <c r="T586" s="40"/>
    </row>
    <row r="587" spans="1:20" ht="15.75">
      <c r="A587" s="13">
        <v>59018</v>
      </c>
      <c r="B587" s="48">
        <v>31</v>
      </c>
      <c r="C587" s="39">
        <v>194.20500000000001</v>
      </c>
      <c r="D587" s="39">
        <v>267.46600000000001</v>
      </c>
      <c r="E587" s="45">
        <v>812.32899999999995</v>
      </c>
      <c r="F587" s="39">
        <v>1274</v>
      </c>
      <c r="G587" s="39">
        <v>50</v>
      </c>
      <c r="H587" s="47">
        <v>600</v>
      </c>
      <c r="I587" s="39">
        <v>695</v>
      </c>
      <c r="J587" s="39">
        <v>0</v>
      </c>
      <c r="K587" s="40"/>
      <c r="L587" s="40"/>
      <c r="M587" s="40"/>
      <c r="N587" s="40"/>
      <c r="O587" s="40"/>
      <c r="P587" s="40"/>
      <c r="Q587" s="40"/>
      <c r="R587" s="40"/>
      <c r="S587" s="40"/>
      <c r="T587" s="40"/>
    </row>
    <row r="588" spans="1:20" ht="15.75">
      <c r="A588" s="13">
        <v>59049</v>
      </c>
      <c r="B588" s="48">
        <v>31</v>
      </c>
      <c r="C588" s="39">
        <v>194.20500000000001</v>
      </c>
      <c r="D588" s="39">
        <v>267.46600000000001</v>
      </c>
      <c r="E588" s="45">
        <v>812.32899999999995</v>
      </c>
      <c r="F588" s="39">
        <v>1274</v>
      </c>
      <c r="G588" s="39">
        <v>50</v>
      </c>
      <c r="H588" s="47">
        <v>600</v>
      </c>
      <c r="I588" s="39">
        <v>695</v>
      </c>
      <c r="J588" s="39">
        <v>0</v>
      </c>
      <c r="K588" s="40"/>
      <c r="L588" s="40"/>
      <c r="M588" s="40"/>
      <c r="N588" s="40"/>
      <c r="O588" s="40"/>
      <c r="P588" s="40"/>
      <c r="Q588" s="40"/>
      <c r="R588" s="40"/>
      <c r="S588" s="40"/>
      <c r="T588" s="40"/>
    </row>
    <row r="589" spans="1:20" ht="15.75">
      <c r="A589" s="13">
        <v>59079</v>
      </c>
      <c r="B589" s="48">
        <v>30</v>
      </c>
      <c r="C589" s="39">
        <v>194.20500000000001</v>
      </c>
      <c r="D589" s="39">
        <v>267.46600000000001</v>
      </c>
      <c r="E589" s="45">
        <v>812.32899999999995</v>
      </c>
      <c r="F589" s="39">
        <v>1274</v>
      </c>
      <c r="G589" s="39">
        <v>50</v>
      </c>
      <c r="H589" s="47">
        <v>600</v>
      </c>
      <c r="I589" s="39">
        <v>695</v>
      </c>
      <c r="J589" s="39">
        <v>0</v>
      </c>
      <c r="K589" s="40"/>
      <c r="L589" s="40"/>
      <c r="M589" s="40"/>
      <c r="N589" s="40"/>
      <c r="O589" s="40"/>
      <c r="P589" s="40"/>
      <c r="Q589" s="40"/>
      <c r="R589" s="40"/>
      <c r="S589" s="40"/>
      <c r="T589" s="40"/>
    </row>
    <row r="590" spans="1:20" ht="15.75">
      <c r="A590" s="13">
        <v>59110</v>
      </c>
      <c r="B590" s="48">
        <v>31</v>
      </c>
      <c r="C590" s="39">
        <v>131.881</v>
      </c>
      <c r="D590" s="39">
        <v>277.16699999999997</v>
      </c>
      <c r="E590" s="45">
        <v>829.952</v>
      </c>
      <c r="F590" s="39">
        <v>1239</v>
      </c>
      <c r="G590" s="39">
        <v>75</v>
      </c>
      <c r="H590" s="47">
        <v>600</v>
      </c>
      <c r="I590" s="39">
        <v>695</v>
      </c>
      <c r="J590" s="39">
        <v>0</v>
      </c>
      <c r="K590" s="40"/>
      <c r="L590" s="40"/>
      <c r="M590" s="40"/>
      <c r="N590" s="40"/>
      <c r="O590" s="40"/>
      <c r="P590" s="40"/>
      <c r="Q590" s="40"/>
      <c r="R590" s="40"/>
      <c r="S590" s="40"/>
      <c r="T590" s="40"/>
    </row>
    <row r="591" spans="1:20" ht="15.75">
      <c r="A591" s="13">
        <v>59140</v>
      </c>
      <c r="B591" s="48">
        <v>30</v>
      </c>
      <c r="C591" s="39">
        <v>122.58</v>
      </c>
      <c r="D591" s="39">
        <v>297.94099999999997</v>
      </c>
      <c r="E591" s="45">
        <v>729.47900000000004</v>
      </c>
      <c r="F591" s="39">
        <v>1150</v>
      </c>
      <c r="G591" s="39">
        <v>100</v>
      </c>
      <c r="H591" s="47">
        <v>600</v>
      </c>
      <c r="I591" s="39">
        <v>695</v>
      </c>
      <c r="J591" s="39">
        <v>50</v>
      </c>
      <c r="K591" s="40"/>
      <c r="L591" s="40"/>
      <c r="M591" s="40"/>
      <c r="N591" s="40"/>
      <c r="O591" s="40"/>
      <c r="P591" s="40"/>
      <c r="Q591" s="40"/>
      <c r="R591" s="40"/>
      <c r="S591" s="40"/>
      <c r="T591" s="40"/>
    </row>
    <row r="592" spans="1:20" ht="15.75">
      <c r="A592" s="13">
        <v>59171</v>
      </c>
      <c r="B592" s="48">
        <v>31</v>
      </c>
      <c r="C592" s="39">
        <v>122.58</v>
      </c>
      <c r="D592" s="39">
        <v>297.94099999999997</v>
      </c>
      <c r="E592" s="45">
        <v>729.47900000000004</v>
      </c>
      <c r="F592" s="39">
        <v>1150</v>
      </c>
      <c r="G592" s="39">
        <v>100</v>
      </c>
      <c r="H592" s="47">
        <v>600</v>
      </c>
      <c r="I592" s="39">
        <v>695</v>
      </c>
      <c r="J592" s="39">
        <v>50</v>
      </c>
      <c r="K592" s="40"/>
      <c r="L592" s="40"/>
      <c r="M592" s="40"/>
      <c r="N592" s="40"/>
      <c r="O592" s="40"/>
      <c r="P592" s="40"/>
      <c r="Q592" s="40"/>
      <c r="R592" s="40"/>
      <c r="S592" s="40"/>
      <c r="T592" s="40"/>
    </row>
    <row r="593" spans="1:20" ht="15.75">
      <c r="A593" s="13">
        <v>59202</v>
      </c>
      <c r="B593" s="48">
        <f t="shared" ref="B593:B656" si="0">EOMONTH(A593,0)-EOMONTH(A593,-1)</f>
        <v>31</v>
      </c>
      <c r="C593" s="39">
        <v>122.58</v>
      </c>
      <c r="D593" s="39">
        <v>297.94099999999997</v>
      </c>
      <c r="E593" s="45">
        <v>729.47900000000004</v>
      </c>
      <c r="F593" s="39">
        <v>1150</v>
      </c>
      <c r="G593" s="39">
        <v>100</v>
      </c>
      <c r="H593" s="47">
        <v>600</v>
      </c>
      <c r="I593" s="39">
        <v>695</v>
      </c>
      <c r="J593" s="39">
        <v>50</v>
      </c>
      <c r="K593" s="40"/>
      <c r="L593" s="40"/>
      <c r="M593" s="40"/>
      <c r="N593" s="40"/>
      <c r="O593" s="40"/>
      <c r="P593" s="40"/>
      <c r="Q593" s="40"/>
      <c r="R593" s="40"/>
      <c r="S593" s="40"/>
      <c r="T593" s="40"/>
    </row>
    <row r="594" spans="1:20" ht="15.75">
      <c r="A594" s="13">
        <v>59230</v>
      </c>
      <c r="B594" s="48">
        <f t="shared" si="0"/>
        <v>28</v>
      </c>
      <c r="C594" s="39">
        <v>122.58</v>
      </c>
      <c r="D594" s="39">
        <v>297.94099999999997</v>
      </c>
      <c r="E594" s="45">
        <v>729.47900000000004</v>
      </c>
      <c r="F594" s="39">
        <v>1150</v>
      </c>
      <c r="G594" s="39">
        <v>100</v>
      </c>
      <c r="H594" s="47">
        <v>600</v>
      </c>
      <c r="I594" s="39">
        <v>695</v>
      </c>
      <c r="J594" s="39">
        <v>50</v>
      </c>
      <c r="K594" s="40"/>
      <c r="L594" s="40"/>
      <c r="M594" s="40"/>
      <c r="N594" s="40"/>
      <c r="O594" s="40"/>
      <c r="P594" s="40"/>
      <c r="Q594" s="40"/>
      <c r="R594" s="40"/>
      <c r="S594" s="40"/>
      <c r="T594" s="40"/>
    </row>
    <row r="595" spans="1:20" ht="15.75">
      <c r="A595" s="13">
        <v>59261</v>
      </c>
      <c r="B595" s="48">
        <f t="shared" si="0"/>
        <v>31</v>
      </c>
      <c r="C595" s="39">
        <v>122.58</v>
      </c>
      <c r="D595" s="39">
        <v>297.94099999999997</v>
      </c>
      <c r="E595" s="45">
        <v>729.47900000000004</v>
      </c>
      <c r="F595" s="39">
        <v>1150</v>
      </c>
      <c r="G595" s="39">
        <v>100</v>
      </c>
      <c r="H595" s="47">
        <v>600</v>
      </c>
      <c r="I595" s="39">
        <v>695</v>
      </c>
      <c r="J595" s="39">
        <v>50</v>
      </c>
      <c r="K595" s="40"/>
      <c r="L595" s="40"/>
      <c r="M595" s="40"/>
      <c r="N595" s="40"/>
      <c r="O595" s="40"/>
      <c r="P595" s="40"/>
      <c r="Q595" s="40"/>
      <c r="R595" s="40"/>
      <c r="S595" s="40"/>
      <c r="T595" s="40"/>
    </row>
    <row r="596" spans="1:20" ht="15.75">
      <c r="A596" s="13">
        <v>59291</v>
      </c>
      <c r="B596" s="48">
        <f t="shared" si="0"/>
        <v>30</v>
      </c>
      <c r="C596" s="39">
        <v>141.29300000000001</v>
      </c>
      <c r="D596" s="39">
        <v>267.99299999999999</v>
      </c>
      <c r="E596" s="45">
        <v>829.71400000000006</v>
      </c>
      <c r="F596" s="39">
        <v>1239</v>
      </c>
      <c r="G596" s="39">
        <v>100</v>
      </c>
      <c r="H596" s="47">
        <v>600</v>
      </c>
      <c r="I596" s="39">
        <v>695</v>
      </c>
      <c r="J596" s="39">
        <v>50</v>
      </c>
      <c r="K596" s="40"/>
      <c r="L596" s="40"/>
      <c r="M596" s="40"/>
      <c r="N596" s="40"/>
      <c r="O596" s="40"/>
      <c r="P596" s="40"/>
      <c r="Q596" s="40"/>
      <c r="R596" s="40"/>
      <c r="S596" s="40"/>
      <c r="T596" s="40"/>
    </row>
    <row r="597" spans="1:20" ht="15.75">
      <c r="A597" s="13">
        <v>59322</v>
      </c>
      <c r="B597" s="48">
        <f t="shared" si="0"/>
        <v>31</v>
      </c>
      <c r="C597" s="39">
        <v>194.20500000000001</v>
      </c>
      <c r="D597" s="39">
        <v>267.46600000000001</v>
      </c>
      <c r="E597" s="45">
        <v>812.32899999999995</v>
      </c>
      <c r="F597" s="39">
        <v>1274</v>
      </c>
      <c r="G597" s="39">
        <v>75</v>
      </c>
      <c r="H597" s="47">
        <v>600</v>
      </c>
      <c r="I597" s="39">
        <v>695</v>
      </c>
      <c r="J597" s="39">
        <v>50</v>
      </c>
      <c r="K597" s="40"/>
      <c r="L597" s="40"/>
      <c r="M597" s="40"/>
      <c r="N597" s="40"/>
      <c r="O597" s="40"/>
      <c r="P597" s="40"/>
      <c r="Q597" s="40"/>
      <c r="R597" s="40"/>
      <c r="S597" s="40"/>
      <c r="T597" s="40"/>
    </row>
    <row r="598" spans="1:20" ht="15.75">
      <c r="A598" s="13">
        <v>59352</v>
      </c>
      <c r="B598" s="48">
        <f t="shared" si="0"/>
        <v>30</v>
      </c>
      <c r="C598" s="39">
        <v>194.20500000000001</v>
      </c>
      <c r="D598" s="39">
        <v>267.46600000000001</v>
      </c>
      <c r="E598" s="45">
        <v>812.32899999999995</v>
      </c>
      <c r="F598" s="39">
        <v>1274</v>
      </c>
      <c r="G598" s="39">
        <v>50</v>
      </c>
      <c r="H598" s="47">
        <v>600</v>
      </c>
      <c r="I598" s="39">
        <v>695</v>
      </c>
      <c r="J598" s="39">
        <v>50</v>
      </c>
      <c r="K598" s="40"/>
      <c r="L598" s="40"/>
      <c r="M598" s="40"/>
      <c r="N598" s="40"/>
      <c r="O598" s="40"/>
      <c r="P598" s="40"/>
      <c r="Q598" s="40"/>
      <c r="R598" s="40"/>
      <c r="S598" s="40"/>
      <c r="T598" s="40"/>
    </row>
    <row r="599" spans="1:20" ht="15.75">
      <c r="A599" s="13">
        <v>59383</v>
      </c>
      <c r="B599" s="48">
        <f t="shared" si="0"/>
        <v>31</v>
      </c>
      <c r="C599" s="39">
        <v>194.20500000000001</v>
      </c>
      <c r="D599" s="39">
        <v>267.46600000000001</v>
      </c>
      <c r="E599" s="45">
        <v>812.32899999999995</v>
      </c>
      <c r="F599" s="39">
        <v>1274</v>
      </c>
      <c r="G599" s="39">
        <v>50</v>
      </c>
      <c r="H599" s="47">
        <v>600</v>
      </c>
      <c r="I599" s="39">
        <v>695</v>
      </c>
      <c r="J599" s="39">
        <v>0</v>
      </c>
      <c r="K599" s="40"/>
      <c r="L599" s="40"/>
      <c r="M599" s="40"/>
      <c r="N599" s="40"/>
      <c r="O599" s="40"/>
      <c r="P599" s="40"/>
      <c r="Q599" s="40"/>
      <c r="R599" s="40"/>
      <c r="S599" s="40"/>
      <c r="T599" s="40"/>
    </row>
    <row r="600" spans="1:20" ht="15.75">
      <c r="A600" s="13">
        <v>59414</v>
      </c>
      <c r="B600" s="48">
        <f t="shared" si="0"/>
        <v>31</v>
      </c>
      <c r="C600" s="39">
        <v>194.20500000000001</v>
      </c>
      <c r="D600" s="39">
        <v>267.46600000000001</v>
      </c>
      <c r="E600" s="45">
        <v>812.32899999999995</v>
      </c>
      <c r="F600" s="39">
        <v>1274</v>
      </c>
      <c r="G600" s="39">
        <v>50</v>
      </c>
      <c r="H600" s="47">
        <v>600</v>
      </c>
      <c r="I600" s="39">
        <v>695</v>
      </c>
      <c r="J600" s="39">
        <v>0</v>
      </c>
      <c r="K600" s="40"/>
      <c r="L600" s="40"/>
      <c r="M600" s="40"/>
      <c r="N600" s="40"/>
      <c r="O600" s="40"/>
      <c r="P600" s="40"/>
      <c r="Q600" s="40"/>
      <c r="R600" s="40"/>
      <c r="S600" s="40"/>
      <c r="T600" s="40"/>
    </row>
    <row r="601" spans="1:20" ht="15.75">
      <c r="A601" s="13">
        <v>59444</v>
      </c>
      <c r="B601" s="48">
        <f t="shared" si="0"/>
        <v>30</v>
      </c>
      <c r="C601" s="39">
        <v>194.20500000000001</v>
      </c>
      <c r="D601" s="39">
        <v>267.46600000000001</v>
      </c>
      <c r="E601" s="45">
        <v>812.32899999999995</v>
      </c>
      <c r="F601" s="39">
        <v>1274</v>
      </c>
      <c r="G601" s="39">
        <v>50</v>
      </c>
      <c r="H601" s="47">
        <v>600</v>
      </c>
      <c r="I601" s="39">
        <v>695</v>
      </c>
      <c r="J601" s="39">
        <v>0</v>
      </c>
      <c r="K601" s="40"/>
      <c r="L601" s="40"/>
      <c r="M601" s="40"/>
      <c r="N601" s="40"/>
      <c r="O601" s="40"/>
      <c r="P601" s="40"/>
      <c r="Q601" s="40"/>
      <c r="R601" s="40"/>
      <c r="S601" s="40"/>
      <c r="T601" s="40"/>
    </row>
    <row r="602" spans="1:20" ht="15.75">
      <c r="A602" s="13">
        <v>59475</v>
      </c>
      <c r="B602" s="48">
        <f t="shared" si="0"/>
        <v>31</v>
      </c>
      <c r="C602" s="39">
        <v>131.881</v>
      </c>
      <c r="D602" s="39">
        <v>277.16699999999997</v>
      </c>
      <c r="E602" s="45">
        <v>829.952</v>
      </c>
      <c r="F602" s="39">
        <v>1239</v>
      </c>
      <c r="G602" s="39">
        <v>75</v>
      </c>
      <c r="H602" s="47">
        <v>600</v>
      </c>
      <c r="I602" s="39">
        <v>695</v>
      </c>
      <c r="J602" s="39">
        <v>0</v>
      </c>
      <c r="K602" s="40"/>
      <c r="L602" s="40"/>
      <c r="M602" s="40"/>
      <c r="N602" s="40"/>
      <c r="O602" s="40"/>
      <c r="P602" s="40"/>
      <c r="Q602" s="40"/>
      <c r="R602" s="40"/>
      <c r="S602" s="40"/>
      <c r="T602" s="40"/>
    </row>
    <row r="603" spans="1:20" ht="15.75">
      <c r="A603" s="13">
        <v>59505</v>
      </c>
      <c r="B603" s="48">
        <f t="shared" si="0"/>
        <v>30</v>
      </c>
      <c r="C603" s="39">
        <v>122.58</v>
      </c>
      <c r="D603" s="39">
        <v>297.94099999999997</v>
      </c>
      <c r="E603" s="45">
        <v>729.47900000000004</v>
      </c>
      <c r="F603" s="39">
        <v>1150</v>
      </c>
      <c r="G603" s="39">
        <v>100</v>
      </c>
      <c r="H603" s="47">
        <v>600</v>
      </c>
      <c r="I603" s="39">
        <v>695</v>
      </c>
      <c r="J603" s="39">
        <v>50</v>
      </c>
      <c r="K603" s="40"/>
      <c r="L603" s="40"/>
      <c r="M603" s="40"/>
      <c r="N603" s="40"/>
      <c r="O603" s="40"/>
      <c r="P603" s="40"/>
      <c r="Q603" s="40"/>
      <c r="R603" s="40"/>
      <c r="S603" s="40"/>
      <c r="T603" s="40"/>
    </row>
    <row r="604" spans="1:20" ht="15.75">
      <c r="A604" s="13">
        <v>59536</v>
      </c>
      <c r="B604" s="48">
        <f t="shared" si="0"/>
        <v>31</v>
      </c>
      <c r="C604" s="39">
        <v>122.58</v>
      </c>
      <c r="D604" s="39">
        <v>297.94099999999997</v>
      </c>
      <c r="E604" s="45">
        <v>729.47900000000004</v>
      </c>
      <c r="F604" s="39">
        <v>1150</v>
      </c>
      <c r="G604" s="39">
        <v>100</v>
      </c>
      <c r="H604" s="47">
        <v>600</v>
      </c>
      <c r="I604" s="39">
        <v>695</v>
      </c>
      <c r="J604" s="39">
        <v>50</v>
      </c>
      <c r="K604" s="40"/>
      <c r="L604" s="40"/>
      <c r="M604" s="40"/>
      <c r="N604" s="40"/>
      <c r="O604" s="40"/>
      <c r="P604" s="40"/>
      <c r="Q604" s="40"/>
      <c r="R604" s="40"/>
      <c r="S604" s="40"/>
      <c r="T604" s="40"/>
    </row>
    <row r="605" spans="1:20" ht="15.75">
      <c r="A605" s="13">
        <v>59567</v>
      </c>
      <c r="B605" s="48">
        <f t="shared" si="0"/>
        <v>31</v>
      </c>
      <c r="C605" s="39">
        <v>122.58</v>
      </c>
      <c r="D605" s="39">
        <v>297.94099999999997</v>
      </c>
      <c r="E605" s="45">
        <v>729.47900000000004</v>
      </c>
      <c r="F605" s="39">
        <v>1150</v>
      </c>
      <c r="G605" s="39">
        <v>100</v>
      </c>
      <c r="H605" s="47">
        <v>600</v>
      </c>
      <c r="I605" s="39">
        <v>695</v>
      </c>
      <c r="J605" s="39">
        <v>50</v>
      </c>
      <c r="K605" s="40"/>
      <c r="L605" s="40"/>
      <c r="M605" s="40"/>
      <c r="N605" s="40"/>
      <c r="O605" s="40"/>
      <c r="P605" s="40"/>
      <c r="Q605" s="40"/>
      <c r="R605" s="40"/>
      <c r="S605" s="40"/>
      <c r="T605" s="40"/>
    </row>
    <row r="606" spans="1:20" ht="15.75">
      <c r="A606" s="13">
        <v>59595</v>
      </c>
      <c r="B606" s="48">
        <f t="shared" si="0"/>
        <v>28</v>
      </c>
      <c r="C606" s="39">
        <v>122.58</v>
      </c>
      <c r="D606" s="39">
        <v>297.94099999999997</v>
      </c>
      <c r="E606" s="45">
        <v>729.47900000000004</v>
      </c>
      <c r="F606" s="39">
        <v>1150</v>
      </c>
      <c r="G606" s="39">
        <v>100</v>
      </c>
      <c r="H606" s="47">
        <v>600</v>
      </c>
      <c r="I606" s="39">
        <v>695</v>
      </c>
      <c r="J606" s="39">
        <v>50</v>
      </c>
      <c r="K606" s="40"/>
      <c r="L606" s="40"/>
      <c r="M606" s="40"/>
      <c r="N606" s="40"/>
      <c r="O606" s="40"/>
      <c r="P606" s="40"/>
      <c r="Q606" s="40"/>
      <c r="R606" s="40"/>
      <c r="S606" s="40"/>
      <c r="T606" s="40"/>
    </row>
    <row r="607" spans="1:20" ht="15.75">
      <c r="A607" s="13">
        <v>59626</v>
      </c>
      <c r="B607" s="48">
        <f t="shared" si="0"/>
        <v>31</v>
      </c>
      <c r="C607" s="39">
        <v>122.58</v>
      </c>
      <c r="D607" s="39">
        <v>297.94099999999997</v>
      </c>
      <c r="E607" s="45">
        <v>729.47900000000004</v>
      </c>
      <c r="F607" s="39">
        <v>1150</v>
      </c>
      <c r="G607" s="39">
        <v>100</v>
      </c>
      <c r="H607" s="47">
        <v>600</v>
      </c>
      <c r="I607" s="39">
        <v>695</v>
      </c>
      <c r="J607" s="39">
        <v>50</v>
      </c>
      <c r="K607" s="40"/>
      <c r="L607" s="40"/>
      <c r="M607" s="40"/>
      <c r="N607" s="40"/>
      <c r="O607" s="40"/>
      <c r="P607" s="40"/>
      <c r="Q607" s="40"/>
      <c r="R607" s="40"/>
      <c r="S607" s="40"/>
      <c r="T607" s="40"/>
    </row>
    <row r="608" spans="1:20" ht="15.75">
      <c r="A608" s="13">
        <v>59656</v>
      </c>
      <c r="B608" s="48">
        <f t="shared" si="0"/>
        <v>30</v>
      </c>
      <c r="C608" s="39">
        <v>141.29300000000001</v>
      </c>
      <c r="D608" s="39">
        <v>267.99299999999999</v>
      </c>
      <c r="E608" s="45">
        <v>829.71400000000006</v>
      </c>
      <c r="F608" s="39">
        <v>1239</v>
      </c>
      <c r="G608" s="39">
        <v>100</v>
      </c>
      <c r="H608" s="47">
        <v>600</v>
      </c>
      <c r="I608" s="39">
        <v>695</v>
      </c>
      <c r="J608" s="39">
        <v>50</v>
      </c>
      <c r="K608" s="40"/>
      <c r="L608" s="40"/>
      <c r="M608" s="40"/>
      <c r="N608" s="40"/>
      <c r="O608" s="40"/>
      <c r="P608" s="40"/>
      <c r="Q608" s="40"/>
      <c r="R608" s="40"/>
      <c r="S608" s="40"/>
      <c r="T608" s="40"/>
    </row>
    <row r="609" spans="1:20" ht="15.75">
      <c r="A609" s="13">
        <v>59687</v>
      </c>
      <c r="B609" s="48">
        <f t="shared" si="0"/>
        <v>31</v>
      </c>
      <c r="C609" s="39">
        <v>194.20500000000001</v>
      </c>
      <c r="D609" s="39">
        <v>267.46600000000001</v>
      </c>
      <c r="E609" s="45">
        <v>812.32899999999995</v>
      </c>
      <c r="F609" s="39">
        <v>1274</v>
      </c>
      <c r="G609" s="39">
        <v>75</v>
      </c>
      <c r="H609" s="47">
        <v>600</v>
      </c>
      <c r="I609" s="39">
        <v>695</v>
      </c>
      <c r="J609" s="39">
        <v>50</v>
      </c>
      <c r="K609" s="40"/>
      <c r="L609" s="40"/>
      <c r="M609" s="40"/>
      <c r="N609" s="40"/>
      <c r="O609" s="40"/>
      <c r="P609" s="40"/>
      <c r="Q609" s="40"/>
      <c r="R609" s="40"/>
      <c r="S609" s="40"/>
      <c r="T609" s="40"/>
    </row>
    <row r="610" spans="1:20" ht="15.75">
      <c r="A610" s="13">
        <v>59717</v>
      </c>
      <c r="B610" s="48">
        <f t="shared" si="0"/>
        <v>30</v>
      </c>
      <c r="C610" s="39">
        <v>194.20500000000001</v>
      </c>
      <c r="D610" s="39">
        <v>267.46600000000001</v>
      </c>
      <c r="E610" s="45">
        <v>812.32899999999995</v>
      </c>
      <c r="F610" s="39">
        <v>1274</v>
      </c>
      <c r="G610" s="39">
        <v>50</v>
      </c>
      <c r="H610" s="47">
        <v>600</v>
      </c>
      <c r="I610" s="39">
        <v>695</v>
      </c>
      <c r="J610" s="39">
        <v>50</v>
      </c>
      <c r="K610" s="40"/>
      <c r="L610" s="40"/>
      <c r="M610" s="40"/>
      <c r="N610" s="40"/>
      <c r="O610" s="40"/>
      <c r="P610" s="40"/>
      <c r="Q610" s="40"/>
      <c r="R610" s="40"/>
      <c r="S610" s="40"/>
      <c r="T610" s="40"/>
    </row>
    <row r="611" spans="1:20" ht="15.75">
      <c r="A611" s="13">
        <v>59748</v>
      </c>
      <c r="B611" s="48">
        <f t="shared" si="0"/>
        <v>31</v>
      </c>
      <c r="C611" s="39">
        <v>194.20500000000001</v>
      </c>
      <c r="D611" s="39">
        <v>267.46600000000001</v>
      </c>
      <c r="E611" s="45">
        <v>812.32899999999995</v>
      </c>
      <c r="F611" s="39">
        <v>1274</v>
      </c>
      <c r="G611" s="39">
        <v>50</v>
      </c>
      <c r="H611" s="47">
        <v>600</v>
      </c>
      <c r="I611" s="39">
        <v>695</v>
      </c>
      <c r="J611" s="39">
        <v>0</v>
      </c>
      <c r="K611" s="40"/>
      <c r="L611" s="40"/>
      <c r="M611" s="40"/>
      <c r="N611" s="40"/>
      <c r="O611" s="40"/>
      <c r="P611" s="40"/>
      <c r="Q611" s="40"/>
      <c r="R611" s="40"/>
      <c r="S611" s="40"/>
      <c r="T611" s="40"/>
    </row>
    <row r="612" spans="1:20" ht="15.75">
      <c r="A612" s="13">
        <v>59779</v>
      </c>
      <c r="B612" s="48">
        <f t="shared" si="0"/>
        <v>31</v>
      </c>
      <c r="C612" s="39">
        <v>194.20500000000001</v>
      </c>
      <c r="D612" s="39">
        <v>267.46600000000001</v>
      </c>
      <c r="E612" s="45">
        <v>812.32899999999995</v>
      </c>
      <c r="F612" s="39">
        <v>1274</v>
      </c>
      <c r="G612" s="39">
        <v>50</v>
      </c>
      <c r="H612" s="47">
        <v>600</v>
      </c>
      <c r="I612" s="39">
        <v>695</v>
      </c>
      <c r="J612" s="39">
        <v>0</v>
      </c>
      <c r="K612" s="40"/>
      <c r="L612" s="40"/>
      <c r="M612" s="40"/>
      <c r="N612" s="40"/>
      <c r="O612" s="40"/>
      <c r="P612" s="40"/>
      <c r="Q612" s="40"/>
      <c r="R612" s="40"/>
      <c r="S612" s="40"/>
      <c r="T612" s="40"/>
    </row>
    <row r="613" spans="1:20" ht="15.75">
      <c r="A613" s="13">
        <v>59809</v>
      </c>
      <c r="B613" s="48">
        <f t="shared" si="0"/>
        <v>30</v>
      </c>
      <c r="C613" s="39">
        <v>194.20500000000001</v>
      </c>
      <c r="D613" s="39">
        <v>267.46600000000001</v>
      </c>
      <c r="E613" s="45">
        <v>812.32899999999995</v>
      </c>
      <c r="F613" s="39">
        <v>1274</v>
      </c>
      <c r="G613" s="39">
        <v>50</v>
      </c>
      <c r="H613" s="47">
        <v>600</v>
      </c>
      <c r="I613" s="39">
        <v>695</v>
      </c>
      <c r="J613" s="39">
        <v>0</v>
      </c>
      <c r="K613" s="40"/>
      <c r="L613" s="40"/>
      <c r="M613" s="40"/>
      <c r="N613" s="40"/>
      <c r="O613" s="40"/>
      <c r="P613" s="40"/>
      <c r="Q613" s="40"/>
      <c r="R613" s="40"/>
      <c r="S613" s="40"/>
      <c r="T613" s="40"/>
    </row>
    <row r="614" spans="1:20" ht="15.75">
      <c r="A614" s="13">
        <v>59840</v>
      </c>
      <c r="B614" s="48">
        <f t="shared" si="0"/>
        <v>31</v>
      </c>
      <c r="C614" s="39">
        <v>131.881</v>
      </c>
      <c r="D614" s="39">
        <v>277.16699999999997</v>
      </c>
      <c r="E614" s="45">
        <v>829.952</v>
      </c>
      <c r="F614" s="39">
        <v>1239</v>
      </c>
      <c r="G614" s="39">
        <v>75</v>
      </c>
      <c r="H614" s="47">
        <v>600</v>
      </c>
      <c r="I614" s="39">
        <v>695</v>
      </c>
      <c r="J614" s="39">
        <v>0</v>
      </c>
      <c r="K614" s="40"/>
      <c r="L614" s="40"/>
      <c r="M614" s="40"/>
      <c r="N614" s="40"/>
      <c r="O614" s="40"/>
      <c r="P614" s="40"/>
      <c r="Q614" s="40"/>
      <c r="R614" s="40"/>
      <c r="S614" s="40"/>
      <c r="T614" s="40"/>
    </row>
    <row r="615" spans="1:20" ht="15.75">
      <c r="A615" s="13">
        <v>59870</v>
      </c>
      <c r="B615" s="48">
        <f t="shared" si="0"/>
        <v>30</v>
      </c>
      <c r="C615" s="39">
        <v>122.58</v>
      </c>
      <c r="D615" s="39">
        <v>297.94099999999997</v>
      </c>
      <c r="E615" s="45">
        <v>729.47900000000004</v>
      </c>
      <c r="F615" s="39">
        <v>1150</v>
      </c>
      <c r="G615" s="39">
        <v>100</v>
      </c>
      <c r="H615" s="47">
        <v>600</v>
      </c>
      <c r="I615" s="39">
        <v>695</v>
      </c>
      <c r="J615" s="39">
        <v>50</v>
      </c>
      <c r="K615" s="40"/>
      <c r="L615" s="40"/>
      <c r="M615" s="40"/>
      <c r="N615" s="40"/>
      <c r="O615" s="40"/>
      <c r="P615" s="40"/>
      <c r="Q615" s="40"/>
      <c r="R615" s="40"/>
      <c r="S615" s="40"/>
      <c r="T615" s="40"/>
    </row>
    <row r="616" spans="1:20" ht="15.75">
      <c r="A616" s="13">
        <v>59901</v>
      </c>
      <c r="B616" s="48">
        <f t="shared" si="0"/>
        <v>31</v>
      </c>
      <c r="C616" s="39">
        <v>122.58</v>
      </c>
      <c r="D616" s="39">
        <v>297.94099999999997</v>
      </c>
      <c r="E616" s="45">
        <v>729.47900000000004</v>
      </c>
      <c r="F616" s="39">
        <v>1150</v>
      </c>
      <c r="G616" s="39">
        <v>100</v>
      </c>
      <c r="H616" s="47">
        <v>600</v>
      </c>
      <c r="I616" s="39">
        <v>695</v>
      </c>
      <c r="J616" s="39">
        <v>50</v>
      </c>
      <c r="K616" s="40"/>
      <c r="L616" s="40"/>
      <c r="M616" s="40"/>
      <c r="N616" s="40"/>
      <c r="O616" s="40"/>
      <c r="P616" s="40"/>
      <c r="Q616" s="40"/>
      <c r="R616" s="40"/>
      <c r="S616" s="40"/>
      <c r="T616" s="40"/>
    </row>
    <row r="617" spans="1:20" ht="15.75">
      <c r="A617" s="13">
        <v>59932</v>
      </c>
      <c r="B617" s="48">
        <f t="shared" si="0"/>
        <v>31</v>
      </c>
      <c r="C617" s="39">
        <v>122.58</v>
      </c>
      <c r="D617" s="39">
        <v>297.94099999999997</v>
      </c>
      <c r="E617" s="45">
        <v>729.47900000000004</v>
      </c>
      <c r="F617" s="39">
        <v>1150</v>
      </c>
      <c r="G617" s="39">
        <v>100</v>
      </c>
      <c r="H617" s="47">
        <v>600</v>
      </c>
      <c r="I617" s="39">
        <v>695</v>
      </c>
      <c r="J617" s="39">
        <v>50</v>
      </c>
      <c r="K617" s="40"/>
      <c r="L617" s="40"/>
      <c r="M617" s="40"/>
      <c r="N617" s="40"/>
      <c r="O617" s="40"/>
      <c r="P617" s="40"/>
      <c r="Q617" s="40"/>
      <c r="R617" s="40"/>
      <c r="S617" s="40"/>
      <c r="T617" s="40"/>
    </row>
    <row r="618" spans="1:20" ht="15.75">
      <c r="A618" s="13">
        <v>59961</v>
      </c>
      <c r="B618" s="48">
        <f t="shared" si="0"/>
        <v>29</v>
      </c>
      <c r="C618" s="39">
        <v>122.58</v>
      </c>
      <c r="D618" s="39">
        <v>297.94099999999997</v>
      </c>
      <c r="E618" s="45">
        <v>729.47900000000004</v>
      </c>
      <c r="F618" s="39">
        <v>1150</v>
      </c>
      <c r="G618" s="39">
        <v>100</v>
      </c>
      <c r="H618" s="47">
        <v>600</v>
      </c>
      <c r="I618" s="39">
        <v>695</v>
      </c>
      <c r="J618" s="39">
        <v>50</v>
      </c>
      <c r="K618" s="40"/>
      <c r="L618" s="40"/>
      <c r="M618" s="40"/>
      <c r="N618" s="40"/>
      <c r="O618" s="40"/>
      <c r="P618" s="40"/>
      <c r="Q618" s="40"/>
      <c r="R618" s="40"/>
      <c r="S618" s="40"/>
      <c r="T618" s="40"/>
    </row>
    <row r="619" spans="1:20" ht="15.75">
      <c r="A619" s="13">
        <v>59992</v>
      </c>
      <c r="B619" s="48">
        <f t="shared" si="0"/>
        <v>31</v>
      </c>
      <c r="C619" s="39">
        <v>122.58</v>
      </c>
      <c r="D619" s="39">
        <v>297.94099999999997</v>
      </c>
      <c r="E619" s="45">
        <v>729.47900000000004</v>
      </c>
      <c r="F619" s="39">
        <v>1150</v>
      </c>
      <c r="G619" s="39">
        <v>100</v>
      </c>
      <c r="H619" s="47">
        <v>600</v>
      </c>
      <c r="I619" s="39">
        <v>695</v>
      </c>
      <c r="J619" s="39">
        <v>50</v>
      </c>
      <c r="K619" s="40"/>
      <c r="L619" s="40"/>
      <c r="M619" s="40"/>
      <c r="N619" s="40"/>
      <c r="O619" s="40"/>
      <c r="P619" s="40"/>
      <c r="Q619" s="40"/>
      <c r="R619" s="40"/>
      <c r="S619" s="40"/>
      <c r="T619" s="40"/>
    </row>
    <row r="620" spans="1:20" ht="15.75">
      <c r="A620" s="13">
        <v>60022</v>
      </c>
      <c r="B620" s="48">
        <f t="shared" si="0"/>
        <v>30</v>
      </c>
      <c r="C620" s="39">
        <v>141.29300000000001</v>
      </c>
      <c r="D620" s="39">
        <v>267.99299999999999</v>
      </c>
      <c r="E620" s="45">
        <v>829.71400000000006</v>
      </c>
      <c r="F620" s="39">
        <v>1239</v>
      </c>
      <c r="G620" s="39">
        <v>100</v>
      </c>
      <c r="H620" s="47">
        <v>600</v>
      </c>
      <c r="I620" s="39">
        <v>695</v>
      </c>
      <c r="J620" s="39">
        <v>50</v>
      </c>
      <c r="K620" s="40"/>
      <c r="L620" s="40"/>
      <c r="M620" s="40"/>
      <c r="N620" s="40"/>
      <c r="O620" s="40"/>
      <c r="P620" s="40"/>
      <c r="Q620" s="40"/>
      <c r="R620" s="40"/>
      <c r="S620" s="40"/>
      <c r="T620" s="40"/>
    </row>
    <row r="621" spans="1:20" ht="15.75">
      <c r="A621" s="13">
        <v>60053</v>
      </c>
      <c r="B621" s="48">
        <f t="shared" si="0"/>
        <v>31</v>
      </c>
      <c r="C621" s="39">
        <v>194.20500000000001</v>
      </c>
      <c r="D621" s="39">
        <v>267.46600000000001</v>
      </c>
      <c r="E621" s="45">
        <v>812.32899999999995</v>
      </c>
      <c r="F621" s="39">
        <v>1274</v>
      </c>
      <c r="G621" s="39">
        <v>75</v>
      </c>
      <c r="H621" s="47">
        <v>600</v>
      </c>
      <c r="I621" s="39">
        <v>695</v>
      </c>
      <c r="J621" s="39">
        <v>50</v>
      </c>
      <c r="K621" s="40"/>
      <c r="L621" s="40"/>
      <c r="M621" s="40"/>
      <c r="N621" s="40"/>
      <c r="O621" s="40"/>
      <c r="P621" s="40"/>
      <c r="Q621" s="40"/>
      <c r="R621" s="40"/>
      <c r="S621" s="40"/>
      <c r="T621" s="40"/>
    </row>
    <row r="622" spans="1:20" ht="15.75">
      <c r="A622" s="13">
        <v>60083</v>
      </c>
      <c r="B622" s="48">
        <f t="shared" si="0"/>
        <v>30</v>
      </c>
      <c r="C622" s="39">
        <v>194.20500000000001</v>
      </c>
      <c r="D622" s="39">
        <v>267.46600000000001</v>
      </c>
      <c r="E622" s="45">
        <v>812.32899999999995</v>
      </c>
      <c r="F622" s="39">
        <v>1274</v>
      </c>
      <c r="G622" s="39">
        <v>50</v>
      </c>
      <c r="H622" s="47">
        <v>600</v>
      </c>
      <c r="I622" s="39">
        <v>695</v>
      </c>
      <c r="J622" s="39">
        <v>50</v>
      </c>
      <c r="K622" s="40"/>
      <c r="L622" s="40"/>
      <c r="M622" s="40"/>
      <c r="N622" s="40"/>
      <c r="O622" s="40"/>
      <c r="P622" s="40"/>
      <c r="Q622" s="40"/>
      <c r="R622" s="40"/>
      <c r="S622" s="40"/>
      <c r="T622" s="40"/>
    </row>
    <row r="623" spans="1:20" ht="15.75">
      <c r="A623" s="13">
        <v>60114</v>
      </c>
      <c r="B623" s="48">
        <f t="shared" si="0"/>
        <v>31</v>
      </c>
      <c r="C623" s="39">
        <v>194.20500000000001</v>
      </c>
      <c r="D623" s="39">
        <v>267.46600000000001</v>
      </c>
      <c r="E623" s="45">
        <v>812.32899999999995</v>
      </c>
      <c r="F623" s="39">
        <v>1274</v>
      </c>
      <c r="G623" s="39">
        <v>50</v>
      </c>
      <c r="H623" s="47">
        <v>600</v>
      </c>
      <c r="I623" s="39">
        <v>695</v>
      </c>
      <c r="J623" s="39">
        <v>0</v>
      </c>
      <c r="K623" s="40"/>
      <c r="L623" s="40"/>
      <c r="M623" s="40"/>
      <c r="N623" s="40"/>
      <c r="O623" s="40"/>
      <c r="P623" s="40"/>
      <c r="Q623" s="40"/>
      <c r="R623" s="40"/>
      <c r="S623" s="40"/>
      <c r="T623" s="40"/>
    </row>
    <row r="624" spans="1:20" ht="15.75">
      <c r="A624" s="13">
        <v>60145</v>
      </c>
      <c r="B624" s="48">
        <f t="shared" si="0"/>
        <v>31</v>
      </c>
      <c r="C624" s="39">
        <v>194.20500000000001</v>
      </c>
      <c r="D624" s="39">
        <v>267.46600000000001</v>
      </c>
      <c r="E624" s="45">
        <v>812.32899999999995</v>
      </c>
      <c r="F624" s="39">
        <v>1274</v>
      </c>
      <c r="G624" s="39">
        <v>50</v>
      </c>
      <c r="H624" s="47">
        <v>600</v>
      </c>
      <c r="I624" s="39">
        <v>695</v>
      </c>
      <c r="J624" s="39">
        <v>0</v>
      </c>
      <c r="K624" s="40"/>
      <c r="L624" s="40"/>
      <c r="M624" s="40"/>
      <c r="N624" s="40"/>
      <c r="O624" s="40"/>
      <c r="P624" s="40"/>
      <c r="Q624" s="40"/>
      <c r="R624" s="40"/>
      <c r="S624" s="40"/>
      <c r="T624" s="40"/>
    </row>
    <row r="625" spans="1:20" ht="15.75">
      <c r="A625" s="13">
        <v>60175</v>
      </c>
      <c r="B625" s="48">
        <f t="shared" si="0"/>
        <v>30</v>
      </c>
      <c r="C625" s="39">
        <v>194.20500000000001</v>
      </c>
      <c r="D625" s="39">
        <v>267.46600000000001</v>
      </c>
      <c r="E625" s="45">
        <v>812.32899999999995</v>
      </c>
      <c r="F625" s="39">
        <v>1274</v>
      </c>
      <c r="G625" s="39">
        <v>50</v>
      </c>
      <c r="H625" s="47">
        <v>600</v>
      </c>
      <c r="I625" s="39">
        <v>695</v>
      </c>
      <c r="J625" s="39">
        <v>0</v>
      </c>
      <c r="K625" s="40"/>
      <c r="L625" s="40"/>
      <c r="M625" s="40"/>
      <c r="N625" s="40"/>
      <c r="O625" s="40"/>
      <c r="P625" s="40"/>
      <c r="Q625" s="40"/>
      <c r="R625" s="40"/>
      <c r="S625" s="40"/>
      <c r="T625" s="40"/>
    </row>
    <row r="626" spans="1:20" ht="15.75">
      <c r="A626" s="13">
        <v>60206</v>
      </c>
      <c r="B626" s="48">
        <f t="shared" si="0"/>
        <v>31</v>
      </c>
      <c r="C626" s="39">
        <v>131.881</v>
      </c>
      <c r="D626" s="39">
        <v>277.16699999999997</v>
      </c>
      <c r="E626" s="45">
        <v>829.952</v>
      </c>
      <c r="F626" s="39">
        <v>1239</v>
      </c>
      <c r="G626" s="39">
        <v>75</v>
      </c>
      <c r="H626" s="47">
        <v>600</v>
      </c>
      <c r="I626" s="39">
        <v>695</v>
      </c>
      <c r="J626" s="39">
        <v>0</v>
      </c>
      <c r="K626" s="40"/>
      <c r="L626" s="40"/>
      <c r="M626" s="40"/>
      <c r="N626" s="40"/>
      <c r="O626" s="40"/>
      <c r="P626" s="40"/>
      <c r="Q626" s="40"/>
      <c r="R626" s="40"/>
      <c r="S626" s="40"/>
      <c r="T626" s="40"/>
    </row>
    <row r="627" spans="1:20" ht="15.75">
      <c r="A627" s="13">
        <v>60236</v>
      </c>
      <c r="B627" s="48">
        <f t="shared" si="0"/>
        <v>30</v>
      </c>
      <c r="C627" s="39">
        <v>122.58</v>
      </c>
      <c r="D627" s="39">
        <v>297.94099999999997</v>
      </c>
      <c r="E627" s="45">
        <v>729.47900000000004</v>
      </c>
      <c r="F627" s="39">
        <v>1150</v>
      </c>
      <c r="G627" s="39">
        <v>100</v>
      </c>
      <c r="H627" s="47">
        <v>600</v>
      </c>
      <c r="I627" s="39">
        <v>695</v>
      </c>
      <c r="J627" s="39">
        <v>50</v>
      </c>
      <c r="K627" s="40"/>
      <c r="L627" s="40"/>
      <c r="M627" s="40"/>
      <c r="N627" s="40"/>
      <c r="O627" s="40"/>
      <c r="P627" s="40"/>
      <c r="Q627" s="40"/>
      <c r="R627" s="40"/>
      <c r="S627" s="40"/>
      <c r="T627" s="40"/>
    </row>
    <row r="628" spans="1:20" ht="15.75">
      <c r="A628" s="13">
        <v>60267</v>
      </c>
      <c r="B628" s="48">
        <f t="shared" si="0"/>
        <v>31</v>
      </c>
      <c r="C628" s="39">
        <v>122.58</v>
      </c>
      <c r="D628" s="39">
        <v>297.94099999999997</v>
      </c>
      <c r="E628" s="45">
        <v>729.47900000000004</v>
      </c>
      <c r="F628" s="39">
        <v>1150</v>
      </c>
      <c r="G628" s="39">
        <v>100</v>
      </c>
      <c r="H628" s="47">
        <v>600</v>
      </c>
      <c r="I628" s="39">
        <v>695</v>
      </c>
      <c r="J628" s="39">
        <v>50</v>
      </c>
      <c r="K628" s="40"/>
      <c r="L628" s="40"/>
      <c r="M628" s="40"/>
      <c r="N628" s="40"/>
      <c r="O628" s="40"/>
      <c r="P628" s="40"/>
      <c r="Q628" s="40"/>
      <c r="R628" s="40"/>
      <c r="S628" s="40"/>
      <c r="T628" s="40"/>
    </row>
    <row r="629" spans="1:20" ht="15.75">
      <c r="A629" s="13">
        <v>60298</v>
      </c>
      <c r="B629" s="48">
        <f t="shared" si="0"/>
        <v>31</v>
      </c>
      <c r="C629" s="39">
        <v>122.58</v>
      </c>
      <c r="D629" s="39">
        <v>297.94099999999997</v>
      </c>
      <c r="E629" s="45">
        <v>729.47900000000004</v>
      </c>
      <c r="F629" s="39">
        <v>1150</v>
      </c>
      <c r="G629" s="39">
        <v>100</v>
      </c>
      <c r="H629" s="47">
        <v>600</v>
      </c>
      <c r="I629" s="39">
        <v>695</v>
      </c>
      <c r="J629" s="39">
        <v>50</v>
      </c>
      <c r="K629" s="40"/>
      <c r="L629" s="40"/>
      <c r="M629" s="40"/>
      <c r="N629" s="40"/>
      <c r="O629" s="40"/>
      <c r="P629" s="40"/>
      <c r="Q629" s="40"/>
      <c r="R629" s="40"/>
      <c r="S629" s="40"/>
      <c r="T629" s="40"/>
    </row>
    <row r="630" spans="1:20" ht="15.75">
      <c r="A630" s="13">
        <v>60326</v>
      </c>
      <c r="B630" s="48">
        <f t="shared" si="0"/>
        <v>28</v>
      </c>
      <c r="C630" s="39">
        <v>122.58</v>
      </c>
      <c r="D630" s="39">
        <v>297.94099999999997</v>
      </c>
      <c r="E630" s="45">
        <v>729.47900000000004</v>
      </c>
      <c r="F630" s="39">
        <v>1150</v>
      </c>
      <c r="G630" s="39">
        <v>100</v>
      </c>
      <c r="H630" s="47">
        <v>600</v>
      </c>
      <c r="I630" s="39">
        <v>695</v>
      </c>
      <c r="J630" s="39">
        <v>50</v>
      </c>
      <c r="K630" s="40"/>
      <c r="L630" s="40"/>
      <c r="M630" s="40"/>
      <c r="N630" s="40"/>
      <c r="O630" s="40"/>
      <c r="P630" s="40"/>
      <c r="Q630" s="40"/>
      <c r="R630" s="40"/>
      <c r="S630" s="40"/>
      <c r="T630" s="40"/>
    </row>
    <row r="631" spans="1:20" ht="15.75">
      <c r="A631" s="13">
        <v>60357</v>
      </c>
      <c r="B631" s="48">
        <f t="shared" si="0"/>
        <v>31</v>
      </c>
      <c r="C631" s="39">
        <v>122.58</v>
      </c>
      <c r="D631" s="39">
        <v>297.94099999999997</v>
      </c>
      <c r="E631" s="45">
        <v>729.47900000000004</v>
      </c>
      <c r="F631" s="39">
        <v>1150</v>
      </c>
      <c r="G631" s="39">
        <v>100</v>
      </c>
      <c r="H631" s="47">
        <v>600</v>
      </c>
      <c r="I631" s="39">
        <v>695</v>
      </c>
      <c r="J631" s="39">
        <v>50</v>
      </c>
      <c r="K631" s="40"/>
      <c r="L631" s="40"/>
      <c r="M631" s="40"/>
      <c r="N631" s="40"/>
      <c r="O631" s="40"/>
      <c r="P631" s="40"/>
      <c r="Q631" s="40"/>
      <c r="R631" s="40"/>
      <c r="S631" s="40"/>
      <c r="T631" s="40"/>
    </row>
    <row r="632" spans="1:20" ht="15.75">
      <c r="A632" s="13">
        <v>60387</v>
      </c>
      <c r="B632" s="48">
        <f t="shared" si="0"/>
        <v>30</v>
      </c>
      <c r="C632" s="39">
        <v>141.29300000000001</v>
      </c>
      <c r="D632" s="39">
        <v>267.99299999999999</v>
      </c>
      <c r="E632" s="45">
        <v>829.71400000000006</v>
      </c>
      <c r="F632" s="39">
        <v>1239</v>
      </c>
      <c r="G632" s="39">
        <v>100</v>
      </c>
      <c r="H632" s="47">
        <v>600</v>
      </c>
      <c r="I632" s="39">
        <v>695</v>
      </c>
      <c r="J632" s="39">
        <v>50</v>
      </c>
      <c r="K632" s="40"/>
      <c r="L632" s="40"/>
      <c r="M632" s="40"/>
      <c r="N632" s="40"/>
      <c r="O632" s="40"/>
      <c r="P632" s="40"/>
      <c r="Q632" s="40"/>
      <c r="R632" s="40"/>
      <c r="S632" s="40"/>
      <c r="T632" s="40"/>
    </row>
    <row r="633" spans="1:20" ht="15.75">
      <c r="A633" s="13">
        <v>60418</v>
      </c>
      <c r="B633" s="48">
        <f t="shared" si="0"/>
        <v>31</v>
      </c>
      <c r="C633" s="39">
        <v>194.20500000000001</v>
      </c>
      <c r="D633" s="39">
        <v>267.46600000000001</v>
      </c>
      <c r="E633" s="45">
        <v>812.32899999999995</v>
      </c>
      <c r="F633" s="39">
        <v>1274</v>
      </c>
      <c r="G633" s="39">
        <v>75</v>
      </c>
      <c r="H633" s="47">
        <v>600</v>
      </c>
      <c r="I633" s="39">
        <v>695</v>
      </c>
      <c r="J633" s="39">
        <v>50</v>
      </c>
      <c r="K633" s="40"/>
      <c r="L633" s="40"/>
      <c r="M633" s="40"/>
      <c r="N633" s="40"/>
      <c r="O633" s="40"/>
      <c r="P633" s="40"/>
      <c r="Q633" s="40"/>
      <c r="R633" s="40"/>
      <c r="S633" s="40"/>
      <c r="T633" s="40"/>
    </row>
    <row r="634" spans="1:20" ht="15.75">
      <c r="A634" s="13">
        <v>60448</v>
      </c>
      <c r="B634" s="48">
        <f t="shared" si="0"/>
        <v>30</v>
      </c>
      <c r="C634" s="39">
        <v>194.20500000000001</v>
      </c>
      <c r="D634" s="39">
        <v>267.46600000000001</v>
      </c>
      <c r="E634" s="45">
        <v>812.32899999999995</v>
      </c>
      <c r="F634" s="39">
        <v>1274</v>
      </c>
      <c r="G634" s="39">
        <v>50</v>
      </c>
      <c r="H634" s="47">
        <v>600</v>
      </c>
      <c r="I634" s="39">
        <v>695</v>
      </c>
      <c r="J634" s="39">
        <v>50</v>
      </c>
      <c r="K634" s="40"/>
      <c r="L634" s="40"/>
      <c r="M634" s="40"/>
      <c r="N634" s="40"/>
      <c r="O634" s="40"/>
      <c r="P634" s="40"/>
      <c r="Q634" s="40"/>
      <c r="R634" s="40"/>
      <c r="S634" s="40"/>
      <c r="T634" s="40"/>
    </row>
    <row r="635" spans="1:20" ht="15.75">
      <c r="A635" s="13">
        <v>60479</v>
      </c>
      <c r="B635" s="48">
        <f t="shared" si="0"/>
        <v>31</v>
      </c>
      <c r="C635" s="39">
        <v>194.20500000000001</v>
      </c>
      <c r="D635" s="39">
        <v>267.46600000000001</v>
      </c>
      <c r="E635" s="45">
        <v>812.32899999999995</v>
      </c>
      <c r="F635" s="39">
        <v>1274</v>
      </c>
      <c r="G635" s="39">
        <v>50</v>
      </c>
      <c r="H635" s="47">
        <v>600</v>
      </c>
      <c r="I635" s="39">
        <v>695</v>
      </c>
      <c r="J635" s="39">
        <v>0</v>
      </c>
      <c r="K635" s="40"/>
      <c r="L635" s="40"/>
      <c r="M635" s="40"/>
      <c r="N635" s="40"/>
      <c r="O635" s="40"/>
      <c r="P635" s="40"/>
      <c r="Q635" s="40"/>
      <c r="R635" s="40"/>
      <c r="S635" s="40"/>
      <c r="T635" s="40"/>
    </row>
    <row r="636" spans="1:20" ht="15.75">
      <c r="A636" s="13">
        <v>60510</v>
      </c>
      <c r="B636" s="48">
        <f t="shared" si="0"/>
        <v>31</v>
      </c>
      <c r="C636" s="39">
        <v>194.20500000000001</v>
      </c>
      <c r="D636" s="39">
        <v>267.46600000000001</v>
      </c>
      <c r="E636" s="45">
        <v>812.32899999999995</v>
      </c>
      <c r="F636" s="39">
        <v>1274</v>
      </c>
      <c r="G636" s="39">
        <v>50</v>
      </c>
      <c r="H636" s="47">
        <v>600</v>
      </c>
      <c r="I636" s="39">
        <v>695</v>
      </c>
      <c r="J636" s="39">
        <v>0</v>
      </c>
      <c r="K636" s="40"/>
      <c r="L636" s="40"/>
      <c r="M636" s="40"/>
      <c r="N636" s="40"/>
      <c r="O636" s="40"/>
      <c r="P636" s="40"/>
      <c r="Q636" s="40"/>
      <c r="R636" s="40"/>
      <c r="S636" s="40"/>
      <c r="T636" s="40"/>
    </row>
    <row r="637" spans="1:20" ht="15.75">
      <c r="A637" s="13">
        <v>60540</v>
      </c>
      <c r="B637" s="48">
        <f t="shared" si="0"/>
        <v>30</v>
      </c>
      <c r="C637" s="39">
        <v>194.20500000000001</v>
      </c>
      <c r="D637" s="39">
        <v>267.46600000000001</v>
      </c>
      <c r="E637" s="45">
        <v>812.32899999999995</v>
      </c>
      <c r="F637" s="39">
        <v>1274</v>
      </c>
      <c r="G637" s="39">
        <v>50</v>
      </c>
      <c r="H637" s="47">
        <v>600</v>
      </c>
      <c r="I637" s="39">
        <v>695</v>
      </c>
      <c r="J637" s="39">
        <v>0</v>
      </c>
      <c r="K637" s="40"/>
      <c r="L637" s="40"/>
      <c r="M637" s="40"/>
      <c r="N637" s="40"/>
      <c r="O637" s="40"/>
      <c r="P637" s="40"/>
      <c r="Q637" s="40"/>
      <c r="R637" s="40"/>
      <c r="S637" s="40"/>
      <c r="T637" s="40"/>
    </row>
    <row r="638" spans="1:20" ht="15.75">
      <c r="A638" s="13">
        <v>60571</v>
      </c>
      <c r="B638" s="48">
        <f t="shared" si="0"/>
        <v>31</v>
      </c>
      <c r="C638" s="39">
        <v>131.881</v>
      </c>
      <c r="D638" s="39">
        <v>277.16699999999997</v>
      </c>
      <c r="E638" s="45">
        <v>829.952</v>
      </c>
      <c r="F638" s="39">
        <v>1239</v>
      </c>
      <c r="G638" s="39">
        <v>75</v>
      </c>
      <c r="H638" s="47">
        <v>600</v>
      </c>
      <c r="I638" s="39">
        <v>695</v>
      </c>
      <c r="J638" s="39">
        <v>0</v>
      </c>
      <c r="K638" s="40"/>
      <c r="L638" s="40"/>
      <c r="M638" s="40"/>
      <c r="N638" s="40"/>
      <c r="O638" s="40"/>
      <c r="P638" s="40"/>
      <c r="Q638" s="40"/>
      <c r="R638" s="40"/>
      <c r="S638" s="40"/>
      <c r="T638" s="40"/>
    </row>
    <row r="639" spans="1:20" ht="15.75">
      <c r="A639" s="13">
        <v>60601</v>
      </c>
      <c r="B639" s="48">
        <f t="shared" si="0"/>
        <v>30</v>
      </c>
      <c r="C639" s="39">
        <v>122.58</v>
      </c>
      <c r="D639" s="39">
        <v>297.94099999999997</v>
      </c>
      <c r="E639" s="45">
        <v>729.47900000000004</v>
      </c>
      <c r="F639" s="39">
        <v>1150</v>
      </c>
      <c r="G639" s="39">
        <v>100</v>
      </c>
      <c r="H639" s="47">
        <v>600</v>
      </c>
      <c r="I639" s="39">
        <v>695</v>
      </c>
      <c r="J639" s="39">
        <v>50</v>
      </c>
      <c r="K639" s="40"/>
      <c r="L639" s="40"/>
      <c r="M639" s="40"/>
      <c r="N639" s="40"/>
      <c r="O639" s="40"/>
      <c r="P639" s="40"/>
      <c r="Q639" s="40"/>
      <c r="R639" s="40"/>
      <c r="S639" s="40"/>
      <c r="T639" s="40"/>
    </row>
    <row r="640" spans="1:20" ht="15.75">
      <c r="A640" s="13">
        <v>60632</v>
      </c>
      <c r="B640" s="48">
        <f t="shared" si="0"/>
        <v>31</v>
      </c>
      <c r="C640" s="39">
        <v>122.58</v>
      </c>
      <c r="D640" s="39">
        <v>297.94099999999997</v>
      </c>
      <c r="E640" s="45">
        <v>729.47900000000004</v>
      </c>
      <c r="F640" s="39">
        <v>1150</v>
      </c>
      <c r="G640" s="39">
        <v>100</v>
      </c>
      <c r="H640" s="47">
        <v>600</v>
      </c>
      <c r="I640" s="39">
        <v>695</v>
      </c>
      <c r="J640" s="39">
        <v>50</v>
      </c>
      <c r="K640" s="40"/>
      <c r="L640" s="40"/>
      <c r="M640" s="40"/>
      <c r="N640" s="40"/>
      <c r="O640" s="40"/>
      <c r="P640" s="40"/>
      <c r="Q640" s="40"/>
      <c r="R640" s="40"/>
      <c r="S640" s="40"/>
      <c r="T640" s="40"/>
    </row>
    <row r="641" spans="1:20" ht="15.75">
      <c r="A641" s="13">
        <v>60663</v>
      </c>
      <c r="B641" s="48">
        <f t="shared" si="0"/>
        <v>31</v>
      </c>
      <c r="C641" s="39">
        <v>122.58</v>
      </c>
      <c r="D641" s="39">
        <v>297.94099999999997</v>
      </c>
      <c r="E641" s="45">
        <v>729.47900000000004</v>
      </c>
      <c r="F641" s="39">
        <v>1150</v>
      </c>
      <c r="G641" s="39">
        <v>100</v>
      </c>
      <c r="H641" s="47">
        <v>600</v>
      </c>
      <c r="I641" s="39">
        <v>695</v>
      </c>
      <c r="J641" s="39">
        <v>50</v>
      </c>
      <c r="K641" s="40"/>
      <c r="L641" s="40"/>
      <c r="M641" s="40"/>
      <c r="N641" s="40"/>
      <c r="O641" s="40"/>
      <c r="P641" s="40"/>
      <c r="Q641" s="40"/>
      <c r="R641" s="40"/>
      <c r="S641" s="40"/>
      <c r="T641" s="40"/>
    </row>
    <row r="642" spans="1:20" ht="15.75">
      <c r="A642" s="13">
        <v>60691</v>
      </c>
      <c r="B642" s="48">
        <f t="shared" si="0"/>
        <v>28</v>
      </c>
      <c r="C642" s="39">
        <v>122.58</v>
      </c>
      <c r="D642" s="39">
        <v>297.94099999999997</v>
      </c>
      <c r="E642" s="45">
        <v>729.47900000000004</v>
      </c>
      <c r="F642" s="39">
        <v>1150</v>
      </c>
      <c r="G642" s="39">
        <v>100</v>
      </c>
      <c r="H642" s="47">
        <v>600</v>
      </c>
      <c r="I642" s="39">
        <v>695</v>
      </c>
      <c r="J642" s="39">
        <v>50</v>
      </c>
      <c r="K642" s="40"/>
      <c r="L642" s="40"/>
      <c r="M642" s="40"/>
      <c r="N642" s="40"/>
      <c r="O642" s="40"/>
      <c r="P642" s="40"/>
      <c r="Q642" s="40"/>
      <c r="R642" s="40"/>
      <c r="S642" s="40"/>
      <c r="T642" s="40"/>
    </row>
    <row r="643" spans="1:20" ht="15.75">
      <c r="A643" s="13">
        <v>60722</v>
      </c>
      <c r="B643" s="48">
        <f t="shared" si="0"/>
        <v>31</v>
      </c>
      <c r="C643" s="39">
        <v>122.58</v>
      </c>
      <c r="D643" s="39">
        <v>297.94099999999997</v>
      </c>
      <c r="E643" s="45">
        <v>729.47900000000004</v>
      </c>
      <c r="F643" s="39">
        <v>1150</v>
      </c>
      <c r="G643" s="39">
        <v>100</v>
      </c>
      <c r="H643" s="47">
        <v>600</v>
      </c>
      <c r="I643" s="39">
        <v>695</v>
      </c>
      <c r="J643" s="39">
        <v>50</v>
      </c>
      <c r="K643" s="40"/>
      <c r="L643" s="40"/>
      <c r="M643" s="40"/>
      <c r="N643" s="40"/>
      <c r="O643" s="40"/>
      <c r="P643" s="40"/>
      <c r="Q643" s="40"/>
      <c r="R643" s="40"/>
      <c r="S643" s="40"/>
      <c r="T643" s="40"/>
    </row>
    <row r="644" spans="1:20" ht="15.75">
      <c r="A644" s="13">
        <v>60752</v>
      </c>
      <c r="B644" s="48">
        <f t="shared" si="0"/>
        <v>30</v>
      </c>
      <c r="C644" s="39">
        <v>141.29300000000001</v>
      </c>
      <c r="D644" s="39">
        <v>267.99299999999999</v>
      </c>
      <c r="E644" s="45">
        <v>829.71400000000006</v>
      </c>
      <c r="F644" s="39">
        <v>1239</v>
      </c>
      <c r="G644" s="39">
        <v>100</v>
      </c>
      <c r="H644" s="47">
        <v>600</v>
      </c>
      <c r="I644" s="39">
        <v>695</v>
      </c>
      <c r="J644" s="39">
        <v>50</v>
      </c>
      <c r="K644" s="40"/>
      <c r="L644" s="40"/>
      <c r="M644" s="40"/>
      <c r="N644" s="40"/>
      <c r="O644" s="40"/>
      <c r="P644" s="40"/>
      <c r="Q644" s="40"/>
      <c r="R644" s="40"/>
      <c r="S644" s="40"/>
      <c r="T644" s="40"/>
    </row>
    <row r="645" spans="1:20" ht="15.75">
      <c r="A645" s="13">
        <v>60783</v>
      </c>
      <c r="B645" s="48">
        <f t="shared" si="0"/>
        <v>31</v>
      </c>
      <c r="C645" s="39">
        <v>194.20500000000001</v>
      </c>
      <c r="D645" s="39">
        <v>267.46600000000001</v>
      </c>
      <c r="E645" s="45">
        <v>812.32899999999995</v>
      </c>
      <c r="F645" s="39">
        <v>1274</v>
      </c>
      <c r="G645" s="39">
        <v>75</v>
      </c>
      <c r="H645" s="47">
        <v>600</v>
      </c>
      <c r="I645" s="39">
        <v>695</v>
      </c>
      <c r="J645" s="39">
        <v>50</v>
      </c>
      <c r="K645" s="40"/>
      <c r="L645" s="40"/>
      <c r="M645" s="40"/>
      <c r="N645" s="40"/>
      <c r="O645" s="40"/>
      <c r="P645" s="40"/>
      <c r="Q645" s="40"/>
      <c r="R645" s="40"/>
      <c r="S645" s="40"/>
      <c r="T645" s="40"/>
    </row>
    <row r="646" spans="1:20" ht="15.75">
      <c r="A646" s="13">
        <v>60813</v>
      </c>
      <c r="B646" s="48">
        <f t="shared" si="0"/>
        <v>30</v>
      </c>
      <c r="C646" s="39">
        <v>194.20500000000001</v>
      </c>
      <c r="D646" s="39">
        <v>267.46600000000001</v>
      </c>
      <c r="E646" s="45">
        <v>812.32899999999995</v>
      </c>
      <c r="F646" s="39">
        <v>1274</v>
      </c>
      <c r="G646" s="39">
        <v>50</v>
      </c>
      <c r="H646" s="47">
        <v>600</v>
      </c>
      <c r="I646" s="39">
        <v>695</v>
      </c>
      <c r="J646" s="39">
        <v>50</v>
      </c>
      <c r="K646" s="40"/>
      <c r="L646" s="40"/>
      <c r="M646" s="40"/>
      <c r="N646" s="40"/>
      <c r="O646" s="40"/>
      <c r="P646" s="40"/>
      <c r="Q646" s="40"/>
      <c r="R646" s="40"/>
      <c r="S646" s="40"/>
      <c r="T646" s="40"/>
    </row>
    <row r="647" spans="1:20" ht="15.75">
      <c r="A647" s="13">
        <v>60844</v>
      </c>
      <c r="B647" s="48">
        <f t="shared" si="0"/>
        <v>31</v>
      </c>
      <c r="C647" s="39">
        <v>194.20500000000001</v>
      </c>
      <c r="D647" s="39">
        <v>267.46600000000001</v>
      </c>
      <c r="E647" s="45">
        <v>812.32899999999995</v>
      </c>
      <c r="F647" s="39">
        <v>1274</v>
      </c>
      <c r="G647" s="39">
        <v>50</v>
      </c>
      <c r="H647" s="47">
        <v>600</v>
      </c>
      <c r="I647" s="39">
        <v>695</v>
      </c>
      <c r="J647" s="39">
        <v>0</v>
      </c>
      <c r="K647" s="40"/>
      <c r="L647" s="40"/>
      <c r="M647" s="40"/>
      <c r="N647" s="40"/>
      <c r="O647" s="40"/>
      <c r="P647" s="40"/>
      <c r="Q647" s="40"/>
      <c r="R647" s="40"/>
      <c r="S647" s="40"/>
      <c r="T647" s="40"/>
    </row>
    <row r="648" spans="1:20" ht="15.75">
      <c r="A648" s="13">
        <v>60875</v>
      </c>
      <c r="B648" s="48">
        <f t="shared" si="0"/>
        <v>31</v>
      </c>
      <c r="C648" s="39">
        <v>194.20500000000001</v>
      </c>
      <c r="D648" s="39">
        <v>267.46600000000001</v>
      </c>
      <c r="E648" s="45">
        <v>812.32899999999995</v>
      </c>
      <c r="F648" s="39">
        <v>1274</v>
      </c>
      <c r="G648" s="39">
        <v>50</v>
      </c>
      <c r="H648" s="47">
        <v>600</v>
      </c>
      <c r="I648" s="39">
        <v>695</v>
      </c>
      <c r="J648" s="39">
        <v>0</v>
      </c>
      <c r="K648" s="40"/>
      <c r="L648" s="40"/>
      <c r="M648" s="40"/>
      <c r="N648" s="40"/>
      <c r="O648" s="40"/>
      <c r="P648" s="40"/>
      <c r="Q648" s="40"/>
      <c r="R648" s="40"/>
      <c r="S648" s="40"/>
      <c r="T648" s="40"/>
    </row>
    <row r="649" spans="1:20" ht="15.75">
      <c r="A649" s="13">
        <v>60905</v>
      </c>
      <c r="B649" s="48">
        <f t="shared" si="0"/>
        <v>30</v>
      </c>
      <c r="C649" s="39">
        <v>194.20500000000001</v>
      </c>
      <c r="D649" s="39">
        <v>267.46600000000001</v>
      </c>
      <c r="E649" s="45">
        <v>812.32899999999995</v>
      </c>
      <c r="F649" s="39">
        <v>1274</v>
      </c>
      <c r="G649" s="39">
        <v>50</v>
      </c>
      <c r="H649" s="47">
        <v>600</v>
      </c>
      <c r="I649" s="39">
        <v>695</v>
      </c>
      <c r="J649" s="39">
        <v>0</v>
      </c>
      <c r="K649" s="40"/>
      <c r="L649" s="40"/>
      <c r="M649" s="40"/>
      <c r="N649" s="40"/>
      <c r="O649" s="40"/>
      <c r="P649" s="40"/>
      <c r="Q649" s="40"/>
      <c r="R649" s="40"/>
      <c r="S649" s="40"/>
      <c r="T649" s="40"/>
    </row>
    <row r="650" spans="1:20" ht="15.75">
      <c r="A650" s="13">
        <v>60936</v>
      </c>
      <c r="B650" s="48">
        <f t="shared" si="0"/>
        <v>31</v>
      </c>
      <c r="C650" s="39">
        <v>131.881</v>
      </c>
      <c r="D650" s="39">
        <v>277.16699999999997</v>
      </c>
      <c r="E650" s="45">
        <v>829.952</v>
      </c>
      <c r="F650" s="39">
        <v>1239</v>
      </c>
      <c r="G650" s="39">
        <v>75</v>
      </c>
      <c r="H650" s="47">
        <v>600</v>
      </c>
      <c r="I650" s="39">
        <v>695</v>
      </c>
      <c r="J650" s="39">
        <v>0</v>
      </c>
      <c r="K650" s="40"/>
      <c r="L650" s="40"/>
      <c r="M650" s="40"/>
      <c r="N650" s="40"/>
      <c r="O650" s="40"/>
      <c r="P650" s="40"/>
      <c r="Q650" s="40"/>
      <c r="R650" s="40"/>
      <c r="S650" s="40"/>
      <c r="T650" s="40"/>
    </row>
    <row r="651" spans="1:20" ht="15.75">
      <c r="A651" s="13">
        <v>60966</v>
      </c>
      <c r="B651" s="48">
        <f t="shared" si="0"/>
        <v>30</v>
      </c>
      <c r="C651" s="39">
        <v>122.58</v>
      </c>
      <c r="D651" s="39">
        <v>297.94099999999997</v>
      </c>
      <c r="E651" s="45">
        <v>729.47900000000004</v>
      </c>
      <c r="F651" s="39">
        <v>1150</v>
      </c>
      <c r="G651" s="39">
        <v>100</v>
      </c>
      <c r="H651" s="47">
        <v>600</v>
      </c>
      <c r="I651" s="39">
        <v>695</v>
      </c>
      <c r="J651" s="39">
        <v>50</v>
      </c>
      <c r="K651" s="40"/>
      <c r="L651" s="40"/>
      <c r="M651" s="40"/>
      <c r="N651" s="40"/>
      <c r="O651" s="40"/>
      <c r="P651" s="40"/>
      <c r="Q651" s="40"/>
      <c r="R651" s="40"/>
      <c r="S651" s="40"/>
      <c r="T651" s="40"/>
    </row>
    <row r="652" spans="1:20" ht="15.75">
      <c r="A652" s="13">
        <v>60997</v>
      </c>
      <c r="B652" s="48">
        <f t="shared" si="0"/>
        <v>31</v>
      </c>
      <c r="C652" s="39">
        <v>122.58</v>
      </c>
      <c r="D652" s="39">
        <v>297.94099999999997</v>
      </c>
      <c r="E652" s="45">
        <v>729.47900000000004</v>
      </c>
      <c r="F652" s="39">
        <v>1150</v>
      </c>
      <c r="G652" s="39">
        <v>100</v>
      </c>
      <c r="H652" s="47">
        <v>600</v>
      </c>
      <c r="I652" s="39">
        <v>695</v>
      </c>
      <c r="J652" s="39">
        <v>50</v>
      </c>
      <c r="K652" s="40"/>
      <c r="L652" s="40"/>
      <c r="M652" s="40"/>
      <c r="N652" s="40"/>
      <c r="O652" s="40"/>
      <c r="P652" s="40"/>
      <c r="Q652" s="40"/>
      <c r="R652" s="40"/>
      <c r="S652" s="40"/>
      <c r="T652" s="40"/>
    </row>
    <row r="653" spans="1:20" ht="15.75">
      <c r="A653" s="13">
        <v>61028</v>
      </c>
      <c r="B653" s="48">
        <f t="shared" si="0"/>
        <v>31</v>
      </c>
      <c r="C653" s="39">
        <v>122.58</v>
      </c>
      <c r="D653" s="39">
        <v>297.94099999999997</v>
      </c>
      <c r="E653" s="45">
        <v>729.47900000000004</v>
      </c>
      <c r="F653" s="39">
        <v>1150</v>
      </c>
      <c r="G653" s="39">
        <v>100</v>
      </c>
      <c r="H653" s="47">
        <v>600</v>
      </c>
      <c r="I653" s="39">
        <v>695</v>
      </c>
      <c r="J653" s="39">
        <v>50</v>
      </c>
      <c r="K653" s="40"/>
      <c r="L653" s="40"/>
      <c r="M653" s="40"/>
      <c r="N653" s="40"/>
      <c r="O653" s="40"/>
      <c r="P653" s="40"/>
      <c r="Q653" s="40"/>
      <c r="R653" s="40"/>
      <c r="S653" s="40"/>
      <c r="T653" s="40"/>
    </row>
    <row r="654" spans="1:20" ht="15.75">
      <c r="A654" s="13">
        <v>61056</v>
      </c>
      <c r="B654" s="48">
        <f t="shared" si="0"/>
        <v>28</v>
      </c>
      <c r="C654" s="39">
        <v>122.58</v>
      </c>
      <c r="D654" s="39">
        <v>297.94099999999997</v>
      </c>
      <c r="E654" s="45">
        <v>729.47900000000004</v>
      </c>
      <c r="F654" s="39">
        <v>1150</v>
      </c>
      <c r="G654" s="39">
        <v>100</v>
      </c>
      <c r="H654" s="47">
        <v>600</v>
      </c>
      <c r="I654" s="39">
        <v>695</v>
      </c>
      <c r="J654" s="39">
        <v>50</v>
      </c>
      <c r="K654" s="40"/>
      <c r="L654" s="40"/>
      <c r="M654" s="40"/>
      <c r="N654" s="40"/>
      <c r="O654" s="40"/>
      <c r="P654" s="40"/>
      <c r="Q654" s="40"/>
      <c r="R654" s="40"/>
      <c r="S654" s="40"/>
      <c r="T654" s="40"/>
    </row>
    <row r="655" spans="1:20" ht="15.75">
      <c r="A655" s="13">
        <v>61087</v>
      </c>
      <c r="B655" s="48">
        <f t="shared" si="0"/>
        <v>31</v>
      </c>
      <c r="C655" s="39">
        <v>122.58</v>
      </c>
      <c r="D655" s="39">
        <v>297.94099999999997</v>
      </c>
      <c r="E655" s="45">
        <v>729.47900000000004</v>
      </c>
      <c r="F655" s="39">
        <v>1150</v>
      </c>
      <c r="G655" s="39">
        <v>100</v>
      </c>
      <c r="H655" s="47">
        <v>600</v>
      </c>
      <c r="I655" s="39">
        <v>695</v>
      </c>
      <c r="J655" s="39">
        <v>50</v>
      </c>
      <c r="K655" s="40"/>
      <c r="L655" s="40"/>
      <c r="M655" s="40"/>
      <c r="N655" s="40"/>
      <c r="O655" s="40"/>
      <c r="P655" s="40"/>
      <c r="Q655" s="40"/>
      <c r="R655" s="40"/>
      <c r="S655" s="40"/>
      <c r="T655" s="40"/>
    </row>
    <row r="656" spans="1:20" ht="15.75">
      <c r="A656" s="13">
        <v>61117</v>
      </c>
      <c r="B656" s="48">
        <f t="shared" si="0"/>
        <v>30</v>
      </c>
      <c r="C656" s="39">
        <v>141.29300000000001</v>
      </c>
      <c r="D656" s="39">
        <v>267.99299999999999</v>
      </c>
      <c r="E656" s="45">
        <v>829.71400000000006</v>
      </c>
      <c r="F656" s="39">
        <v>1239</v>
      </c>
      <c r="G656" s="39">
        <v>100</v>
      </c>
      <c r="H656" s="47">
        <v>600</v>
      </c>
      <c r="I656" s="39">
        <v>695</v>
      </c>
      <c r="J656" s="39">
        <v>50</v>
      </c>
      <c r="K656" s="40"/>
      <c r="L656" s="40"/>
      <c r="M656" s="40"/>
      <c r="N656" s="40"/>
      <c r="O656" s="40"/>
      <c r="P656" s="40"/>
      <c r="Q656" s="40"/>
      <c r="R656" s="40"/>
      <c r="S656" s="40"/>
      <c r="T656" s="40"/>
    </row>
    <row r="657" spans="1:20" ht="15.75">
      <c r="A657" s="13">
        <v>61148</v>
      </c>
      <c r="B657" s="48">
        <f t="shared" ref="B657:B720" si="1">EOMONTH(A657,0)-EOMONTH(A657,-1)</f>
        <v>31</v>
      </c>
      <c r="C657" s="39">
        <v>194.20500000000001</v>
      </c>
      <c r="D657" s="39">
        <v>267.46600000000001</v>
      </c>
      <c r="E657" s="45">
        <v>812.32899999999995</v>
      </c>
      <c r="F657" s="39">
        <v>1274</v>
      </c>
      <c r="G657" s="39">
        <v>75</v>
      </c>
      <c r="H657" s="47">
        <v>600</v>
      </c>
      <c r="I657" s="39">
        <v>695</v>
      </c>
      <c r="J657" s="39">
        <v>50</v>
      </c>
      <c r="K657" s="40"/>
      <c r="L657" s="40"/>
      <c r="M657" s="40"/>
      <c r="N657" s="40"/>
      <c r="O657" s="40"/>
      <c r="P657" s="40"/>
      <c r="Q657" s="40"/>
      <c r="R657" s="40"/>
      <c r="S657" s="40"/>
      <c r="T657" s="40"/>
    </row>
    <row r="658" spans="1:20" ht="15.75">
      <c r="A658" s="13">
        <v>61178</v>
      </c>
      <c r="B658" s="48">
        <f t="shared" si="1"/>
        <v>30</v>
      </c>
      <c r="C658" s="39">
        <v>194.20500000000001</v>
      </c>
      <c r="D658" s="39">
        <v>267.46600000000001</v>
      </c>
      <c r="E658" s="45">
        <v>812.32899999999995</v>
      </c>
      <c r="F658" s="39">
        <v>1274</v>
      </c>
      <c r="G658" s="39">
        <v>50</v>
      </c>
      <c r="H658" s="47">
        <v>600</v>
      </c>
      <c r="I658" s="39">
        <v>695</v>
      </c>
      <c r="J658" s="39">
        <v>50</v>
      </c>
      <c r="K658" s="40"/>
      <c r="L658" s="40"/>
      <c r="M658" s="40"/>
      <c r="N658" s="40"/>
      <c r="O658" s="40"/>
      <c r="P658" s="40"/>
      <c r="Q658" s="40"/>
      <c r="R658" s="40"/>
      <c r="S658" s="40"/>
      <c r="T658" s="40"/>
    </row>
    <row r="659" spans="1:20" ht="15.75">
      <c r="A659" s="13">
        <v>61209</v>
      </c>
      <c r="B659" s="48">
        <f t="shared" si="1"/>
        <v>31</v>
      </c>
      <c r="C659" s="39">
        <v>194.20500000000001</v>
      </c>
      <c r="D659" s="39">
        <v>267.46600000000001</v>
      </c>
      <c r="E659" s="45">
        <v>812.32899999999995</v>
      </c>
      <c r="F659" s="39">
        <v>1274</v>
      </c>
      <c r="G659" s="39">
        <v>50</v>
      </c>
      <c r="H659" s="47">
        <v>600</v>
      </c>
      <c r="I659" s="39">
        <v>695</v>
      </c>
      <c r="J659" s="39">
        <v>0</v>
      </c>
      <c r="K659" s="40"/>
      <c r="L659" s="40"/>
      <c r="M659" s="40"/>
      <c r="N659" s="40"/>
      <c r="O659" s="40"/>
      <c r="P659" s="40"/>
      <c r="Q659" s="40"/>
      <c r="R659" s="40"/>
      <c r="S659" s="40"/>
      <c r="T659" s="40"/>
    </row>
    <row r="660" spans="1:20" ht="15.75">
      <c r="A660" s="13">
        <v>61240</v>
      </c>
      <c r="B660" s="48">
        <f t="shared" si="1"/>
        <v>31</v>
      </c>
      <c r="C660" s="39">
        <v>194.20500000000001</v>
      </c>
      <c r="D660" s="39">
        <v>267.46600000000001</v>
      </c>
      <c r="E660" s="45">
        <v>812.32899999999995</v>
      </c>
      <c r="F660" s="39">
        <v>1274</v>
      </c>
      <c r="G660" s="39">
        <v>50</v>
      </c>
      <c r="H660" s="47">
        <v>600</v>
      </c>
      <c r="I660" s="39">
        <v>695</v>
      </c>
      <c r="J660" s="39">
        <v>0</v>
      </c>
      <c r="K660" s="40"/>
      <c r="L660" s="40"/>
      <c r="M660" s="40"/>
      <c r="N660" s="40"/>
      <c r="O660" s="40"/>
      <c r="P660" s="40"/>
      <c r="Q660" s="40"/>
      <c r="R660" s="40"/>
      <c r="S660" s="40"/>
      <c r="T660" s="40"/>
    </row>
    <row r="661" spans="1:20" ht="15.75">
      <c r="A661" s="13">
        <v>61270</v>
      </c>
      <c r="B661" s="48">
        <f t="shared" si="1"/>
        <v>30</v>
      </c>
      <c r="C661" s="39">
        <v>194.20500000000001</v>
      </c>
      <c r="D661" s="39">
        <v>267.46600000000001</v>
      </c>
      <c r="E661" s="45">
        <v>812.32899999999995</v>
      </c>
      <c r="F661" s="39">
        <v>1274</v>
      </c>
      <c r="G661" s="39">
        <v>50</v>
      </c>
      <c r="H661" s="47">
        <v>600</v>
      </c>
      <c r="I661" s="39">
        <v>695</v>
      </c>
      <c r="J661" s="39">
        <v>0</v>
      </c>
      <c r="K661" s="40"/>
      <c r="L661" s="40"/>
      <c r="M661" s="40"/>
      <c r="N661" s="40"/>
      <c r="O661" s="40"/>
      <c r="P661" s="40"/>
      <c r="Q661" s="40"/>
      <c r="R661" s="40"/>
      <c r="S661" s="40"/>
      <c r="T661" s="40"/>
    </row>
    <row r="662" spans="1:20" ht="15.75">
      <c r="A662" s="13">
        <v>61301</v>
      </c>
      <c r="B662" s="48">
        <f t="shared" si="1"/>
        <v>31</v>
      </c>
      <c r="C662" s="39">
        <v>131.881</v>
      </c>
      <c r="D662" s="39">
        <v>277.16699999999997</v>
      </c>
      <c r="E662" s="45">
        <v>829.952</v>
      </c>
      <c r="F662" s="39">
        <v>1239</v>
      </c>
      <c r="G662" s="39">
        <v>75</v>
      </c>
      <c r="H662" s="47">
        <v>600</v>
      </c>
      <c r="I662" s="39">
        <v>695</v>
      </c>
      <c r="J662" s="39">
        <v>0</v>
      </c>
      <c r="K662" s="40"/>
      <c r="L662" s="40"/>
      <c r="M662" s="40"/>
      <c r="N662" s="40"/>
      <c r="O662" s="40"/>
      <c r="P662" s="40"/>
      <c r="Q662" s="40"/>
      <c r="R662" s="40"/>
      <c r="S662" s="40"/>
      <c r="T662" s="40"/>
    </row>
    <row r="663" spans="1:20" ht="15.75">
      <c r="A663" s="13">
        <v>61331</v>
      </c>
      <c r="B663" s="48">
        <f t="shared" si="1"/>
        <v>30</v>
      </c>
      <c r="C663" s="39">
        <v>122.58</v>
      </c>
      <c r="D663" s="39">
        <v>297.94099999999997</v>
      </c>
      <c r="E663" s="45">
        <v>729.47900000000004</v>
      </c>
      <c r="F663" s="39">
        <v>1150</v>
      </c>
      <c r="G663" s="39">
        <v>100</v>
      </c>
      <c r="H663" s="47">
        <v>600</v>
      </c>
      <c r="I663" s="39">
        <v>695</v>
      </c>
      <c r="J663" s="39">
        <v>50</v>
      </c>
      <c r="K663" s="40"/>
      <c r="L663" s="40"/>
      <c r="M663" s="40"/>
      <c r="N663" s="40"/>
      <c r="O663" s="40"/>
      <c r="P663" s="40"/>
      <c r="Q663" s="40"/>
      <c r="R663" s="40"/>
      <c r="S663" s="40"/>
      <c r="T663" s="40"/>
    </row>
    <row r="664" spans="1:20" ht="15.75">
      <c r="A664" s="13">
        <v>61362</v>
      </c>
      <c r="B664" s="48">
        <f t="shared" si="1"/>
        <v>31</v>
      </c>
      <c r="C664" s="39">
        <v>122.58</v>
      </c>
      <c r="D664" s="39">
        <v>297.94099999999997</v>
      </c>
      <c r="E664" s="45">
        <v>729.47900000000004</v>
      </c>
      <c r="F664" s="39">
        <v>1150</v>
      </c>
      <c r="G664" s="39">
        <v>100</v>
      </c>
      <c r="H664" s="47">
        <v>600</v>
      </c>
      <c r="I664" s="39">
        <v>695</v>
      </c>
      <c r="J664" s="39">
        <v>50</v>
      </c>
      <c r="K664" s="40"/>
      <c r="L664" s="40"/>
      <c r="M664" s="40"/>
      <c r="N664" s="40"/>
      <c r="O664" s="40"/>
      <c r="P664" s="40"/>
      <c r="Q664" s="40"/>
      <c r="R664" s="40"/>
      <c r="S664" s="40"/>
      <c r="T664" s="40"/>
    </row>
    <row r="665" spans="1:20" ht="15.75">
      <c r="A665" s="13">
        <v>61393</v>
      </c>
      <c r="B665" s="48">
        <f t="shared" si="1"/>
        <v>31</v>
      </c>
      <c r="C665" s="39">
        <v>122.58</v>
      </c>
      <c r="D665" s="39">
        <v>297.94099999999997</v>
      </c>
      <c r="E665" s="45">
        <v>729.47900000000004</v>
      </c>
      <c r="F665" s="39">
        <v>1150</v>
      </c>
      <c r="G665" s="39">
        <v>100</v>
      </c>
      <c r="H665" s="47">
        <v>600</v>
      </c>
      <c r="I665" s="39">
        <v>695</v>
      </c>
      <c r="J665" s="39">
        <v>50</v>
      </c>
      <c r="K665" s="40"/>
      <c r="L665" s="40"/>
      <c r="M665" s="40"/>
      <c r="N665" s="40"/>
      <c r="O665" s="40"/>
      <c r="P665" s="40"/>
      <c r="Q665" s="40"/>
      <c r="R665" s="40"/>
      <c r="S665" s="40"/>
      <c r="T665" s="40"/>
    </row>
    <row r="666" spans="1:20" ht="15.75">
      <c r="A666" s="13">
        <v>61422</v>
      </c>
      <c r="B666" s="48">
        <f t="shared" si="1"/>
        <v>29</v>
      </c>
      <c r="C666" s="39">
        <v>122.58</v>
      </c>
      <c r="D666" s="39">
        <v>297.94099999999997</v>
      </c>
      <c r="E666" s="45">
        <v>729.47900000000004</v>
      </c>
      <c r="F666" s="39">
        <v>1150</v>
      </c>
      <c r="G666" s="39">
        <v>100</v>
      </c>
      <c r="H666" s="47">
        <v>600</v>
      </c>
      <c r="I666" s="39">
        <v>695</v>
      </c>
      <c r="J666" s="39">
        <v>50</v>
      </c>
      <c r="K666" s="40"/>
      <c r="L666" s="40"/>
      <c r="M666" s="40"/>
      <c r="N666" s="40"/>
      <c r="O666" s="40"/>
      <c r="P666" s="40"/>
      <c r="Q666" s="40"/>
      <c r="R666" s="40"/>
      <c r="S666" s="40"/>
      <c r="T666" s="40"/>
    </row>
    <row r="667" spans="1:20" ht="15.75">
      <c r="A667" s="13">
        <v>61453</v>
      </c>
      <c r="B667" s="48">
        <f t="shared" si="1"/>
        <v>31</v>
      </c>
      <c r="C667" s="39">
        <v>122.58</v>
      </c>
      <c r="D667" s="39">
        <v>297.94099999999997</v>
      </c>
      <c r="E667" s="45">
        <v>729.47900000000004</v>
      </c>
      <c r="F667" s="39">
        <v>1150</v>
      </c>
      <c r="G667" s="39">
        <v>100</v>
      </c>
      <c r="H667" s="47">
        <v>600</v>
      </c>
      <c r="I667" s="39">
        <v>695</v>
      </c>
      <c r="J667" s="39">
        <v>50</v>
      </c>
      <c r="K667" s="40"/>
      <c r="L667" s="40"/>
      <c r="M667" s="40"/>
      <c r="N667" s="40"/>
      <c r="O667" s="40"/>
      <c r="P667" s="40"/>
      <c r="Q667" s="40"/>
      <c r="R667" s="40"/>
      <c r="S667" s="40"/>
      <c r="T667" s="40"/>
    </row>
    <row r="668" spans="1:20" ht="15.75">
      <c r="A668" s="13">
        <v>61483</v>
      </c>
      <c r="B668" s="48">
        <f t="shared" si="1"/>
        <v>30</v>
      </c>
      <c r="C668" s="39">
        <v>141.29300000000001</v>
      </c>
      <c r="D668" s="39">
        <v>267.99299999999999</v>
      </c>
      <c r="E668" s="45">
        <v>829.71400000000006</v>
      </c>
      <c r="F668" s="39">
        <v>1239</v>
      </c>
      <c r="G668" s="39">
        <v>100</v>
      </c>
      <c r="H668" s="47">
        <v>600</v>
      </c>
      <c r="I668" s="39">
        <v>695</v>
      </c>
      <c r="J668" s="39">
        <v>50</v>
      </c>
      <c r="K668" s="40"/>
      <c r="L668" s="40"/>
      <c r="M668" s="40"/>
      <c r="N668" s="40"/>
      <c r="O668" s="40"/>
      <c r="P668" s="40"/>
      <c r="Q668" s="40"/>
      <c r="R668" s="40"/>
      <c r="S668" s="40"/>
      <c r="T668" s="40"/>
    </row>
    <row r="669" spans="1:20" ht="15.75">
      <c r="A669" s="13">
        <v>61514</v>
      </c>
      <c r="B669" s="48">
        <f t="shared" si="1"/>
        <v>31</v>
      </c>
      <c r="C669" s="39">
        <v>194.20500000000001</v>
      </c>
      <c r="D669" s="39">
        <v>267.46600000000001</v>
      </c>
      <c r="E669" s="45">
        <v>812.32899999999995</v>
      </c>
      <c r="F669" s="39">
        <v>1274</v>
      </c>
      <c r="G669" s="39">
        <v>75</v>
      </c>
      <c r="H669" s="47">
        <v>600</v>
      </c>
      <c r="I669" s="39">
        <v>695</v>
      </c>
      <c r="J669" s="39">
        <v>50</v>
      </c>
      <c r="K669" s="40"/>
      <c r="L669" s="40"/>
      <c r="M669" s="40"/>
      <c r="N669" s="40"/>
      <c r="O669" s="40"/>
      <c r="P669" s="40"/>
      <c r="Q669" s="40"/>
      <c r="R669" s="40"/>
      <c r="S669" s="40"/>
      <c r="T669" s="40"/>
    </row>
    <row r="670" spans="1:20" ht="15.75">
      <c r="A670" s="13">
        <v>61544</v>
      </c>
      <c r="B670" s="48">
        <f t="shared" si="1"/>
        <v>30</v>
      </c>
      <c r="C670" s="39">
        <v>194.20500000000001</v>
      </c>
      <c r="D670" s="39">
        <v>267.46600000000001</v>
      </c>
      <c r="E670" s="45">
        <v>812.32899999999995</v>
      </c>
      <c r="F670" s="39">
        <v>1274</v>
      </c>
      <c r="G670" s="39">
        <v>50</v>
      </c>
      <c r="H670" s="47">
        <v>600</v>
      </c>
      <c r="I670" s="39">
        <v>695</v>
      </c>
      <c r="J670" s="39">
        <v>50</v>
      </c>
      <c r="K670" s="40"/>
      <c r="L670" s="40"/>
      <c r="M670" s="40"/>
      <c r="N670" s="40"/>
      <c r="O670" s="40"/>
      <c r="P670" s="40"/>
      <c r="Q670" s="40"/>
      <c r="R670" s="40"/>
      <c r="S670" s="40"/>
      <c r="T670" s="40"/>
    </row>
    <row r="671" spans="1:20" ht="15.75">
      <c r="A671" s="13">
        <v>61575</v>
      </c>
      <c r="B671" s="48">
        <f t="shared" si="1"/>
        <v>31</v>
      </c>
      <c r="C671" s="39">
        <v>194.20500000000001</v>
      </c>
      <c r="D671" s="39">
        <v>267.46600000000001</v>
      </c>
      <c r="E671" s="45">
        <v>812.32899999999995</v>
      </c>
      <c r="F671" s="39">
        <v>1274</v>
      </c>
      <c r="G671" s="39">
        <v>50</v>
      </c>
      <c r="H671" s="47">
        <v>600</v>
      </c>
      <c r="I671" s="39">
        <v>695</v>
      </c>
      <c r="J671" s="39">
        <v>0</v>
      </c>
      <c r="K671" s="40"/>
      <c r="L671" s="40"/>
      <c r="M671" s="40"/>
      <c r="N671" s="40"/>
      <c r="O671" s="40"/>
      <c r="P671" s="40"/>
      <c r="Q671" s="40"/>
      <c r="R671" s="40"/>
      <c r="S671" s="40"/>
      <c r="T671" s="40"/>
    </row>
    <row r="672" spans="1:20" ht="15.75">
      <c r="A672" s="13">
        <v>61606</v>
      </c>
      <c r="B672" s="48">
        <f t="shared" si="1"/>
        <v>31</v>
      </c>
      <c r="C672" s="39">
        <v>194.20500000000001</v>
      </c>
      <c r="D672" s="39">
        <v>267.46600000000001</v>
      </c>
      <c r="E672" s="45">
        <v>812.32899999999995</v>
      </c>
      <c r="F672" s="39">
        <v>1274</v>
      </c>
      <c r="G672" s="39">
        <v>50</v>
      </c>
      <c r="H672" s="47">
        <v>600</v>
      </c>
      <c r="I672" s="39">
        <v>695</v>
      </c>
      <c r="J672" s="39">
        <v>0</v>
      </c>
      <c r="K672" s="40"/>
      <c r="L672" s="40"/>
      <c r="M672" s="40"/>
      <c r="N672" s="40"/>
      <c r="O672" s="40"/>
      <c r="P672" s="40"/>
      <c r="Q672" s="40"/>
      <c r="R672" s="40"/>
      <c r="S672" s="40"/>
      <c r="T672" s="40"/>
    </row>
    <row r="673" spans="1:20" ht="15.75">
      <c r="A673" s="13">
        <v>61636</v>
      </c>
      <c r="B673" s="48">
        <f t="shared" si="1"/>
        <v>30</v>
      </c>
      <c r="C673" s="39">
        <v>194.20500000000001</v>
      </c>
      <c r="D673" s="39">
        <v>267.46600000000001</v>
      </c>
      <c r="E673" s="45">
        <v>812.32899999999995</v>
      </c>
      <c r="F673" s="39">
        <v>1274</v>
      </c>
      <c r="G673" s="39">
        <v>50</v>
      </c>
      <c r="H673" s="47">
        <v>600</v>
      </c>
      <c r="I673" s="39">
        <v>695</v>
      </c>
      <c r="J673" s="39">
        <v>0</v>
      </c>
      <c r="K673" s="40"/>
      <c r="L673" s="40"/>
      <c r="M673" s="40"/>
      <c r="N673" s="40"/>
      <c r="O673" s="40"/>
      <c r="P673" s="40"/>
      <c r="Q673" s="40"/>
      <c r="R673" s="40"/>
      <c r="S673" s="40"/>
      <c r="T673" s="40"/>
    </row>
    <row r="674" spans="1:20" ht="15.75">
      <c r="A674" s="13">
        <v>61667</v>
      </c>
      <c r="B674" s="48">
        <f t="shared" si="1"/>
        <v>31</v>
      </c>
      <c r="C674" s="39">
        <v>131.881</v>
      </c>
      <c r="D674" s="39">
        <v>277.16699999999997</v>
      </c>
      <c r="E674" s="45">
        <v>829.952</v>
      </c>
      <c r="F674" s="39">
        <v>1239</v>
      </c>
      <c r="G674" s="39">
        <v>75</v>
      </c>
      <c r="H674" s="47">
        <v>600</v>
      </c>
      <c r="I674" s="39">
        <v>695</v>
      </c>
      <c r="J674" s="39">
        <v>0</v>
      </c>
      <c r="K674" s="40"/>
      <c r="L674" s="40"/>
      <c r="M674" s="40"/>
      <c r="N674" s="40"/>
      <c r="O674" s="40"/>
      <c r="P674" s="40"/>
      <c r="Q674" s="40"/>
      <c r="R674" s="40"/>
      <c r="S674" s="40"/>
      <c r="T674" s="40"/>
    </row>
    <row r="675" spans="1:20" ht="15.75">
      <c r="A675" s="13">
        <v>61697</v>
      </c>
      <c r="B675" s="48">
        <f t="shared" si="1"/>
        <v>30</v>
      </c>
      <c r="C675" s="39">
        <v>122.58</v>
      </c>
      <c r="D675" s="39">
        <v>297.94099999999997</v>
      </c>
      <c r="E675" s="45">
        <v>729.47900000000004</v>
      </c>
      <c r="F675" s="39">
        <v>1150</v>
      </c>
      <c r="G675" s="39">
        <v>100</v>
      </c>
      <c r="H675" s="47">
        <v>600</v>
      </c>
      <c r="I675" s="39">
        <v>695</v>
      </c>
      <c r="J675" s="39">
        <v>50</v>
      </c>
      <c r="K675" s="40"/>
      <c r="L675" s="40"/>
      <c r="M675" s="40"/>
      <c r="N675" s="40"/>
      <c r="O675" s="40"/>
      <c r="P675" s="40"/>
      <c r="Q675" s="40"/>
      <c r="R675" s="40"/>
      <c r="S675" s="40"/>
      <c r="T675" s="40"/>
    </row>
    <row r="676" spans="1:20" ht="15.75">
      <c r="A676" s="13">
        <v>61728</v>
      </c>
      <c r="B676" s="48">
        <f t="shared" si="1"/>
        <v>31</v>
      </c>
      <c r="C676" s="39">
        <v>122.58</v>
      </c>
      <c r="D676" s="39">
        <v>297.94099999999997</v>
      </c>
      <c r="E676" s="45">
        <v>729.47900000000004</v>
      </c>
      <c r="F676" s="39">
        <v>1150</v>
      </c>
      <c r="G676" s="39">
        <v>100</v>
      </c>
      <c r="H676" s="47">
        <v>600</v>
      </c>
      <c r="I676" s="39">
        <v>695</v>
      </c>
      <c r="J676" s="39">
        <v>50</v>
      </c>
      <c r="K676" s="40"/>
      <c r="L676" s="40"/>
      <c r="M676" s="40"/>
      <c r="N676" s="40"/>
      <c r="O676" s="40"/>
      <c r="P676" s="40"/>
      <c r="Q676" s="40"/>
      <c r="R676" s="40"/>
      <c r="S676" s="40"/>
      <c r="T676" s="40"/>
    </row>
    <row r="677" spans="1:20" ht="15.75">
      <c r="A677" s="13">
        <v>61759</v>
      </c>
      <c r="B677" s="48">
        <f t="shared" si="1"/>
        <v>31</v>
      </c>
      <c r="C677" s="39">
        <v>122.58</v>
      </c>
      <c r="D677" s="39">
        <v>297.94099999999997</v>
      </c>
      <c r="E677" s="45">
        <v>729.47900000000004</v>
      </c>
      <c r="F677" s="39">
        <v>1150</v>
      </c>
      <c r="G677" s="39">
        <v>100</v>
      </c>
      <c r="H677" s="47">
        <v>600</v>
      </c>
      <c r="I677" s="39">
        <v>695</v>
      </c>
      <c r="J677" s="39">
        <v>50</v>
      </c>
      <c r="K677" s="40"/>
      <c r="L677" s="40"/>
      <c r="M677" s="40"/>
      <c r="N677" s="40"/>
      <c r="O677" s="40"/>
      <c r="P677" s="40"/>
      <c r="Q677" s="40"/>
      <c r="R677" s="40"/>
      <c r="S677" s="40"/>
      <c r="T677" s="40"/>
    </row>
    <row r="678" spans="1:20" ht="15.75">
      <c r="A678" s="13">
        <v>61787</v>
      </c>
      <c r="B678" s="48">
        <f t="shared" si="1"/>
        <v>28</v>
      </c>
      <c r="C678" s="39">
        <v>122.58</v>
      </c>
      <c r="D678" s="39">
        <v>297.94099999999997</v>
      </c>
      <c r="E678" s="45">
        <v>729.47900000000004</v>
      </c>
      <c r="F678" s="39">
        <v>1150</v>
      </c>
      <c r="G678" s="39">
        <v>100</v>
      </c>
      <c r="H678" s="47">
        <v>600</v>
      </c>
      <c r="I678" s="39">
        <v>695</v>
      </c>
      <c r="J678" s="39">
        <v>50</v>
      </c>
      <c r="K678" s="40"/>
      <c r="L678" s="40"/>
      <c r="M678" s="40"/>
      <c r="N678" s="40"/>
      <c r="O678" s="40"/>
      <c r="P678" s="40"/>
      <c r="Q678" s="40"/>
      <c r="R678" s="40"/>
      <c r="S678" s="40"/>
      <c r="T678" s="40"/>
    </row>
    <row r="679" spans="1:20" ht="15.75">
      <c r="A679" s="13">
        <v>61818</v>
      </c>
      <c r="B679" s="48">
        <f t="shared" si="1"/>
        <v>31</v>
      </c>
      <c r="C679" s="39">
        <v>122.58</v>
      </c>
      <c r="D679" s="39">
        <v>297.94099999999997</v>
      </c>
      <c r="E679" s="45">
        <v>729.47900000000004</v>
      </c>
      <c r="F679" s="39">
        <v>1150</v>
      </c>
      <c r="G679" s="39">
        <v>100</v>
      </c>
      <c r="H679" s="47">
        <v>600</v>
      </c>
      <c r="I679" s="39">
        <v>695</v>
      </c>
      <c r="J679" s="39">
        <v>50</v>
      </c>
      <c r="K679" s="40"/>
      <c r="L679" s="40"/>
      <c r="M679" s="40"/>
      <c r="N679" s="40"/>
      <c r="O679" s="40"/>
      <c r="P679" s="40"/>
      <c r="Q679" s="40"/>
      <c r="R679" s="40"/>
      <c r="S679" s="40"/>
      <c r="T679" s="40"/>
    </row>
    <row r="680" spans="1:20" ht="15.75">
      <c r="A680" s="13">
        <v>61848</v>
      </c>
      <c r="B680" s="48">
        <f t="shared" si="1"/>
        <v>30</v>
      </c>
      <c r="C680" s="39">
        <v>141.29300000000001</v>
      </c>
      <c r="D680" s="39">
        <v>267.99299999999999</v>
      </c>
      <c r="E680" s="45">
        <v>829.71400000000006</v>
      </c>
      <c r="F680" s="39">
        <v>1239</v>
      </c>
      <c r="G680" s="39">
        <v>100</v>
      </c>
      <c r="H680" s="47">
        <v>600</v>
      </c>
      <c r="I680" s="39">
        <v>695</v>
      </c>
      <c r="J680" s="39">
        <v>50</v>
      </c>
      <c r="K680" s="40"/>
      <c r="L680" s="40"/>
      <c r="M680" s="40"/>
      <c r="N680" s="40"/>
      <c r="O680" s="40"/>
      <c r="P680" s="40"/>
      <c r="Q680" s="40"/>
      <c r="R680" s="40"/>
      <c r="S680" s="40"/>
      <c r="T680" s="40"/>
    </row>
    <row r="681" spans="1:20" ht="15.75">
      <c r="A681" s="13">
        <v>61879</v>
      </c>
      <c r="B681" s="48">
        <f t="shared" si="1"/>
        <v>31</v>
      </c>
      <c r="C681" s="39">
        <v>194.20500000000001</v>
      </c>
      <c r="D681" s="39">
        <v>267.46600000000001</v>
      </c>
      <c r="E681" s="45">
        <v>812.32899999999995</v>
      </c>
      <c r="F681" s="39">
        <v>1274</v>
      </c>
      <c r="G681" s="39">
        <v>75</v>
      </c>
      <c r="H681" s="47">
        <v>600</v>
      </c>
      <c r="I681" s="39">
        <v>695</v>
      </c>
      <c r="J681" s="39">
        <v>50</v>
      </c>
      <c r="K681" s="40"/>
      <c r="L681" s="40"/>
      <c r="M681" s="40"/>
      <c r="N681" s="40"/>
      <c r="O681" s="40"/>
      <c r="P681" s="40"/>
      <c r="Q681" s="40"/>
      <c r="R681" s="40"/>
      <c r="S681" s="40"/>
      <c r="T681" s="40"/>
    </row>
    <row r="682" spans="1:20" ht="15.75">
      <c r="A682" s="13">
        <v>61909</v>
      </c>
      <c r="B682" s="48">
        <f t="shared" si="1"/>
        <v>30</v>
      </c>
      <c r="C682" s="39">
        <v>194.20500000000001</v>
      </c>
      <c r="D682" s="39">
        <v>267.46600000000001</v>
      </c>
      <c r="E682" s="45">
        <v>812.32899999999995</v>
      </c>
      <c r="F682" s="39">
        <v>1274</v>
      </c>
      <c r="G682" s="39">
        <v>50</v>
      </c>
      <c r="H682" s="47">
        <v>600</v>
      </c>
      <c r="I682" s="39">
        <v>695</v>
      </c>
      <c r="J682" s="39">
        <v>50</v>
      </c>
      <c r="K682" s="40"/>
      <c r="L682" s="40"/>
      <c r="M682" s="40"/>
      <c r="N682" s="40"/>
      <c r="O682" s="40"/>
      <c r="P682" s="40"/>
      <c r="Q682" s="40"/>
      <c r="R682" s="40"/>
      <c r="S682" s="40"/>
      <c r="T682" s="40"/>
    </row>
    <row r="683" spans="1:20" ht="15.75">
      <c r="A683" s="13">
        <v>61940</v>
      </c>
      <c r="B683" s="48">
        <f t="shared" si="1"/>
        <v>31</v>
      </c>
      <c r="C683" s="39">
        <v>194.20500000000001</v>
      </c>
      <c r="D683" s="39">
        <v>267.46600000000001</v>
      </c>
      <c r="E683" s="45">
        <v>812.32899999999995</v>
      </c>
      <c r="F683" s="39">
        <v>1274</v>
      </c>
      <c r="G683" s="39">
        <v>50</v>
      </c>
      <c r="H683" s="47">
        <v>600</v>
      </c>
      <c r="I683" s="39">
        <v>695</v>
      </c>
      <c r="J683" s="39">
        <v>0</v>
      </c>
      <c r="K683" s="40"/>
      <c r="L683" s="40"/>
      <c r="M683" s="40"/>
      <c r="N683" s="40"/>
      <c r="O683" s="40"/>
      <c r="P683" s="40"/>
      <c r="Q683" s="40"/>
      <c r="R683" s="40"/>
      <c r="S683" s="40"/>
      <c r="T683" s="40"/>
    </row>
    <row r="684" spans="1:20" ht="15.75">
      <c r="A684" s="13">
        <v>61971</v>
      </c>
      <c r="B684" s="48">
        <f t="shared" si="1"/>
        <v>31</v>
      </c>
      <c r="C684" s="39">
        <v>194.20500000000001</v>
      </c>
      <c r="D684" s="39">
        <v>267.46600000000001</v>
      </c>
      <c r="E684" s="45">
        <v>812.32899999999995</v>
      </c>
      <c r="F684" s="39">
        <v>1274</v>
      </c>
      <c r="G684" s="39">
        <v>50</v>
      </c>
      <c r="H684" s="47">
        <v>600</v>
      </c>
      <c r="I684" s="39">
        <v>695</v>
      </c>
      <c r="J684" s="39">
        <v>0</v>
      </c>
      <c r="K684" s="40"/>
      <c r="L684" s="40"/>
      <c r="M684" s="40"/>
      <c r="N684" s="40"/>
      <c r="O684" s="40"/>
      <c r="P684" s="40"/>
      <c r="Q684" s="40"/>
      <c r="R684" s="40"/>
      <c r="S684" s="40"/>
      <c r="T684" s="40"/>
    </row>
    <row r="685" spans="1:20" ht="15.75">
      <c r="A685" s="13">
        <v>62001</v>
      </c>
      <c r="B685" s="48">
        <f t="shared" si="1"/>
        <v>30</v>
      </c>
      <c r="C685" s="39">
        <v>194.20500000000001</v>
      </c>
      <c r="D685" s="39">
        <v>267.46600000000001</v>
      </c>
      <c r="E685" s="45">
        <v>812.32899999999995</v>
      </c>
      <c r="F685" s="39">
        <v>1274</v>
      </c>
      <c r="G685" s="39">
        <v>50</v>
      </c>
      <c r="H685" s="47">
        <v>600</v>
      </c>
      <c r="I685" s="39">
        <v>695</v>
      </c>
      <c r="J685" s="39">
        <v>0</v>
      </c>
      <c r="K685" s="40"/>
      <c r="L685" s="40"/>
      <c r="M685" s="40"/>
      <c r="N685" s="40"/>
      <c r="O685" s="40"/>
      <c r="P685" s="40"/>
      <c r="Q685" s="40"/>
      <c r="R685" s="40"/>
      <c r="S685" s="40"/>
      <c r="T685" s="40"/>
    </row>
    <row r="686" spans="1:20" ht="15.75">
      <c r="A686" s="13">
        <v>62032</v>
      </c>
      <c r="B686" s="48">
        <f t="shared" si="1"/>
        <v>31</v>
      </c>
      <c r="C686" s="39">
        <v>131.881</v>
      </c>
      <c r="D686" s="39">
        <v>277.16699999999997</v>
      </c>
      <c r="E686" s="45">
        <v>829.952</v>
      </c>
      <c r="F686" s="39">
        <v>1239</v>
      </c>
      <c r="G686" s="39">
        <v>75</v>
      </c>
      <c r="H686" s="47">
        <v>600</v>
      </c>
      <c r="I686" s="39">
        <v>695</v>
      </c>
      <c r="J686" s="39">
        <v>0</v>
      </c>
      <c r="K686" s="40"/>
      <c r="L686" s="40"/>
      <c r="M686" s="40"/>
      <c r="N686" s="40"/>
      <c r="O686" s="40"/>
      <c r="P686" s="40"/>
      <c r="Q686" s="40"/>
      <c r="R686" s="40"/>
      <c r="S686" s="40"/>
      <c r="T686" s="40"/>
    </row>
    <row r="687" spans="1:20" ht="15.75">
      <c r="A687" s="13">
        <v>62062</v>
      </c>
      <c r="B687" s="48">
        <f t="shared" si="1"/>
        <v>30</v>
      </c>
      <c r="C687" s="39">
        <v>122.58</v>
      </c>
      <c r="D687" s="39">
        <v>297.94099999999997</v>
      </c>
      <c r="E687" s="45">
        <v>729.47900000000004</v>
      </c>
      <c r="F687" s="39">
        <v>1150</v>
      </c>
      <c r="G687" s="39">
        <v>100</v>
      </c>
      <c r="H687" s="47">
        <v>600</v>
      </c>
      <c r="I687" s="39">
        <v>695</v>
      </c>
      <c r="J687" s="39">
        <v>50</v>
      </c>
      <c r="K687" s="40"/>
      <c r="L687" s="40"/>
      <c r="M687" s="40"/>
      <c r="N687" s="40"/>
      <c r="O687" s="40"/>
      <c r="P687" s="40"/>
      <c r="Q687" s="40"/>
      <c r="R687" s="40"/>
      <c r="S687" s="40"/>
      <c r="T687" s="40"/>
    </row>
    <row r="688" spans="1:20" ht="15.75">
      <c r="A688" s="13">
        <v>62093</v>
      </c>
      <c r="B688" s="48">
        <f t="shared" si="1"/>
        <v>31</v>
      </c>
      <c r="C688" s="39">
        <v>122.58</v>
      </c>
      <c r="D688" s="39">
        <v>297.94099999999997</v>
      </c>
      <c r="E688" s="45">
        <v>729.47900000000004</v>
      </c>
      <c r="F688" s="39">
        <v>1150</v>
      </c>
      <c r="G688" s="39">
        <v>100</v>
      </c>
      <c r="H688" s="47">
        <v>600</v>
      </c>
      <c r="I688" s="39">
        <v>695</v>
      </c>
      <c r="J688" s="39">
        <v>50</v>
      </c>
      <c r="K688" s="40"/>
      <c r="L688" s="40"/>
      <c r="M688" s="40"/>
      <c r="N688" s="40"/>
      <c r="O688" s="40"/>
      <c r="P688" s="40"/>
      <c r="Q688" s="40"/>
      <c r="R688" s="40"/>
      <c r="S688" s="40"/>
      <c r="T688" s="40"/>
    </row>
    <row r="689" spans="1:20" ht="15.75">
      <c r="A689" s="13">
        <v>62124</v>
      </c>
      <c r="B689" s="48">
        <f t="shared" si="1"/>
        <v>31</v>
      </c>
      <c r="C689" s="39">
        <v>122.58</v>
      </c>
      <c r="D689" s="39">
        <v>297.94099999999997</v>
      </c>
      <c r="E689" s="45">
        <v>729.47900000000004</v>
      </c>
      <c r="F689" s="39">
        <v>1150</v>
      </c>
      <c r="G689" s="39">
        <v>100</v>
      </c>
      <c r="H689" s="47">
        <v>600</v>
      </c>
      <c r="I689" s="39">
        <v>695</v>
      </c>
      <c r="J689" s="39">
        <v>50</v>
      </c>
      <c r="K689" s="40"/>
      <c r="L689" s="40"/>
      <c r="M689" s="40"/>
      <c r="N689" s="40"/>
      <c r="O689" s="40"/>
      <c r="P689" s="40"/>
      <c r="Q689" s="40"/>
      <c r="R689" s="40"/>
      <c r="S689" s="40"/>
      <c r="T689" s="40"/>
    </row>
    <row r="690" spans="1:20" ht="15.75">
      <c r="A690" s="13">
        <v>62152</v>
      </c>
      <c r="B690" s="48">
        <f t="shared" si="1"/>
        <v>28</v>
      </c>
      <c r="C690" s="39">
        <v>122.58</v>
      </c>
      <c r="D690" s="39">
        <v>297.94099999999997</v>
      </c>
      <c r="E690" s="45">
        <v>729.47900000000004</v>
      </c>
      <c r="F690" s="39">
        <v>1150</v>
      </c>
      <c r="G690" s="39">
        <v>100</v>
      </c>
      <c r="H690" s="47">
        <v>600</v>
      </c>
      <c r="I690" s="39">
        <v>695</v>
      </c>
      <c r="J690" s="39">
        <v>50</v>
      </c>
      <c r="K690" s="40"/>
      <c r="L690" s="40"/>
      <c r="M690" s="40"/>
      <c r="N690" s="40"/>
      <c r="O690" s="40"/>
      <c r="P690" s="40"/>
      <c r="Q690" s="40"/>
      <c r="R690" s="40"/>
      <c r="S690" s="40"/>
      <c r="T690" s="40"/>
    </row>
    <row r="691" spans="1:20" ht="15.75">
      <c r="A691" s="13">
        <v>62183</v>
      </c>
      <c r="B691" s="48">
        <f t="shared" si="1"/>
        <v>31</v>
      </c>
      <c r="C691" s="39">
        <v>122.58</v>
      </c>
      <c r="D691" s="39">
        <v>297.94099999999997</v>
      </c>
      <c r="E691" s="45">
        <v>729.47900000000004</v>
      </c>
      <c r="F691" s="39">
        <v>1150</v>
      </c>
      <c r="G691" s="39">
        <v>100</v>
      </c>
      <c r="H691" s="47">
        <v>600</v>
      </c>
      <c r="I691" s="39">
        <v>695</v>
      </c>
      <c r="J691" s="39">
        <v>50</v>
      </c>
      <c r="K691" s="40"/>
      <c r="L691" s="40"/>
      <c r="M691" s="40"/>
      <c r="N691" s="40"/>
      <c r="O691" s="40"/>
      <c r="P691" s="40"/>
      <c r="Q691" s="40"/>
      <c r="R691" s="40"/>
      <c r="S691" s="40"/>
      <c r="T691" s="40"/>
    </row>
    <row r="692" spans="1:20" ht="15.75">
      <c r="A692" s="13">
        <v>62213</v>
      </c>
      <c r="B692" s="48">
        <f t="shared" si="1"/>
        <v>30</v>
      </c>
      <c r="C692" s="39">
        <v>141.29300000000001</v>
      </c>
      <c r="D692" s="39">
        <v>267.99299999999999</v>
      </c>
      <c r="E692" s="45">
        <v>829.71400000000006</v>
      </c>
      <c r="F692" s="39">
        <v>1239</v>
      </c>
      <c r="G692" s="39">
        <v>100</v>
      </c>
      <c r="H692" s="47">
        <v>600</v>
      </c>
      <c r="I692" s="39">
        <v>695</v>
      </c>
      <c r="J692" s="39">
        <v>50</v>
      </c>
      <c r="K692" s="40"/>
      <c r="L692" s="40"/>
      <c r="M692" s="40"/>
      <c r="N692" s="40"/>
      <c r="O692" s="40"/>
      <c r="P692" s="40"/>
      <c r="Q692" s="40"/>
      <c r="R692" s="40"/>
      <c r="S692" s="40"/>
      <c r="T692" s="40"/>
    </row>
    <row r="693" spans="1:20" ht="15.75">
      <c r="A693" s="13">
        <v>62244</v>
      </c>
      <c r="B693" s="48">
        <f t="shared" si="1"/>
        <v>31</v>
      </c>
      <c r="C693" s="39">
        <v>194.20500000000001</v>
      </c>
      <c r="D693" s="39">
        <v>267.46600000000001</v>
      </c>
      <c r="E693" s="45">
        <v>812.32899999999995</v>
      </c>
      <c r="F693" s="39">
        <v>1274</v>
      </c>
      <c r="G693" s="39">
        <v>75</v>
      </c>
      <c r="H693" s="47">
        <v>600</v>
      </c>
      <c r="I693" s="39">
        <v>695</v>
      </c>
      <c r="J693" s="39">
        <v>50</v>
      </c>
      <c r="K693" s="40"/>
      <c r="L693" s="40"/>
      <c r="M693" s="40"/>
      <c r="N693" s="40"/>
      <c r="O693" s="40"/>
      <c r="P693" s="40"/>
      <c r="Q693" s="40"/>
      <c r="R693" s="40"/>
      <c r="S693" s="40"/>
      <c r="T693" s="40"/>
    </row>
    <row r="694" spans="1:20" ht="15.75">
      <c r="A694" s="13">
        <v>62274</v>
      </c>
      <c r="B694" s="48">
        <f t="shared" si="1"/>
        <v>30</v>
      </c>
      <c r="C694" s="39">
        <v>194.20500000000001</v>
      </c>
      <c r="D694" s="39">
        <v>267.46600000000001</v>
      </c>
      <c r="E694" s="45">
        <v>812.32899999999995</v>
      </c>
      <c r="F694" s="39">
        <v>1274</v>
      </c>
      <c r="G694" s="39">
        <v>50</v>
      </c>
      <c r="H694" s="47">
        <v>600</v>
      </c>
      <c r="I694" s="39">
        <v>695</v>
      </c>
      <c r="J694" s="39">
        <v>50</v>
      </c>
      <c r="K694" s="40"/>
      <c r="L694" s="40"/>
      <c r="M694" s="40"/>
      <c r="N694" s="40"/>
      <c r="O694" s="40"/>
      <c r="P694" s="40"/>
      <c r="Q694" s="40"/>
      <c r="R694" s="40"/>
      <c r="S694" s="40"/>
      <c r="T694" s="40"/>
    </row>
    <row r="695" spans="1:20" ht="15.75">
      <c r="A695" s="13">
        <v>62305</v>
      </c>
      <c r="B695" s="48">
        <f t="shared" si="1"/>
        <v>31</v>
      </c>
      <c r="C695" s="39">
        <v>194.20500000000001</v>
      </c>
      <c r="D695" s="39">
        <v>267.46600000000001</v>
      </c>
      <c r="E695" s="45">
        <v>812.32899999999995</v>
      </c>
      <c r="F695" s="39">
        <v>1274</v>
      </c>
      <c r="G695" s="39">
        <v>50</v>
      </c>
      <c r="H695" s="47">
        <v>600</v>
      </c>
      <c r="I695" s="39">
        <v>695</v>
      </c>
      <c r="J695" s="39">
        <v>0</v>
      </c>
      <c r="K695" s="40"/>
      <c r="L695" s="40"/>
      <c r="M695" s="40"/>
      <c r="N695" s="40"/>
      <c r="O695" s="40"/>
      <c r="P695" s="40"/>
      <c r="Q695" s="40"/>
      <c r="R695" s="40"/>
      <c r="S695" s="40"/>
      <c r="T695" s="40"/>
    </row>
    <row r="696" spans="1:20" ht="15.75">
      <c r="A696" s="13">
        <v>62336</v>
      </c>
      <c r="B696" s="48">
        <f t="shared" si="1"/>
        <v>31</v>
      </c>
      <c r="C696" s="39">
        <v>194.20500000000001</v>
      </c>
      <c r="D696" s="39">
        <v>267.46600000000001</v>
      </c>
      <c r="E696" s="45">
        <v>812.32899999999995</v>
      </c>
      <c r="F696" s="39">
        <v>1274</v>
      </c>
      <c r="G696" s="39">
        <v>50</v>
      </c>
      <c r="H696" s="47">
        <v>600</v>
      </c>
      <c r="I696" s="39">
        <v>695</v>
      </c>
      <c r="J696" s="39">
        <v>0</v>
      </c>
      <c r="K696" s="40"/>
      <c r="L696" s="40"/>
      <c r="M696" s="40"/>
      <c r="N696" s="40"/>
      <c r="O696" s="40"/>
      <c r="P696" s="40"/>
      <c r="Q696" s="40"/>
      <c r="R696" s="40"/>
      <c r="S696" s="40"/>
      <c r="T696" s="40"/>
    </row>
    <row r="697" spans="1:20" ht="15.75">
      <c r="A697" s="13">
        <v>62366</v>
      </c>
      <c r="B697" s="48">
        <f t="shared" si="1"/>
        <v>30</v>
      </c>
      <c r="C697" s="39">
        <v>194.20500000000001</v>
      </c>
      <c r="D697" s="39">
        <v>267.46600000000001</v>
      </c>
      <c r="E697" s="45">
        <v>812.32899999999995</v>
      </c>
      <c r="F697" s="39">
        <v>1274</v>
      </c>
      <c r="G697" s="39">
        <v>50</v>
      </c>
      <c r="H697" s="47">
        <v>600</v>
      </c>
      <c r="I697" s="39">
        <v>695</v>
      </c>
      <c r="J697" s="39">
        <v>0</v>
      </c>
      <c r="K697" s="40"/>
      <c r="L697" s="40"/>
      <c r="M697" s="40"/>
      <c r="N697" s="40"/>
      <c r="O697" s="40"/>
      <c r="P697" s="40"/>
      <c r="Q697" s="40"/>
      <c r="R697" s="40"/>
      <c r="S697" s="40"/>
      <c r="T697" s="40"/>
    </row>
    <row r="698" spans="1:20" ht="15.75">
      <c r="A698" s="13">
        <v>62397</v>
      </c>
      <c r="B698" s="48">
        <f t="shared" si="1"/>
        <v>31</v>
      </c>
      <c r="C698" s="39">
        <v>131.881</v>
      </c>
      <c r="D698" s="39">
        <v>277.16699999999997</v>
      </c>
      <c r="E698" s="45">
        <v>829.952</v>
      </c>
      <c r="F698" s="39">
        <v>1239</v>
      </c>
      <c r="G698" s="39">
        <v>75</v>
      </c>
      <c r="H698" s="47">
        <v>600</v>
      </c>
      <c r="I698" s="39">
        <v>695</v>
      </c>
      <c r="J698" s="39">
        <v>0</v>
      </c>
      <c r="K698" s="40"/>
      <c r="L698" s="40"/>
      <c r="M698" s="40"/>
      <c r="N698" s="40"/>
      <c r="O698" s="40"/>
      <c r="P698" s="40"/>
      <c r="Q698" s="40"/>
      <c r="R698" s="40"/>
      <c r="S698" s="40"/>
      <c r="T698" s="40"/>
    </row>
    <row r="699" spans="1:20" ht="15.75">
      <c r="A699" s="13">
        <v>62427</v>
      </c>
      <c r="B699" s="48">
        <f t="shared" si="1"/>
        <v>30</v>
      </c>
      <c r="C699" s="39">
        <v>122.58</v>
      </c>
      <c r="D699" s="39">
        <v>297.94099999999997</v>
      </c>
      <c r="E699" s="45">
        <v>729.47900000000004</v>
      </c>
      <c r="F699" s="39">
        <v>1150</v>
      </c>
      <c r="G699" s="39">
        <v>100</v>
      </c>
      <c r="H699" s="47">
        <v>600</v>
      </c>
      <c r="I699" s="39">
        <v>695</v>
      </c>
      <c r="J699" s="39">
        <v>50</v>
      </c>
      <c r="K699" s="40"/>
      <c r="L699" s="40"/>
      <c r="M699" s="40"/>
      <c r="N699" s="40"/>
      <c r="O699" s="40"/>
      <c r="P699" s="40"/>
      <c r="Q699" s="40"/>
      <c r="R699" s="40"/>
      <c r="S699" s="40"/>
      <c r="T699" s="40"/>
    </row>
    <row r="700" spans="1:20" ht="15.75">
      <c r="A700" s="13">
        <v>62458</v>
      </c>
      <c r="B700" s="48">
        <f t="shared" si="1"/>
        <v>31</v>
      </c>
      <c r="C700" s="39">
        <v>122.58</v>
      </c>
      <c r="D700" s="39">
        <v>297.94099999999997</v>
      </c>
      <c r="E700" s="45">
        <v>729.47900000000004</v>
      </c>
      <c r="F700" s="39">
        <v>1150</v>
      </c>
      <c r="G700" s="39">
        <v>100</v>
      </c>
      <c r="H700" s="47">
        <v>600</v>
      </c>
      <c r="I700" s="39">
        <v>695</v>
      </c>
      <c r="J700" s="39">
        <v>50</v>
      </c>
      <c r="K700" s="40"/>
      <c r="L700" s="40"/>
      <c r="M700" s="40"/>
      <c r="N700" s="40"/>
      <c r="O700" s="40"/>
      <c r="P700" s="40"/>
      <c r="Q700" s="40"/>
      <c r="R700" s="40"/>
      <c r="S700" s="40"/>
      <c r="T700" s="40"/>
    </row>
    <row r="701" spans="1:20" ht="15.75">
      <c r="A701" s="13">
        <v>62489</v>
      </c>
      <c r="B701" s="48">
        <f t="shared" si="1"/>
        <v>31</v>
      </c>
      <c r="C701" s="39">
        <v>122.58</v>
      </c>
      <c r="D701" s="39">
        <v>297.94099999999997</v>
      </c>
      <c r="E701" s="45">
        <v>729.47900000000004</v>
      </c>
      <c r="F701" s="39">
        <v>1150</v>
      </c>
      <c r="G701" s="39">
        <v>100</v>
      </c>
      <c r="H701" s="47">
        <v>600</v>
      </c>
      <c r="I701" s="39">
        <v>695</v>
      </c>
      <c r="J701" s="39">
        <v>50</v>
      </c>
      <c r="K701" s="40"/>
      <c r="L701" s="40"/>
      <c r="M701" s="40"/>
      <c r="N701" s="40"/>
      <c r="O701" s="40"/>
      <c r="P701" s="40"/>
      <c r="Q701" s="40"/>
      <c r="R701" s="40"/>
      <c r="S701" s="40"/>
      <c r="T701" s="40"/>
    </row>
    <row r="702" spans="1:20" ht="15.75">
      <c r="A702" s="13">
        <v>62517</v>
      </c>
      <c r="B702" s="48">
        <f t="shared" si="1"/>
        <v>28</v>
      </c>
      <c r="C702" s="39">
        <v>122.58</v>
      </c>
      <c r="D702" s="39">
        <v>297.94099999999997</v>
      </c>
      <c r="E702" s="45">
        <v>729.47900000000004</v>
      </c>
      <c r="F702" s="39">
        <v>1150</v>
      </c>
      <c r="G702" s="39">
        <v>100</v>
      </c>
      <c r="H702" s="47">
        <v>600</v>
      </c>
      <c r="I702" s="39">
        <v>695</v>
      </c>
      <c r="J702" s="39">
        <v>50</v>
      </c>
      <c r="K702" s="40"/>
      <c r="L702" s="40"/>
      <c r="M702" s="40"/>
      <c r="N702" s="40"/>
      <c r="O702" s="40"/>
      <c r="P702" s="40"/>
      <c r="Q702" s="40"/>
      <c r="R702" s="40"/>
      <c r="S702" s="40"/>
      <c r="T702" s="40"/>
    </row>
    <row r="703" spans="1:20" ht="15.75">
      <c r="A703" s="13">
        <v>62548</v>
      </c>
      <c r="B703" s="48">
        <f t="shared" si="1"/>
        <v>31</v>
      </c>
      <c r="C703" s="39">
        <v>122.58</v>
      </c>
      <c r="D703" s="39">
        <v>297.94099999999997</v>
      </c>
      <c r="E703" s="45">
        <v>729.47900000000004</v>
      </c>
      <c r="F703" s="39">
        <v>1150</v>
      </c>
      <c r="G703" s="39">
        <v>100</v>
      </c>
      <c r="H703" s="47">
        <v>600</v>
      </c>
      <c r="I703" s="39">
        <v>695</v>
      </c>
      <c r="J703" s="39">
        <v>50</v>
      </c>
      <c r="K703" s="40"/>
      <c r="L703" s="40"/>
      <c r="M703" s="40"/>
      <c r="N703" s="40"/>
      <c r="O703" s="40"/>
      <c r="P703" s="40"/>
      <c r="Q703" s="40"/>
      <c r="R703" s="40"/>
      <c r="S703" s="40"/>
      <c r="T703" s="40"/>
    </row>
    <row r="704" spans="1:20" ht="15.75">
      <c r="A704" s="13">
        <v>62578</v>
      </c>
      <c r="B704" s="48">
        <f t="shared" si="1"/>
        <v>30</v>
      </c>
      <c r="C704" s="39">
        <v>141.29300000000001</v>
      </c>
      <c r="D704" s="39">
        <v>267.99299999999999</v>
      </c>
      <c r="E704" s="45">
        <v>829.71400000000006</v>
      </c>
      <c r="F704" s="39">
        <v>1239</v>
      </c>
      <c r="G704" s="39">
        <v>100</v>
      </c>
      <c r="H704" s="47">
        <v>600</v>
      </c>
      <c r="I704" s="39">
        <v>695</v>
      </c>
      <c r="J704" s="39">
        <v>50</v>
      </c>
      <c r="K704" s="40"/>
      <c r="L704" s="40"/>
      <c r="M704" s="40"/>
      <c r="N704" s="40"/>
      <c r="O704" s="40"/>
      <c r="P704" s="40"/>
      <c r="Q704" s="40"/>
      <c r="R704" s="40"/>
      <c r="S704" s="40"/>
      <c r="T704" s="40"/>
    </row>
    <row r="705" spans="1:20" ht="15.75">
      <c r="A705" s="13">
        <v>62609</v>
      </c>
      <c r="B705" s="48">
        <f t="shared" si="1"/>
        <v>31</v>
      </c>
      <c r="C705" s="39">
        <v>194.20500000000001</v>
      </c>
      <c r="D705" s="39">
        <v>267.46600000000001</v>
      </c>
      <c r="E705" s="45">
        <v>812.32899999999995</v>
      </c>
      <c r="F705" s="39">
        <v>1274</v>
      </c>
      <c r="G705" s="39">
        <v>75</v>
      </c>
      <c r="H705" s="47">
        <v>600</v>
      </c>
      <c r="I705" s="39">
        <v>695</v>
      </c>
      <c r="J705" s="39">
        <v>50</v>
      </c>
      <c r="K705" s="40"/>
      <c r="L705" s="40"/>
      <c r="M705" s="40"/>
      <c r="N705" s="40"/>
      <c r="O705" s="40"/>
      <c r="P705" s="40"/>
      <c r="Q705" s="40"/>
      <c r="R705" s="40"/>
      <c r="S705" s="40"/>
      <c r="T705" s="40"/>
    </row>
    <row r="706" spans="1:20" ht="15.75">
      <c r="A706" s="13">
        <v>62639</v>
      </c>
      <c r="B706" s="48">
        <f t="shared" si="1"/>
        <v>30</v>
      </c>
      <c r="C706" s="39">
        <v>194.20500000000001</v>
      </c>
      <c r="D706" s="39">
        <v>267.46600000000001</v>
      </c>
      <c r="E706" s="45">
        <v>812.32899999999995</v>
      </c>
      <c r="F706" s="39">
        <v>1274</v>
      </c>
      <c r="G706" s="39">
        <v>50</v>
      </c>
      <c r="H706" s="47">
        <v>600</v>
      </c>
      <c r="I706" s="39">
        <v>695</v>
      </c>
      <c r="J706" s="39">
        <v>50</v>
      </c>
      <c r="K706" s="40"/>
      <c r="L706" s="40"/>
      <c r="M706" s="40"/>
      <c r="N706" s="40"/>
      <c r="O706" s="40"/>
      <c r="P706" s="40"/>
      <c r="Q706" s="40"/>
      <c r="R706" s="40"/>
      <c r="S706" s="40"/>
      <c r="T706" s="40"/>
    </row>
    <row r="707" spans="1:20" ht="15.75">
      <c r="A707" s="13">
        <v>62670</v>
      </c>
      <c r="B707" s="48">
        <f t="shared" si="1"/>
        <v>31</v>
      </c>
      <c r="C707" s="39">
        <v>194.20500000000001</v>
      </c>
      <c r="D707" s="39">
        <v>267.46600000000001</v>
      </c>
      <c r="E707" s="45">
        <v>812.32899999999995</v>
      </c>
      <c r="F707" s="39">
        <v>1274</v>
      </c>
      <c r="G707" s="39">
        <v>50</v>
      </c>
      <c r="H707" s="47">
        <v>600</v>
      </c>
      <c r="I707" s="39">
        <v>695</v>
      </c>
      <c r="J707" s="39">
        <v>0</v>
      </c>
      <c r="K707" s="40"/>
      <c r="L707" s="40"/>
      <c r="M707" s="40"/>
      <c r="N707" s="40"/>
      <c r="O707" s="40"/>
      <c r="P707" s="40"/>
      <c r="Q707" s="40"/>
      <c r="R707" s="40"/>
      <c r="S707" s="40"/>
      <c r="T707" s="40"/>
    </row>
    <row r="708" spans="1:20" ht="15.75">
      <c r="A708" s="13">
        <v>62701</v>
      </c>
      <c r="B708" s="48">
        <f t="shared" si="1"/>
        <v>31</v>
      </c>
      <c r="C708" s="39">
        <v>194.20500000000001</v>
      </c>
      <c r="D708" s="39">
        <v>267.46600000000001</v>
      </c>
      <c r="E708" s="45">
        <v>812.32899999999995</v>
      </c>
      <c r="F708" s="39">
        <v>1274</v>
      </c>
      <c r="G708" s="39">
        <v>50</v>
      </c>
      <c r="H708" s="47">
        <v>600</v>
      </c>
      <c r="I708" s="39">
        <v>695</v>
      </c>
      <c r="J708" s="39">
        <v>0</v>
      </c>
      <c r="K708" s="40"/>
      <c r="L708" s="40"/>
      <c r="M708" s="40"/>
      <c r="N708" s="40"/>
      <c r="O708" s="40"/>
      <c r="P708" s="40"/>
      <c r="Q708" s="40"/>
      <c r="R708" s="40"/>
      <c r="S708" s="40"/>
      <c r="T708" s="40"/>
    </row>
    <row r="709" spans="1:20" ht="15.75">
      <c r="A709" s="13">
        <v>62731</v>
      </c>
      <c r="B709" s="48">
        <f t="shared" si="1"/>
        <v>30</v>
      </c>
      <c r="C709" s="39">
        <v>194.20500000000001</v>
      </c>
      <c r="D709" s="39">
        <v>267.46600000000001</v>
      </c>
      <c r="E709" s="45">
        <v>812.32899999999995</v>
      </c>
      <c r="F709" s="39">
        <v>1274</v>
      </c>
      <c r="G709" s="39">
        <v>50</v>
      </c>
      <c r="H709" s="47">
        <v>600</v>
      </c>
      <c r="I709" s="39">
        <v>695</v>
      </c>
      <c r="J709" s="39">
        <v>0</v>
      </c>
      <c r="K709" s="40"/>
      <c r="L709" s="40"/>
      <c r="M709" s="40"/>
      <c r="N709" s="40"/>
      <c r="O709" s="40"/>
      <c r="P709" s="40"/>
      <c r="Q709" s="40"/>
      <c r="R709" s="40"/>
      <c r="S709" s="40"/>
      <c r="T709" s="40"/>
    </row>
    <row r="710" spans="1:20" ht="15.75">
      <c r="A710" s="13">
        <v>62762</v>
      </c>
      <c r="B710" s="48">
        <f t="shared" si="1"/>
        <v>31</v>
      </c>
      <c r="C710" s="39">
        <v>131.881</v>
      </c>
      <c r="D710" s="39">
        <v>277.16699999999997</v>
      </c>
      <c r="E710" s="45">
        <v>829.952</v>
      </c>
      <c r="F710" s="39">
        <v>1239</v>
      </c>
      <c r="G710" s="39">
        <v>75</v>
      </c>
      <c r="H710" s="47">
        <v>600</v>
      </c>
      <c r="I710" s="39">
        <v>695</v>
      </c>
      <c r="J710" s="39">
        <v>0</v>
      </c>
      <c r="K710" s="40"/>
      <c r="L710" s="40"/>
      <c r="M710" s="40"/>
      <c r="N710" s="40"/>
      <c r="O710" s="40"/>
      <c r="P710" s="40"/>
      <c r="Q710" s="40"/>
      <c r="R710" s="40"/>
      <c r="S710" s="40"/>
      <c r="T710" s="40"/>
    </row>
    <row r="711" spans="1:20" ht="15.75">
      <c r="A711" s="13">
        <v>62792</v>
      </c>
      <c r="B711" s="48">
        <f t="shared" si="1"/>
        <v>30</v>
      </c>
      <c r="C711" s="39">
        <v>122.58</v>
      </c>
      <c r="D711" s="39">
        <v>297.94099999999997</v>
      </c>
      <c r="E711" s="45">
        <v>729.47900000000004</v>
      </c>
      <c r="F711" s="39">
        <v>1150</v>
      </c>
      <c r="G711" s="39">
        <v>100</v>
      </c>
      <c r="H711" s="47">
        <v>600</v>
      </c>
      <c r="I711" s="39">
        <v>695</v>
      </c>
      <c r="J711" s="39">
        <v>50</v>
      </c>
      <c r="K711" s="40"/>
      <c r="L711" s="40"/>
      <c r="M711" s="40"/>
      <c r="N711" s="40"/>
      <c r="O711" s="40"/>
      <c r="P711" s="40"/>
      <c r="Q711" s="40"/>
      <c r="R711" s="40"/>
      <c r="S711" s="40"/>
      <c r="T711" s="40"/>
    </row>
    <row r="712" spans="1:20" ht="15.75">
      <c r="A712" s="13">
        <v>62823</v>
      </c>
      <c r="B712" s="48">
        <f t="shared" si="1"/>
        <v>31</v>
      </c>
      <c r="C712" s="39">
        <v>122.58</v>
      </c>
      <c r="D712" s="39">
        <v>297.94099999999997</v>
      </c>
      <c r="E712" s="45">
        <v>729.47900000000004</v>
      </c>
      <c r="F712" s="39">
        <v>1150</v>
      </c>
      <c r="G712" s="39">
        <v>100</v>
      </c>
      <c r="H712" s="47">
        <v>600</v>
      </c>
      <c r="I712" s="39">
        <v>695</v>
      </c>
      <c r="J712" s="39">
        <v>50</v>
      </c>
      <c r="K712" s="40"/>
      <c r="L712" s="40"/>
      <c r="M712" s="40"/>
      <c r="N712" s="40"/>
      <c r="O712" s="40"/>
      <c r="P712" s="40"/>
      <c r="Q712" s="40"/>
      <c r="R712" s="40"/>
      <c r="S712" s="40"/>
      <c r="T712" s="40"/>
    </row>
    <row r="713" spans="1:20" ht="15.75">
      <c r="A713" s="13">
        <v>62854</v>
      </c>
      <c r="B713" s="48">
        <f t="shared" si="1"/>
        <v>31</v>
      </c>
      <c r="C713" s="39">
        <v>122.58</v>
      </c>
      <c r="D713" s="39">
        <v>297.94099999999997</v>
      </c>
      <c r="E713" s="45">
        <v>729.47900000000004</v>
      </c>
      <c r="F713" s="39">
        <v>1150</v>
      </c>
      <c r="G713" s="39">
        <v>100</v>
      </c>
      <c r="H713" s="47">
        <v>600</v>
      </c>
      <c r="I713" s="39">
        <v>695</v>
      </c>
      <c r="J713" s="39">
        <v>50</v>
      </c>
      <c r="K713" s="40"/>
      <c r="L713" s="40"/>
      <c r="M713" s="40"/>
      <c r="N713" s="40"/>
      <c r="O713" s="40"/>
      <c r="P713" s="40"/>
      <c r="Q713" s="40"/>
      <c r="R713" s="40"/>
      <c r="S713" s="40"/>
      <c r="T713" s="40"/>
    </row>
    <row r="714" spans="1:20" ht="15.75">
      <c r="A714" s="13">
        <v>62883</v>
      </c>
      <c r="B714" s="48">
        <f t="shared" si="1"/>
        <v>29</v>
      </c>
      <c r="C714" s="39">
        <v>122.58</v>
      </c>
      <c r="D714" s="39">
        <v>297.94099999999997</v>
      </c>
      <c r="E714" s="45">
        <v>729.47900000000004</v>
      </c>
      <c r="F714" s="39">
        <v>1150</v>
      </c>
      <c r="G714" s="39">
        <v>100</v>
      </c>
      <c r="H714" s="47">
        <v>600</v>
      </c>
      <c r="I714" s="39">
        <v>695</v>
      </c>
      <c r="J714" s="39">
        <v>50</v>
      </c>
      <c r="K714" s="40"/>
      <c r="L714" s="40"/>
      <c r="M714" s="40"/>
      <c r="N714" s="40"/>
      <c r="O714" s="40"/>
      <c r="P714" s="40"/>
      <c r="Q714" s="40"/>
      <c r="R714" s="40"/>
      <c r="S714" s="40"/>
      <c r="T714" s="40"/>
    </row>
    <row r="715" spans="1:20" ht="15.75">
      <c r="A715" s="13">
        <v>62914</v>
      </c>
      <c r="B715" s="48">
        <f t="shared" si="1"/>
        <v>31</v>
      </c>
      <c r="C715" s="39">
        <v>122.58</v>
      </c>
      <c r="D715" s="39">
        <v>297.94099999999997</v>
      </c>
      <c r="E715" s="45">
        <v>729.47900000000004</v>
      </c>
      <c r="F715" s="39">
        <v>1150</v>
      </c>
      <c r="G715" s="39">
        <v>100</v>
      </c>
      <c r="H715" s="47">
        <v>600</v>
      </c>
      <c r="I715" s="39">
        <v>695</v>
      </c>
      <c r="J715" s="39">
        <v>50</v>
      </c>
      <c r="K715" s="40"/>
      <c r="L715" s="40"/>
      <c r="M715" s="40"/>
      <c r="N715" s="40"/>
      <c r="O715" s="40"/>
      <c r="P715" s="40"/>
      <c r="Q715" s="40"/>
      <c r="R715" s="40"/>
      <c r="S715" s="40"/>
      <c r="T715" s="40"/>
    </row>
    <row r="716" spans="1:20" ht="15.75">
      <c r="A716" s="13">
        <v>62944</v>
      </c>
      <c r="B716" s="48">
        <f t="shared" si="1"/>
        <v>30</v>
      </c>
      <c r="C716" s="39">
        <v>141.29300000000001</v>
      </c>
      <c r="D716" s="39">
        <v>267.99299999999999</v>
      </c>
      <c r="E716" s="45">
        <v>829.71400000000006</v>
      </c>
      <c r="F716" s="39">
        <v>1239</v>
      </c>
      <c r="G716" s="39">
        <v>100</v>
      </c>
      <c r="H716" s="47">
        <v>600</v>
      </c>
      <c r="I716" s="39">
        <v>695</v>
      </c>
      <c r="J716" s="39">
        <v>50</v>
      </c>
      <c r="K716" s="40"/>
      <c r="L716" s="40"/>
      <c r="M716" s="40"/>
      <c r="N716" s="40"/>
      <c r="O716" s="40"/>
      <c r="P716" s="40"/>
      <c r="Q716" s="40"/>
      <c r="R716" s="40"/>
      <c r="S716" s="40"/>
      <c r="T716" s="40"/>
    </row>
    <row r="717" spans="1:20" ht="15.75">
      <c r="A717" s="13">
        <v>62975</v>
      </c>
      <c r="B717" s="48">
        <f t="shared" si="1"/>
        <v>31</v>
      </c>
      <c r="C717" s="39">
        <v>194.20500000000001</v>
      </c>
      <c r="D717" s="39">
        <v>267.46600000000001</v>
      </c>
      <c r="E717" s="45">
        <v>812.32899999999995</v>
      </c>
      <c r="F717" s="39">
        <v>1274</v>
      </c>
      <c r="G717" s="39">
        <v>75</v>
      </c>
      <c r="H717" s="47">
        <v>600</v>
      </c>
      <c r="I717" s="39">
        <v>695</v>
      </c>
      <c r="J717" s="39">
        <v>50</v>
      </c>
      <c r="K717" s="40"/>
      <c r="L717" s="40"/>
      <c r="M717" s="40"/>
      <c r="N717" s="40"/>
      <c r="O717" s="40"/>
      <c r="P717" s="40"/>
      <c r="Q717" s="40"/>
      <c r="R717" s="40"/>
      <c r="S717" s="40"/>
      <c r="T717" s="40"/>
    </row>
    <row r="718" spans="1:20" ht="15.75">
      <c r="A718" s="13">
        <v>63005</v>
      </c>
      <c r="B718" s="48">
        <f t="shared" si="1"/>
        <v>30</v>
      </c>
      <c r="C718" s="39">
        <v>194.20500000000001</v>
      </c>
      <c r="D718" s="39">
        <v>267.46600000000001</v>
      </c>
      <c r="E718" s="45">
        <v>812.32899999999995</v>
      </c>
      <c r="F718" s="39">
        <v>1274</v>
      </c>
      <c r="G718" s="39">
        <v>50</v>
      </c>
      <c r="H718" s="47">
        <v>600</v>
      </c>
      <c r="I718" s="39">
        <v>695</v>
      </c>
      <c r="J718" s="39">
        <v>50</v>
      </c>
      <c r="K718" s="40"/>
      <c r="L718" s="40"/>
      <c r="M718" s="40"/>
      <c r="N718" s="40"/>
      <c r="O718" s="40"/>
      <c r="P718" s="40"/>
      <c r="Q718" s="40"/>
      <c r="R718" s="40"/>
      <c r="S718" s="40"/>
      <c r="T718" s="40"/>
    </row>
    <row r="719" spans="1:20" ht="15.75">
      <c r="A719" s="13">
        <v>63036</v>
      </c>
      <c r="B719" s="48">
        <f t="shared" si="1"/>
        <v>31</v>
      </c>
      <c r="C719" s="39">
        <v>194.20500000000001</v>
      </c>
      <c r="D719" s="39">
        <v>267.46600000000001</v>
      </c>
      <c r="E719" s="45">
        <v>812.32899999999995</v>
      </c>
      <c r="F719" s="39">
        <v>1274</v>
      </c>
      <c r="G719" s="39">
        <v>50</v>
      </c>
      <c r="H719" s="47">
        <v>600</v>
      </c>
      <c r="I719" s="39">
        <v>695</v>
      </c>
      <c r="J719" s="39">
        <v>0</v>
      </c>
      <c r="K719" s="40"/>
      <c r="L719" s="40"/>
      <c r="M719" s="40"/>
      <c r="N719" s="40"/>
      <c r="O719" s="40"/>
      <c r="P719" s="40"/>
      <c r="Q719" s="40"/>
      <c r="R719" s="40"/>
      <c r="S719" s="40"/>
      <c r="T719" s="40"/>
    </row>
    <row r="720" spans="1:20" ht="15.75">
      <c r="A720" s="13">
        <v>63067</v>
      </c>
      <c r="B720" s="48">
        <f t="shared" si="1"/>
        <v>31</v>
      </c>
      <c r="C720" s="39">
        <v>194.20500000000001</v>
      </c>
      <c r="D720" s="39">
        <v>267.46600000000001</v>
      </c>
      <c r="E720" s="45">
        <v>812.32899999999995</v>
      </c>
      <c r="F720" s="39">
        <v>1274</v>
      </c>
      <c r="G720" s="39">
        <v>50</v>
      </c>
      <c r="H720" s="47">
        <v>600</v>
      </c>
      <c r="I720" s="39">
        <v>695</v>
      </c>
      <c r="J720" s="39">
        <v>0</v>
      </c>
      <c r="K720" s="40"/>
      <c r="L720" s="40"/>
      <c r="M720" s="40"/>
      <c r="N720" s="40"/>
      <c r="O720" s="40"/>
      <c r="P720" s="40"/>
      <c r="Q720" s="40"/>
      <c r="R720" s="40"/>
      <c r="S720" s="40"/>
      <c r="T720" s="40"/>
    </row>
    <row r="721" spans="1:20" ht="15.75">
      <c r="A721" s="13">
        <v>63097</v>
      </c>
      <c r="B721" s="48">
        <f t="shared" ref="B721:B784" si="2">EOMONTH(A721,0)-EOMONTH(A721,-1)</f>
        <v>30</v>
      </c>
      <c r="C721" s="39">
        <v>194.20500000000001</v>
      </c>
      <c r="D721" s="39">
        <v>267.46600000000001</v>
      </c>
      <c r="E721" s="45">
        <v>812.32899999999995</v>
      </c>
      <c r="F721" s="39">
        <v>1274</v>
      </c>
      <c r="G721" s="39">
        <v>50</v>
      </c>
      <c r="H721" s="47">
        <v>600</v>
      </c>
      <c r="I721" s="39">
        <v>695</v>
      </c>
      <c r="J721" s="39">
        <v>0</v>
      </c>
      <c r="K721" s="40"/>
      <c r="L721" s="40"/>
      <c r="M721" s="40"/>
      <c r="N721" s="40"/>
      <c r="O721" s="40"/>
      <c r="P721" s="40"/>
      <c r="Q721" s="40"/>
      <c r="R721" s="40"/>
      <c r="S721" s="40"/>
      <c r="T721" s="40"/>
    </row>
    <row r="722" spans="1:20" ht="15.75">
      <c r="A722" s="13">
        <v>63128</v>
      </c>
      <c r="B722" s="48">
        <f t="shared" si="2"/>
        <v>31</v>
      </c>
      <c r="C722" s="39">
        <v>131.881</v>
      </c>
      <c r="D722" s="39">
        <v>277.16699999999997</v>
      </c>
      <c r="E722" s="45">
        <v>829.952</v>
      </c>
      <c r="F722" s="39">
        <v>1239</v>
      </c>
      <c r="G722" s="39">
        <v>75</v>
      </c>
      <c r="H722" s="47">
        <v>600</v>
      </c>
      <c r="I722" s="39">
        <v>695</v>
      </c>
      <c r="J722" s="39">
        <v>0</v>
      </c>
      <c r="K722" s="40"/>
      <c r="L722" s="40"/>
      <c r="M722" s="40"/>
      <c r="N722" s="40"/>
      <c r="O722" s="40"/>
      <c r="P722" s="40"/>
      <c r="Q722" s="40"/>
      <c r="R722" s="40"/>
      <c r="S722" s="40"/>
      <c r="T722" s="40"/>
    </row>
    <row r="723" spans="1:20" ht="15.75">
      <c r="A723" s="13">
        <v>63158</v>
      </c>
      <c r="B723" s="48">
        <f t="shared" si="2"/>
        <v>30</v>
      </c>
      <c r="C723" s="39">
        <v>122.58</v>
      </c>
      <c r="D723" s="39">
        <v>297.94099999999997</v>
      </c>
      <c r="E723" s="45">
        <v>729.47900000000004</v>
      </c>
      <c r="F723" s="39">
        <v>1150</v>
      </c>
      <c r="G723" s="39">
        <v>100</v>
      </c>
      <c r="H723" s="47">
        <v>600</v>
      </c>
      <c r="I723" s="39">
        <v>695</v>
      </c>
      <c r="J723" s="39">
        <v>50</v>
      </c>
      <c r="K723" s="40"/>
      <c r="L723" s="40"/>
      <c r="M723" s="40"/>
      <c r="N723" s="40"/>
      <c r="O723" s="40"/>
      <c r="P723" s="40"/>
      <c r="Q723" s="40"/>
      <c r="R723" s="40"/>
      <c r="S723" s="40"/>
      <c r="T723" s="40"/>
    </row>
    <row r="724" spans="1:20" ht="15.75">
      <c r="A724" s="13">
        <v>63189</v>
      </c>
      <c r="B724" s="48">
        <f t="shared" si="2"/>
        <v>31</v>
      </c>
      <c r="C724" s="39">
        <v>122.58</v>
      </c>
      <c r="D724" s="39">
        <v>297.94099999999997</v>
      </c>
      <c r="E724" s="45">
        <v>729.47900000000004</v>
      </c>
      <c r="F724" s="39">
        <v>1150</v>
      </c>
      <c r="G724" s="39">
        <v>100</v>
      </c>
      <c r="H724" s="47">
        <v>600</v>
      </c>
      <c r="I724" s="39">
        <v>695</v>
      </c>
      <c r="J724" s="39">
        <v>50</v>
      </c>
      <c r="K724" s="40"/>
      <c r="L724" s="40"/>
      <c r="M724" s="40"/>
      <c r="N724" s="40"/>
      <c r="O724" s="40"/>
      <c r="P724" s="40"/>
      <c r="Q724" s="40"/>
      <c r="R724" s="40"/>
      <c r="S724" s="40"/>
      <c r="T724" s="40"/>
    </row>
    <row r="725" spans="1:20" ht="15.75">
      <c r="A725" s="13">
        <v>63220</v>
      </c>
      <c r="B725" s="48">
        <f t="shared" si="2"/>
        <v>31</v>
      </c>
      <c r="C725" s="39">
        <v>122.58</v>
      </c>
      <c r="D725" s="39">
        <v>297.94099999999997</v>
      </c>
      <c r="E725" s="45">
        <v>729.47900000000004</v>
      </c>
      <c r="F725" s="39">
        <v>1150</v>
      </c>
      <c r="G725" s="39">
        <v>100</v>
      </c>
      <c r="H725" s="47">
        <v>600</v>
      </c>
      <c r="I725" s="39">
        <v>695</v>
      </c>
      <c r="J725" s="39">
        <v>50</v>
      </c>
      <c r="K725" s="40"/>
      <c r="L725" s="40"/>
      <c r="M725" s="40"/>
      <c r="N725" s="40"/>
      <c r="O725" s="40"/>
      <c r="P725" s="40"/>
      <c r="Q725" s="40"/>
      <c r="R725" s="40"/>
      <c r="S725" s="40"/>
      <c r="T725" s="40"/>
    </row>
    <row r="726" spans="1:20" ht="15.75">
      <c r="A726" s="13">
        <v>63248</v>
      </c>
      <c r="B726" s="48">
        <f t="shared" si="2"/>
        <v>28</v>
      </c>
      <c r="C726" s="39">
        <v>122.58</v>
      </c>
      <c r="D726" s="39">
        <v>297.94099999999997</v>
      </c>
      <c r="E726" s="45">
        <v>729.47900000000004</v>
      </c>
      <c r="F726" s="39">
        <v>1150</v>
      </c>
      <c r="G726" s="39">
        <v>100</v>
      </c>
      <c r="H726" s="47">
        <v>600</v>
      </c>
      <c r="I726" s="39">
        <v>695</v>
      </c>
      <c r="J726" s="39">
        <v>50</v>
      </c>
      <c r="K726" s="40"/>
      <c r="L726" s="40"/>
      <c r="M726" s="40"/>
      <c r="N726" s="40"/>
      <c r="O726" s="40"/>
      <c r="P726" s="40"/>
      <c r="Q726" s="40"/>
      <c r="R726" s="40"/>
      <c r="S726" s="40"/>
      <c r="T726" s="40"/>
    </row>
    <row r="727" spans="1:20" ht="15.75">
      <c r="A727" s="13">
        <v>63279</v>
      </c>
      <c r="B727" s="48">
        <f t="shared" si="2"/>
        <v>31</v>
      </c>
      <c r="C727" s="39">
        <v>122.58</v>
      </c>
      <c r="D727" s="39">
        <v>297.94099999999997</v>
      </c>
      <c r="E727" s="45">
        <v>729.47900000000004</v>
      </c>
      <c r="F727" s="39">
        <v>1150</v>
      </c>
      <c r="G727" s="39">
        <v>100</v>
      </c>
      <c r="H727" s="47">
        <v>600</v>
      </c>
      <c r="I727" s="39">
        <v>695</v>
      </c>
      <c r="J727" s="39">
        <v>50</v>
      </c>
      <c r="K727" s="40"/>
      <c r="L727" s="40"/>
      <c r="M727" s="40"/>
      <c r="N727" s="40"/>
      <c r="O727" s="40"/>
      <c r="P727" s="40"/>
      <c r="Q727" s="40"/>
      <c r="R727" s="40"/>
      <c r="S727" s="40"/>
      <c r="T727" s="40"/>
    </row>
    <row r="728" spans="1:20" ht="15.75">
      <c r="A728" s="13">
        <v>63309</v>
      </c>
      <c r="B728" s="48">
        <f t="shared" si="2"/>
        <v>30</v>
      </c>
      <c r="C728" s="39">
        <v>141.29300000000001</v>
      </c>
      <c r="D728" s="39">
        <v>267.99299999999999</v>
      </c>
      <c r="E728" s="45">
        <v>829.71400000000006</v>
      </c>
      <c r="F728" s="39">
        <v>1239</v>
      </c>
      <c r="G728" s="39">
        <v>100</v>
      </c>
      <c r="H728" s="47">
        <v>600</v>
      </c>
      <c r="I728" s="39">
        <v>695</v>
      </c>
      <c r="J728" s="39">
        <v>50</v>
      </c>
      <c r="K728" s="40"/>
      <c r="L728" s="40"/>
      <c r="M728" s="40"/>
      <c r="N728" s="40"/>
      <c r="O728" s="40"/>
      <c r="P728" s="40"/>
      <c r="Q728" s="40"/>
      <c r="R728" s="40"/>
      <c r="S728" s="40"/>
      <c r="T728" s="40"/>
    </row>
    <row r="729" spans="1:20" ht="15.75">
      <c r="A729" s="13">
        <v>63340</v>
      </c>
      <c r="B729" s="48">
        <f t="shared" si="2"/>
        <v>31</v>
      </c>
      <c r="C729" s="39">
        <v>194.20500000000001</v>
      </c>
      <c r="D729" s="39">
        <v>267.46600000000001</v>
      </c>
      <c r="E729" s="45">
        <v>812.32899999999995</v>
      </c>
      <c r="F729" s="39">
        <v>1274</v>
      </c>
      <c r="G729" s="39">
        <v>75</v>
      </c>
      <c r="H729" s="47">
        <v>600</v>
      </c>
      <c r="I729" s="39">
        <v>695</v>
      </c>
      <c r="J729" s="39">
        <v>50</v>
      </c>
      <c r="K729" s="40"/>
      <c r="L729" s="40"/>
      <c r="M729" s="40"/>
      <c r="N729" s="40"/>
      <c r="O729" s="40"/>
      <c r="P729" s="40"/>
      <c r="Q729" s="40"/>
      <c r="R729" s="40"/>
      <c r="S729" s="40"/>
      <c r="T729" s="40"/>
    </row>
    <row r="730" spans="1:20" ht="15.75">
      <c r="A730" s="13">
        <v>63370</v>
      </c>
      <c r="B730" s="48">
        <f t="shared" si="2"/>
        <v>30</v>
      </c>
      <c r="C730" s="39">
        <v>194.20500000000001</v>
      </c>
      <c r="D730" s="39">
        <v>267.46600000000001</v>
      </c>
      <c r="E730" s="45">
        <v>812.32899999999995</v>
      </c>
      <c r="F730" s="39">
        <v>1274</v>
      </c>
      <c r="G730" s="39">
        <v>50</v>
      </c>
      <c r="H730" s="47">
        <v>600</v>
      </c>
      <c r="I730" s="39">
        <v>695</v>
      </c>
      <c r="J730" s="39">
        <v>50</v>
      </c>
      <c r="K730" s="40"/>
      <c r="L730" s="40"/>
      <c r="M730" s="40"/>
      <c r="N730" s="40"/>
      <c r="O730" s="40"/>
      <c r="P730" s="40"/>
      <c r="Q730" s="40"/>
      <c r="R730" s="40"/>
      <c r="S730" s="40"/>
      <c r="T730" s="40"/>
    </row>
    <row r="731" spans="1:20" ht="15.75">
      <c r="A731" s="13">
        <v>63401</v>
      </c>
      <c r="B731" s="48">
        <f t="shared" si="2"/>
        <v>31</v>
      </c>
      <c r="C731" s="39">
        <v>194.20500000000001</v>
      </c>
      <c r="D731" s="39">
        <v>267.46600000000001</v>
      </c>
      <c r="E731" s="45">
        <v>812.32899999999995</v>
      </c>
      <c r="F731" s="39">
        <v>1274</v>
      </c>
      <c r="G731" s="39">
        <v>50</v>
      </c>
      <c r="H731" s="47">
        <v>600</v>
      </c>
      <c r="I731" s="39">
        <v>695</v>
      </c>
      <c r="J731" s="39">
        <v>0</v>
      </c>
      <c r="K731" s="40"/>
      <c r="L731" s="40"/>
      <c r="M731" s="40"/>
      <c r="N731" s="40"/>
      <c r="O731" s="40"/>
      <c r="P731" s="40"/>
      <c r="Q731" s="40"/>
      <c r="R731" s="40"/>
      <c r="S731" s="40"/>
      <c r="T731" s="40"/>
    </row>
    <row r="732" spans="1:20" ht="15.75">
      <c r="A732" s="13">
        <v>63432</v>
      </c>
      <c r="B732" s="48">
        <f t="shared" si="2"/>
        <v>31</v>
      </c>
      <c r="C732" s="39">
        <v>194.20500000000001</v>
      </c>
      <c r="D732" s="39">
        <v>267.46600000000001</v>
      </c>
      <c r="E732" s="45">
        <v>812.32899999999995</v>
      </c>
      <c r="F732" s="39">
        <v>1274</v>
      </c>
      <c r="G732" s="39">
        <v>50</v>
      </c>
      <c r="H732" s="47">
        <v>600</v>
      </c>
      <c r="I732" s="39">
        <v>695</v>
      </c>
      <c r="J732" s="39">
        <v>0</v>
      </c>
      <c r="K732" s="40"/>
      <c r="L732" s="40"/>
      <c r="M732" s="40"/>
      <c r="N732" s="40"/>
      <c r="O732" s="40"/>
      <c r="P732" s="40"/>
      <c r="Q732" s="40"/>
      <c r="R732" s="40"/>
      <c r="S732" s="40"/>
      <c r="T732" s="40"/>
    </row>
    <row r="733" spans="1:20" ht="15.75">
      <c r="A733" s="13">
        <v>63462</v>
      </c>
      <c r="B733" s="48">
        <f t="shared" si="2"/>
        <v>30</v>
      </c>
      <c r="C733" s="39">
        <v>194.20500000000001</v>
      </c>
      <c r="D733" s="39">
        <v>267.46600000000001</v>
      </c>
      <c r="E733" s="45">
        <v>812.32899999999995</v>
      </c>
      <c r="F733" s="39">
        <v>1274</v>
      </c>
      <c r="G733" s="39">
        <v>50</v>
      </c>
      <c r="H733" s="47">
        <v>600</v>
      </c>
      <c r="I733" s="39">
        <v>695</v>
      </c>
      <c r="J733" s="39">
        <v>0</v>
      </c>
      <c r="K733" s="40"/>
      <c r="L733" s="40"/>
      <c r="M733" s="40"/>
      <c r="N733" s="40"/>
      <c r="O733" s="40"/>
      <c r="P733" s="40"/>
      <c r="Q733" s="40"/>
      <c r="R733" s="40"/>
      <c r="S733" s="40"/>
      <c r="T733" s="40"/>
    </row>
    <row r="734" spans="1:20" ht="15.75">
      <c r="A734" s="13">
        <v>63493</v>
      </c>
      <c r="B734" s="48">
        <f t="shared" si="2"/>
        <v>31</v>
      </c>
      <c r="C734" s="39">
        <v>131.881</v>
      </c>
      <c r="D734" s="39">
        <v>277.16699999999997</v>
      </c>
      <c r="E734" s="45">
        <v>829.952</v>
      </c>
      <c r="F734" s="39">
        <v>1239</v>
      </c>
      <c r="G734" s="39">
        <v>75</v>
      </c>
      <c r="H734" s="47">
        <v>600</v>
      </c>
      <c r="I734" s="39">
        <v>695</v>
      </c>
      <c r="J734" s="39">
        <v>0</v>
      </c>
      <c r="K734" s="40"/>
      <c r="L734" s="40"/>
      <c r="M734" s="40"/>
      <c r="N734" s="40"/>
      <c r="O734" s="40"/>
      <c r="P734" s="40"/>
      <c r="Q734" s="40"/>
      <c r="R734" s="40"/>
      <c r="S734" s="40"/>
      <c r="T734" s="40"/>
    </row>
    <row r="735" spans="1:20" ht="15.75">
      <c r="A735" s="13">
        <v>63523</v>
      </c>
      <c r="B735" s="48">
        <f t="shared" si="2"/>
        <v>30</v>
      </c>
      <c r="C735" s="39">
        <v>122.58</v>
      </c>
      <c r="D735" s="39">
        <v>297.94099999999997</v>
      </c>
      <c r="E735" s="45">
        <v>729.47900000000004</v>
      </c>
      <c r="F735" s="39">
        <v>1150</v>
      </c>
      <c r="G735" s="39">
        <v>100</v>
      </c>
      <c r="H735" s="47">
        <v>600</v>
      </c>
      <c r="I735" s="39">
        <v>695</v>
      </c>
      <c r="J735" s="39">
        <v>50</v>
      </c>
      <c r="K735" s="40"/>
      <c r="L735" s="40"/>
      <c r="M735" s="40"/>
      <c r="N735" s="40"/>
      <c r="O735" s="40"/>
      <c r="P735" s="40"/>
      <c r="Q735" s="40"/>
      <c r="R735" s="40"/>
      <c r="S735" s="40"/>
      <c r="T735" s="40"/>
    </row>
    <row r="736" spans="1:20" ht="15.75">
      <c r="A736" s="13">
        <v>63554</v>
      </c>
      <c r="B736" s="48">
        <f t="shared" si="2"/>
        <v>31</v>
      </c>
      <c r="C736" s="39">
        <v>122.58</v>
      </c>
      <c r="D736" s="39">
        <v>297.94099999999997</v>
      </c>
      <c r="E736" s="45">
        <v>729.47900000000004</v>
      </c>
      <c r="F736" s="39">
        <v>1150</v>
      </c>
      <c r="G736" s="39">
        <v>100</v>
      </c>
      <c r="H736" s="47">
        <v>600</v>
      </c>
      <c r="I736" s="39">
        <v>695</v>
      </c>
      <c r="J736" s="39">
        <v>50</v>
      </c>
      <c r="K736" s="40"/>
      <c r="L736" s="40"/>
      <c r="M736" s="40"/>
      <c r="N736" s="40"/>
      <c r="O736" s="40"/>
      <c r="P736" s="40"/>
      <c r="Q736" s="40"/>
      <c r="R736" s="40"/>
      <c r="S736" s="40"/>
      <c r="T736" s="40"/>
    </row>
    <row r="737" spans="1:20" ht="15.75">
      <c r="A737" s="13">
        <v>63585</v>
      </c>
      <c r="B737" s="48">
        <f t="shared" si="2"/>
        <v>31</v>
      </c>
      <c r="C737" s="39">
        <v>122.58</v>
      </c>
      <c r="D737" s="39">
        <v>297.94099999999997</v>
      </c>
      <c r="E737" s="45">
        <v>729.47900000000004</v>
      </c>
      <c r="F737" s="39">
        <v>1150</v>
      </c>
      <c r="G737" s="39">
        <v>100</v>
      </c>
      <c r="H737" s="47">
        <v>600</v>
      </c>
      <c r="I737" s="39">
        <v>695</v>
      </c>
      <c r="J737" s="39">
        <v>50</v>
      </c>
      <c r="K737" s="40"/>
      <c r="L737" s="40"/>
      <c r="M737" s="40"/>
      <c r="N737" s="40"/>
      <c r="O737" s="40"/>
      <c r="P737" s="40"/>
      <c r="Q737" s="40"/>
      <c r="R737" s="40"/>
      <c r="S737" s="40"/>
      <c r="T737" s="40"/>
    </row>
    <row r="738" spans="1:20" ht="15.75">
      <c r="A738" s="13">
        <v>63613</v>
      </c>
      <c r="B738" s="48">
        <f t="shared" si="2"/>
        <v>28</v>
      </c>
      <c r="C738" s="39">
        <v>122.58</v>
      </c>
      <c r="D738" s="39">
        <v>297.94099999999997</v>
      </c>
      <c r="E738" s="45">
        <v>729.47900000000004</v>
      </c>
      <c r="F738" s="39">
        <v>1150</v>
      </c>
      <c r="G738" s="39">
        <v>100</v>
      </c>
      <c r="H738" s="47">
        <v>600</v>
      </c>
      <c r="I738" s="39">
        <v>695</v>
      </c>
      <c r="J738" s="39">
        <v>50</v>
      </c>
      <c r="K738" s="40"/>
      <c r="L738" s="40"/>
      <c r="M738" s="40"/>
      <c r="N738" s="40"/>
      <c r="O738" s="40"/>
      <c r="P738" s="40"/>
      <c r="Q738" s="40"/>
      <c r="R738" s="40"/>
      <c r="S738" s="40"/>
      <c r="T738" s="40"/>
    </row>
    <row r="739" spans="1:20" ht="15.75">
      <c r="A739" s="13">
        <v>63644</v>
      </c>
      <c r="B739" s="48">
        <f t="shared" si="2"/>
        <v>31</v>
      </c>
      <c r="C739" s="39">
        <v>122.58</v>
      </c>
      <c r="D739" s="39">
        <v>297.94099999999997</v>
      </c>
      <c r="E739" s="45">
        <v>729.47900000000004</v>
      </c>
      <c r="F739" s="39">
        <v>1150</v>
      </c>
      <c r="G739" s="39">
        <v>100</v>
      </c>
      <c r="H739" s="47">
        <v>600</v>
      </c>
      <c r="I739" s="39">
        <v>695</v>
      </c>
      <c r="J739" s="39">
        <v>50</v>
      </c>
      <c r="K739" s="40"/>
      <c r="L739" s="40"/>
      <c r="M739" s="40"/>
      <c r="N739" s="40"/>
      <c r="O739" s="40"/>
      <c r="P739" s="40"/>
      <c r="Q739" s="40"/>
      <c r="R739" s="40"/>
      <c r="S739" s="40"/>
      <c r="T739" s="40"/>
    </row>
    <row r="740" spans="1:20" ht="15.75">
      <c r="A740" s="13">
        <v>63674</v>
      </c>
      <c r="B740" s="48">
        <f t="shared" si="2"/>
        <v>30</v>
      </c>
      <c r="C740" s="39">
        <v>141.29300000000001</v>
      </c>
      <c r="D740" s="39">
        <v>267.99299999999999</v>
      </c>
      <c r="E740" s="45">
        <v>829.71400000000006</v>
      </c>
      <c r="F740" s="39">
        <v>1239</v>
      </c>
      <c r="G740" s="39">
        <v>100</v>
      </c>
      <c r="H740" s="47">
        <v>600</v>
      </c>
      <c r="I740" s="39">
        <v>695</v>
      </c>
      <c r="J740" s="39">
        <v>50</v>
      </c>
      <c r="K740" s="40"/>
      <c r="L740" s="40"/>
      <c r="M740" s="40"/>
      <c r="N740" s="40"/>
      <c r="O740" s="40"/>
      <c r="P740" s="40"/>
      <c r="Q740" s="40"/>
      <c r="R740" s="40"/>
      <c r="S740" s="40"/>
      <c r="T740" s="40"/>
    </row>
    <row r="741" spans="1:20" ht="15.75">
      <c r="A741" s="13">
        <v>63705</v>
      </c>
      <c r="B741" s="48">
        <f t="shared" si="2"/>
        <v>31</v>
      </c>
      <c r="C741" s="39">
        <v>194.20500000000001</v>
      </c>
      <c r="D741" s="39">
        <v>267.46600000000001</v>
      </c>
      <c r="E741" s="45">
        <v>812.32899999999995</v>
      </c>
      <c r="F741" s="39">
        <v>1274</v>
      </c>
      <c r="G741" s="39">
        <v>75</v>
      </c>
      <c r="H741" s="47">
        <v>600</v>
      </c>
      <c r="I741" s="39">
        <v>695</v>
      </c>
      <c r="J741" s="39">
        <v>50</v>
      </c>
      <c r="K741" s="40"/>
      <c r="L741" s="40"/>
      <c r="M741" s="40"/>
      <c r="N741" s="40"/>
      <c r="O741" s="40"/>
      <c r="P741" s="40"/>
      <c r="Q741" s="40"/>
      <c r="R741" s="40"/>
      <c r="S741" s="40"/>
      <c r="T741" s="40"/>
    </row>
    <row r="742" spans="1:20" ht="15.75">
      <c r="A742" s="13">
        <v>63735</v>
      </c>
      <c r="B742" s="48">
        <f t="shared" si="2"/>
        <v>30</v>
      </c>
      <c r="C742" s="39">
        <v>194.20500000000001</v>
      </c>
      <c r="D742" s="39">
        <v>267.46600000000001</v>
      </c>
      <c r="E742" s="45">
        <v>812.32899999999995</v>
      </c>
      <c r="F742" s="39">
        <v>1274</v>
      </c>
      <c r="G742" s="39">
        <v>50</v>
      </c>
      <c r="H742" s="47">
        <v>600</v>
      </c>
      <c r="I742" s="39">
        <v>695</v>
      </c>
      <c r="J742" s="39">
        <v>50</v>
      </c>
      <c r="K742" s="40"/>
      <c r="L742" s="40"/>
      <c r="M742" s="40"/>
      <c r="N742" s="40"/>
      <c r="O742" s="40"/>
      <c r="P742" s="40"/>
      <c r="Q742" s="40"/>
      <c r="R742" s="40"/>
      <c r="S742" s="40"/>
      <c r="T742" s="40"/>
    </row>
    <row r="743" spans="1:20" ht="15.75">
      <c r="A743" s="13">
        <v>63766</v>
      </c>
      <c r="B743" s="48">
        <f t="shared" si="2"/>
        <v>31</v>
      </c>
      <c r="C743" s="39">
        <v>194.20500000000001</v>
      </c>
      <c r="D743" s="39">
        <v>267.46600000000001</v>
      </c>
      <c r="E743" s="45">
        <v>812.32899999999995</v>
      </c>
      <c r="F743" s="39">
        <v>1274</v>
      </c>
      <c r="G743" s="39">
        <v>50</v>
      </c>
      <c r="H743" s="47">
        <v>600</v>
      </c>
      <c r="I743" s="39">
        <v>695</v>
      </c>
      <c r="J743" s="39">
        <v>0</v>
      </c>
      <c r="K743" s="40"/>
      <c r="L743" s="40"/>
      <c r="M743" s="40"/>
      <c r="N743" s="40"/>
      <c r="O743" s="40"/>
      <c r="P743" s="40"/>
      <c r="Q743" s="40"/>
      <c r="R743" s="40"/>
      <c r="S743" s="40"/>
      <c r="T743" s="40"/>
    </row>
    <row r="744" spans="1:20" ht="15.75">
      <c r="A744" s="13">
        <v>63797</v>
      </c>
      <c r="B744" s="48">
        <f t="shared" si="2"/>
        <v>31</v>
      </c>
      <c r="C744" s="39">
        <v>194.20500000000001</v>
      </c>
      <c r="D744" s="39">
        <v>267.46600000000001</v>
      </c>
      <c r="E744" s="45">
        <v>812.32899999999995</v>
      </c>
      <c r="F744" s="39">
        <v>1274</v>
      </c>
      <c r="G744" s="39">
        <v>50</v>
      </c>
      <c r="H744" s="47">
        <v>600</v>
      </c>
      <c r="I744" s="39">
        <v>695</v>
      </c>
      <c r="J744" s="39">
        <v>0</v>
      </c>
      <c r="K744" s="40"/>
      <c r="L744" s="40"/>
      <c r="M744" s="40"/>
      <c r="N744" s="40"/>
      <c r="O744" s="40"/>
      <c r="P744" s="40"/>
      <c r="Q744" s="40"/>
      <c r="R744" s="40"/>
      <c r="S744" s="40"/>
      <c r="T744" s="40"/>
    </row>
    <row r="745" spans="1:20" ht="15.75">
      <c r="A745" s="13">
        <v>63827</v>
      </c>
      <c r="B745" s="48">
        <f t="shared" si="2"/>
        <v>30</v>
      </c>
      <c r="C745" s="39">
        <v>194.20500000000001</v>
      </c>
      <c r="D745" s="39">
        <v>267.46600000000001</v>
      </c>
      <c r="E745" s="45">
        <v>812.32899999999995</v>
      </c>
      <c r="F745" s="39">
        <v>1274</v>
      </c>
      <c r="G745" s="39">
        <v>50</v>
      </c>
      <c r="H745" s="47">
        <v>600</v>
      </c>
      <c r="I745" s="39">
        <v>695</v>
      </c>
      <c r="J745" s="39">
        <v>0</v>
      </c>
      <c r="K745" s="40"/>
      <c r="L745" s="40"/>
      <c r="M745" s="40"/>
      <c r="N745" s="40"/>
      <c r="O745" s="40"/>
      <c r="P745" s="40"/>
      <c r="Q745" s="40"/>
      <c r="R745" s="40"/>
      <c r="S745" s="40"/>
      <c r="T745" s="40"/>
    </row>
    <row r="746" spans="1:20" ht="15.75">
      <c r="A746" s="13">
        <v>63858</v>
      </c>
      <c r="B746" s="48">
        <f t="shared" si="2"/>
        <v>31</v>
      </c>
      <c r="C746" s="39">
        <v>131.881</v>
      </c>
      <c r="D746" s="39">
        <v>277.16699999999997</v>
      </c>
      <c r="E746" s="45">
        <v>829.952</v>
      </c>
      <c r="F746" s="39">
        <v>1239</v>
      </c>
      <c r="G746" s="39">
        <v>75</v>
      </c>
      <c r="H746" s="47">
        <v>600</v>
      </c>
      <c r="I746" s="39">
        <v>695</v>
      </c>
      <c r="J746" s="39">
        <v>0</v>
      </c>
      <c r="K746" s="40"/>
      <c r="L746" s="40"/>
      <c r="M746" s="40"/>
      <c r="N746" s="40"/>
      <c r="O746" s="40"/>
      <c r="P746" s="40"/>
      <c r="Q746" s="40"/>
      <c r="R746" s="40"/>
      <c r="S746" s="40"/>
      <c r="T746" s="40"/>
    </row>
    <row r="747" spans="1:20" ht="15.75">
      <c r="A747" s="13">
        <v>63888</v>
      </c>
      <c r="B747" s="48">
        <f t="shared" si="2"/>
        <v>30</v>
      </c>
      <c r="C747" s="39">
        <v>122.58</v>
      </c>
      <c r="D747" s="39">
        <v>297.94099999999997</v>
      </c>
      <c r="E747" s="45">
        <v>729.47900000000004</v>
      </c>
      <c r="F747" s="39">
        <v>1150</v>
      </c>
      <c r="G747" s="39">
        <v>100</v>
      </c>
      <c r="H747" s="47">
        <v>600</v>
      </c>
      <c r="I747" s="39">
        <v>695</v>
      </c>
      <c r="J747" s="39">
        <v>50</v>
      </c>
      <c r="K747" s="40"/>
      <c r="L747" s="40"/>
      <c r="M747" s="40"/>
      <c r="N747" s="40"/>
      <c r="O747" s="40"/>
      <c r="P747" s="40"/>
      <c r="Q747" s="40"/>
      <c r="R747" s="40"/>
      <c r="S747" s="40"/>
      <c r="T747" s="40"/>
    </row>
    <row r="748" spans="1:20" ht="15.75">
      <c r="A748" s="13">
        <v>63919</v>
      </c>
      <c r="B748" s="48">
        <f t="shared" si="2"/>
        <v>31</v>
      </c>
      <c r="C748" s="39">
        <v>122.58</v>
      </c>
      <c r="D748" s="39">
        <v>297.94099999999997</v>
      </c>
      <c r="E748" s="45">
        <v>729.47900000000004</v>
      </c>
      <c r="F748" s="39">
        <v>1150</v>
      </c>
      <c r="G748" s="39">
        <v>100</v>
      </c>
      <c r="H748" s="47">
        <v>600</v>
      </c>
      <c r="I748" s="39">
        <v>695</v>
      </c>
      <c r="J748" s="39">
        <v>50</v>
      </c>
      <c r="K748" s="40"/>
      <c r="L748" s="40"/>
      <c r="M748" s="40"/>
      <c r="N748" s="40"/>
      <c r="O748" s="40"/>
      <c r="P748" s="40"/>
      <c r="Q748" s="40"/>
      <c r="R748" s="40"/>
      <c r="S748" s="40"/>
      <c r="T748" s="40"/>
    </row>
    <row r="749" spans="1:20" ht="15.75">
      <c r="A749" s="13">
        <v>63950</v>
      </c>
      <c r="B749" s="48">
        <f t="shared" si="2"/>
        <v>31</v>
      </c>
      <c r="C749" s="39">
        <v>122.58</v>
      </c>
      <c r="D749" s="39">
        <v>297.94099999999997</v>
      </c>
      <c r="E749" s="45">
        <v>729.47900000000004</v>
      </c>
      <c r="F749" s="39">
        <v>1150</v>
      </c>
      <c r="G749" s="39">
        <v>100</v>
      </c>
      <c r="H749" s="47">
        <v>600</v>
      </c>
      <c r="I749" s="39">
        <v>695</v>
      </c>
      <c r="J749" s="39">
        <v>50</v>
      </c>
      <c r="K749" s="40"/>
      <c r="L749" s="40"/>
      <c r="M749" s="40"/>
      <c r="N749" s="40"/>
      <c r="O749" s="40"/>
      <c r="P749" s="40"/>
      <c r="Q749" s="40"/>
      <c r="R749" s="40"/>
      <c r="S749" s="40"/>
      <c r="T749" s="40"/>
    </row>
    <row r="750" spans="1:20" ht="15.75">
      <c r="A750" s="13">
        <v>63978</v>
      </c>
      <c r="B750" s="48">
        <f t="shared" si="2"/>
        <v>28</v>
      </c>
      <c r="C750" s="39">
        <v>122.58</v>
      </c>
      <c r="D750" s="39">
        <v>297.94099999999997</v>
      </c>
      <c r="E750" s="45">
        <v>729.47900000000004</v>
      </c>
      <c r="F750" s="39">
        <v>1150</v>
      </c>
      <c r="G750" s="39">
        <v>100</v>
      </c>
      <c r="H750" s="47">
        <v>600</v>
      </c>
      <c r="I750" s="39">
        <v>695</v>
      </c>
      <c r="J750" s="39">
        <v>50</v>
      </c>
      <c r="K750" s="40"/>
      <c r="L750" s="40"/>
      <c r="M750" s="40"/>
      <c r="N750" s="40"/>
      <c r="O750" s="40"/>
      <c r="P750" s="40"/>
      <c r="Q750" s="40"/>
      <c r="R750" s="40"/>
      <c r="S750" s="40"/>
      <c r="T750" s="40"/>
    </row>
    <row r="751" spans="1:20" ht="15.75">
      <c r="A751" s="13">
        <v>64009</v>
      </c>
      <c r="B751" s="48">
        <f t="shared" si="2"/>
        <v>31</v>
      </c>
      <c r="C751" s="39">
        <v>122.58</v>
      </c>
      <c r="D751" s="39">
        <v>297.94099999999997</v>
      </c>
      <c r="E751" s="45">
        <v>729.47900000000004</v>
      </c>
      <c r="F751" s="39">
        <v>1150</v>
      </c>
      <c r="G751" s="39">
        <v>100</v>
      </c>
      <c r="H751" s="47">
        <v>600</v>
      </c>
      <c r="I751" s="39">
        <v>695</v>
      </c>
      <c r="J751" s="39">
        <v>50</v>
      </c>
      <c r="K751" s="40"/>
      <c r="L751" s="40"/>
      <c r="M751" s="40"/>
      <c r="N751" s="40"/>
      <c r="O751" s="40"/>
      <c r="P751" s="40"/>
      <c r="Q751" s="40"/>
      <c r="R751" s="40"/>
      <c r="S751" s="40"/>
      <c r="T751" s="40"/>
    </row>
    <row r="752" spans="1:20" ht="15.75">
      <c r="A752" s="13">
        <v>64039</v>
      </c>
      <c r="B752" s="48">
        <f t="shared" si="2"/>
        <v>30</v>
      </c>
      <c r="C752" s="39">
        <v>141.29300000000001</v>
      </c>
      <c r="D752" s="39">
        <v>267.99299999999999</v>
      </c>
      <c r="E752" s="45">
        <v>829.71400000000006</v>
      </c>
      <c r="F752" s="39">
        <v>1239</v>
      </c>
      <c r="G752" s="39">
        <v>100</v>
      </c>
      <c r="H752" s="47">
        <v>600</v>
      </c>
      <c r="I752" s="39">
        <v>695</v>
      </c>
      <c r="J752" s="39">
        <v>50</v>
      </c>
      <c r="K752" s="40"/>
      <c r="L752" s="40"/>
      <c r="M752" s="40"/>
      <c r="N752" s="40"/>
      <c r="O752" s="40"/>
      <c r="P752" s="40"/>
      <c r="Q752" s="40"/>
      <c r="R752" s="40"/>
      <c r="S752" s="40"/>
      <c r="T752" s="40"/>
    </row>
    <row r="753" spans="1:20" ht="15.75">
      <c r="A753" s="13">
        <v>64070</v>
      </c>
      <c r="B753" s="48">
        <f t="shared" si="2"/>
        <v>31</v>
      </c>
      <c r="C753" s="39">
        <v>194.20500000000001</v>
      </c>
      <c r="D753" s="39">
        <v>267.46600000000001</v>
      </c>
      <c r="E753" s="45">
        <v>812.32899999999995</v>
      </c>
      <c r="F753" s="39">
        <v>1274</v>
      </c>
      <c r="G753" s="39">
        <v>75</v>
      </c>
      <c r="H753" s="47">
        <v>600</v>
      </c>
      <c r="I753" s="39">
        <v>695</v>
      </c>
      <c r="J753" s="39">
        <v>50</v>
      </c>
      <c r="K753" s="40"/>
      <c r="L753" s="40"/>
      <c r="M753" s="40"/>
      <c r="N753" s="40"/>
      <c r="O753" s="40"/>
      <c r="P753" s="40"/>
      <c r="Q753" s="40"/>
      <c r="R753" s="40"/>
      <c r="S753" s="40"/>
      <c r="T753" s="40"/>
    </row>
    <row r="754" spans="1:20" ht="15.75">
      <c r="A754" s="13">
        <v>64100</v>
      </c>
      <c r="B754" s="48">
        <f t="shared" si="2"/>
        <v>30</v>
      </c>
      <c r="C754" s="39">
        <v>194.20500000000001</v>
      </c>
      <c r="D754" s="39">
        <v>267.46600000000001</v>
      </c>
      <c r="E754" s="45">
        <v>812.32899999999995</v>
      </c>
      <c r="F754" s="39">
        <v>1274</v>
      </c>
      <c r="G754" s="39">
        <v>50</v>
      </c>
      <c r="H754" s="47">
        <v>600</v>
      </c>
      <c r="I754" s="39">
        <v>695</v>
      </c>
      <c r="J754" s="39">
        <v>50</v>
      </c>
      <c r="K754" s="40"/>
      <c r="L754" s="40"/>
      <c r="M754" s="40"/>
      <c r="N754" s="40"/>
      <c r="O754" s="40"/>
      <c r="P754" s="40"/>
      <c r="Q754" s="40"/>
      <c r="R754" s="40"/>
      <c r="S754" s="40"/>
      <c r="T754" s="40"/>
    </row>
    <row r="755" spans="1:20" ht="15.75">
      <c r="A755" s="13">
        <v>64131</v>
      </c>
      <c r="B755" s="48">
        <f t="shared" si="2"/>
        <v>31</v>
      </c>
      <c r="C755" s="39">
        <v>194.20500000000001</v>
      </c>
      <c r="D755" s="39">
        <v>267.46600000000001</v>
      </c>
      <c r="E755" s="45">
        <v>812.32899999999995</v>
      </c>
      <c r="F755" s="39">
        <v>1274</v>
      </c>
      <c r="G755" s="39">
        <v>50</v>
      </c>
      <c r="H755" s="47">
        <v>600</v>
      </c>
      <c r="I755" s="39">
        <v>695</v>
      </c>
      <c r="J755" s="39">
        <v>0</v>
      </c>
      <c r="K755" s="40"/>
      <c r="L755" s="40"/>
      <c r="M755" s="40"/>
      <c r="N755" s="40"/>
      <c r="O755" s="40"/>
      <c r="P755" s="40"/>
      <c r="Q755" s="40"/>
      <c r="R755" s="40"/>
      <c r="S755" s="40"/>
      <c r="T755" s="40"/>
    </row>
    <row r="756" spans="1:20" ht="15.75">
      <c r="A756" s="13">
        <v>64162</v>
      </c>
      <c r="B756" s="48">
        <f t="shared" si="2"/>
        <v>31</v>
      </c>
      <c r="C756" s="39">
        <v>194.20500000000001</v>
      </c>
      <c r="D756" s="39">
        <v>267.46600000000001</v>
      </c>
      <c r="E756" s="45">
        <v>812.32899999999995</v>
      </c>
      <c r="F756" s="39">
        <v>1274</v>
      </c>
      <c r="G756" s="39">
        <v>50</v>
      </c>
      <c r="H756" s="47">
        <v>600</v>
      </c>
      <c r="I756" s="39">
        <v>695</v>
      </c>
      <c r="J756" s="39">
        <v>0</v>
      </c>
      <c r="K756" s="40"/>
      <c r="L756" s="40"/>
      <c r="M756" s="40"/>
      <c r="N756" s="40"/>
      <c r="O756" s="40"/>
      <c r="P756" s="40"/>
      <c r="Q756" s="40"/>
      <c r="R756" s="40"/>
      <c r="S756" s="40"/>
      <c r="T756" s="40"/>
    </row>
    <row r="757" spans="1:20" ht="15.75">
      <c r="A757" s="13">
        <v>64192</v>
      </c>
      <c r="B757" s="48">
        <f t="shared" si="2"/>
        <v>30</v>
      </c>
      <c r="C757" s="39">
        <v>194.20500000000001</v>
      </c>
      <c r="D757" s="39">
        <v>267.46600000000001</v>
      </c>
      <c r="E757" s="45">
        <v>812.32899999999995</v>
      </c>
      <c r="F757" s="39">
        <v>1274</v>
      </c>
      <c r="G757" s="39">
        <v>50</v>
      </c>
      <c r="H757" s="47">
        <v>600</v>
      </c>
      <c r="I757" s="39">
        <v>695</v>
      </c>
      <c r="J757" s="39">
        <v>0</v>
      </c>
      <c r="K757" s="40"/>
      <c r="L757" s="40"/>
      <c r="M757" s="40"/>
      <c r="N757" s="40"/>
      <c r="O757" s="40"/>
      <c r="P757" s="40"/>
      <c r="Q757" s="40"/>
      <c r="R757" s="40"/>
      <c r="S757" s="40"/>
      <c r="T757" s="40"/>
    </row>
    <row r="758" spans="1:20" ht="15.75">
      <c r="A758" s="13">
        <v>64223</v>
      </c>
      <c r="B758" s="48">
        <f t="shared" si="2"/>
        <v>31</v>
      </c>
      <c r="C758" s="39">
        <v>131.881</v>
      </c>
      <c r="D758" s="39">
        <v>277.16699999999997</v>
      </c>
      <c r="E758" s="45">
        <v>829.952</v>
      </c>
      <c r="F758" s="39">
        <v>1239</v>
      </c>
      <c r="G758" s="39">
        <v>75</v>
      </c>
      <c r="H758" s="47">
        <v>600</v>
      </c>
      <c r="I758" s="39">
        <v>695</v>
      </c>
      <c r="J758" s="39">
        <v>0</v>
      </c>
      <c r="K758" s="40"/>
      <c r="L758" s="40"/>
      <c r="M758" s="40"/>
      <c r="N758" s="40"/>
      <c r="O758" s="40"/>
      <c r="P758" s="40"/>
      <c r="Q758" s="40"/>
      <c r="R758" s="40"/>
      <c r="S758" s="40"/>
      <c r="T758" s="40"/>
    </row>
    <row r="759" spans="1:20" ht="15.75">
      <c r="A759" s="13">
        <v>64253</v>
      </c>
      <c r="B759" s="48">
        <f t="shared" si="2"/>
        <v>30</v>
      </c>
      <c r="C759" s="39">
        <v>122.58</v>
      </c>
      <c r="D759" s="39">
        <v>297.94099999999997</v>
      </c>
      <c r="E759" s="45">
        <v>729.47900000000004</v>
      </c>
      <c r="F759" s="39">
        <v>1150</v>
      </c>
      <c r="G759" s="39">
        <v>100</v>
      </c>
      <c r="H759" s="47">
        <v>600</v>
      </c>
      <c r="I759" s="39">
        <v>695</v>
      </c>
      <c r="J759" s="39">
        <v>50</v>
      </c>
      <c r="K759" s="40"/>
      <c r="L759" s="40"/>
      <c r="M759" s="40"/>
      <c r="N759" s="40"/>
      <c r="O759" s="40"/>
      <c r="P759" s="40"/>
      <c r="Q759" s="40"/>
      <c r="R759" s="40"/>
      <c r="S759" s="40"/>
      <c r="T759" s="40"/>
    </row>
    <row r="760" spans="1:20" ht="15.75">
      <c r="A760" s="13">
        <v>64284</v>
      </c>
      <c r="B760" s="48">
        <f t="shared" si="2"/>
        <v>31</v>
      </c>
      <c r="C760" s="39">
        <v>122.58</v>
      </c>
      <c r="D760" s="39">
        <v>297.94099999999997</v>
      </c>
      <c r="E760" s="45">
        <v>729.47900000000004</v>
      </c>
      <c r="F760" s="39">
        <v>1150</v>
      </c>
      <c r="G760" s="39">
        <v>100</v>
      </c>
      <c r="H760" s="47">
        <v>600</v>
      </c>
      <c r="I760" s="39">
        <v>695</v>
      </c>
      <c r="J760" s="39">
        <v>50</v>
      </c>
      <c r="K760" s="40"/>
      <c r="L760" s="40"/>
      <c r="M760" s="40"/>
      <c r="N760" s="40"/>
      <c r="O760" s="40"/>
      <c r="P760" s="40"/>
      <c r="Q760" s="40"/>
      <c r="R760" s="40"/>
      <c r="S760" s="40"/>
      <c r="T760" s="40"/>
    </row>
    <row r="761" spans="1:20" ht="15.75">
      <c r="A761" s="13">
        <v>64315</v>
      </c>
      <c r="B761" s="48">
        <f t="shared" si="2"/>
        <v>31</v>
      </c>
      <c r="C761" s="39">
        <v>122.58</v>
      </c>
      <c r="D761" s="39">
        <v>297.94099999999997</v>
      </c>
      <c r="E761" s="45">
        <v>729.47900000000004</v>
      </c>
      <c r="F761" s="39">
        <v>1150</v>
      </c>
      <c r="G761" s="39">
        <v>100</v>
      </c>
      <c r="H761" s="47">
        <v>600</v>
      </c>
      <c r="I761" s="39">
        <v>695</v>
      </c>
      <c r="J761" s="39">
        <v>50</v>
      </c>
      <c r="K761" s="40"/>
      <c r="L761" s="40"/>
      <c r="M761" s="40"/>
      <c r="N761" s="40"/>
      <c r="O761" s="40"/>
      <c r="P761" s="40"/>
      <c r="Q761" s="40"/>
      <c r="R761" s="40"/>
      <c r="S761" s="40"/>
      <c r="T761" s="40"/>
    </row>
    <row r="762" spans="1:20" ht="15.75">
      <c r="A762" s="13">
        <v>64344</v>
      </c>
      <c r="B762" s="48">
        <f t="shared" si="2"/>
        <v>29</v>
      </c>
      <c r="C762" s="39">
        <v>122.58</v>
      </c>
      <c r="D762" s="39">
        <v>297.94099999999997</v>
      </c>
      <c r="E762" s="45">
        <v>729.47900000000004</v>
      </c>
      <c r="F762" s="39">
        <v>1150</v>
      </c>
      <c r="G762" s="39">
        <v>100</v>
      </c>
      <c r="H762" s="47">
        <v>600</v>
      </c>
      <c r="I762" s="39">
        <v>695</v>
      </c>
      <c r="J762" s="39">
        <v>50</v>
      </c>
      <c r="K762" s="40"/>
      <c r="L762" s="40"/>
      <c r="M762" s="40"/>
      <c r="N762" s="40"/>
      <c r="O762" s="40"/>
      <c r="P762" s="40"/>
      <c r="Q762" s="40"/>
      <c r="R762" s="40"/>
      <c r="S762" s="40"/>
      <c r="T762" s="40"/>
    </row>
    <row r="763" spans="1:20" ht="15.75">
      <c r="A763" s="13">
        <v>64375</v>
      </c>
      <c r="B763" s="48">
        <f t="shared" si="2"/>
        <v>31</v>
      </c>
      <c r="C763" s="39">
        <v>122.58</v>
      </c>
      <c r="D763" s="39">
        <v>297.94099999999997</v>
      </c>
      <c r="E763" s="45">
        <v>729.47900000000004</v>
      </c>
      <c r="F763" s="39">
        <v>1150</v>
      </c>
      <c r="G763" s="39">
        <v>100</v>
      </c>
      <c r="H763" s="47">
        <v>600</v>
      </c>
      <c r="I763" s="39">
        <v>695</v>
      </c>
      <c r="J763" s="39">
        <v>50</v>
      </c>
      <c r="K763" s="40"/>
      <c r="L763" s="40"/>
      <c r="M763" s="40"/>
      <c r="N763" s="40"/>
      <c r="O763" s="40"/>
      <c r="P763" s="40"/>
      <c r="Q763" s="40"/>
      <c r="R763" s="40"/>
      <c r="S763" s="40"/>
      <c r="T763" s="40"/>
    </row>
    <row r="764" spans="1:20" ht="15.75">
      <c r="A764" s="13">
        <v>64405</v>
      </c>
      <c r="B764" s="48">
        <f t="shared" si="2"/>
        <v>30</v>
      </c>
      <c r="C764" s="39">
        <v>141.29300000000001</v>
      </c>
      <c r="D764" s="39">
        <v>267.99299999999999</v>
      </c>
      <c r="E764" s="45">
        <v>829.71400000000006</v>
      </c>
      <c r="F764" s="39">
        <v>1239</v>
      </c>
      <c r="G764" s="39">
        <v>100</v>
      </c>
      <c r="H764" s="47">
        <v>600</v>
      </c>
      <c r="I764" s="39">
        <v>695</v>
      </c>
      <c r="J764" s="39">
        <v>50</v>
      </c>
      <c r="K764" s="40"/>
      <c r="L764" s="40"/>
      <c r="M764" s="40"/>
      <c r="N764" s="40"/>
      <c r="O764" s="40"/>
      <c r="P764" s="40"/>
      <c r="Q764" s="40"/>
      <c r="R764" s="40"/>
      <c r="S764" s="40"/>
      <c r="T764" s="40"/>
    </row>
    <row r="765" spans="1:20" ht="15.75">
      <c r="A765" s="13">
        <v>64436</v>
      </c>
      <c r="B765" s="48">
        <f t="shared" si="2"/>
        <v>31</v>
      </c>
      <c r="C765" s="39">
        <v>194.20500000000001</v>
      </c>
      <c r="D765" s="39">
        <v>267.46600000000001</v>
      </c>
      <c r="E765" s="45">
        <v>812.32899999999995</v>
      </c>
      <c r="F765" s="39">
        <v>1274</v>
      </c>
      <c r="G765" s="39">
        <v>75</v>
      </c>
      <c r="H765" s="47">
        <v>600</v>
      </c>
      <c r="I765" s="39">
        <v>695</v>
      </c>
      <c r="J765" s="39">
        <v>50</v>
      </c>
      <c r="K765" s="40"/>
      <c r="L765" s="40"/>
      <c r="M765" s="40"/>
      <c r="N765" s="40"/>
      <c r="O765" s="40"/>
      <c r="P765" s="40"/>
      <c r="Q765" s="40"/>
      <c r="R765" s="40"/>
      <c r="S765" s="40"/>
      <c r="T765" s="40"/>
    </row>
    <row r="766" spans="1:20" ht="15.75">
      <c r="A766" s="13">
        <v>64466</v>
      </c>
      <c r="B766" s="48">
        <f t="shared" si="2"/>
        <v>30</v>
      </c>
      <c r="C766" s="39">
        <v>194.20500000000001</v>
      </c>
      <c r="D766" s="39">
        <v>267.46600000000001</v>
      </c>
      <c r="E766" s="45">
        <v>812.32899999999995</v>
      </c>
      <c r="F766" s="39">
        <v>1274</v>
      </c>
      <c r="G766" s="39">
        <v>50</v>
      </c>
      <c r="H766" s="47">
        <v>600</v>
      </c>
      <c r="I766" s="39">
        <v>695</v>
      </c>
      <c r="J766" s="39">
        <v>50</v>
      </c>
      <c r="K766" s="40"/>
      <c r="L766" s="40"/>
      <c r="M766" s="40"/>
      <c r="N766" s="40"/>
      <c r="O766" s="40"/>
      <c r="P766" s="40"/>
      <c r="Q766" s="40"/>
      <c r="R766" s="40"/>
      <c r="S766" s="40"/>
      <c r="T766" s="40"/>
    </row>
    <row r="767" spans="1:20" ht="15.75">
      <c r="A767" s="13">
        <v>64497</v>
      </c>
      <c r="B767" s="48">
        <f t="shared" si="2"/>
        <v>31</v>
      </c>
      <c r="C767" s="39">
        <v>194.20500000000001</v>
      </c>
      <c r="D767" s="39">
        <v>267.46600000000001</v>
      </c>
      <c r="E767" s="45">
        <v>812.32899999999995</v>
      </c>
      <c r="F767" s="39">
        <v>1274</v>
      </c>
      <c r="G767" s="39">
        <v>50</v>
      </c>
      <c r="H767" s="47">
        <v>600</v>
      </c>
      <c r="I767" s="39">
        <v>695</v>
      </c>
      <c r="J767" s="39">
        <v>0</v>
      </c>
      <c r="K767" s="40"/>
      <c r="L767" s="40"/>
      <c r="M767" s="40"/>
      <c r="N767" s="40"/>
      <c r="O767" s="40"/>
      <c r="P767" s="40"/>
      <c r="Q767" s="40"/>
      <c r="R767" s="40"/>
      <c r="S767" s="40"/>
      <c r="T767" s="40"/>
    </row>
    <row r="768" spans="1:20" ht="15.75">
      <c r="A768" s="13">
        <v>64528</v>
      </c>
      <c r="B768" s="48">
        <f t="shared" si="2"/>
        <v>31</v>
      </c>
      <c r="C768" s="39">
        <v>194.20500000000001</v>
      </c>
      <c r="D768" s="39">
        <v>267.46600000000001</v>
      </c>
      <c r="E768" s="45">
        <v>812.32899999999995</v>
      </c>
      <c r="F768" s="39">
        <v>1274</v>
      </c>
      <c r="G768" s="39">
        <v>50</v>
      </c>
      <c r="H768" s="47">
        <v>600</v>
      </c>
      <c r="I768" s="39">
        <v>695</v>
      </c>
      <c r="J768" s="39">
        <v>0</v>
      </c>
      <c r="K768" s="40"/>
      <c r="L768" s="40"/>
      <c r="M768" s="40"/>
      <c r="N768" s="40"/>
      <c r="O768" s="40"/>
      <c r="P768" s="40"/>
      <c r="Q768" s="40"/>
      <c r="R768" s="40"/>
      <c r="S768" s="40"/>
      <c r="T768" s="40"/>
    </row>
    <row r="769" spans="1:20" ht="15.75">
      <c r="A769" s="13">
        <v>64558</v>
      </c>
      <c r="B769" s="48">
        <f t="shared" si="2"/>
        <v>30</v>
      </c>
      <c r="C769" s="39">
        <v>194.20500000000001</v>
      </c>
      <c r="D769" s="39">
        <v>267.46600000000001</v>
      </c>
      <c r="E769" s="45">
        <v>812.32899999999995</v>
      </c>
      <c r="F769" s="39">
        <v>1274</v>
      </c>
      <c r="G769" s="39">
        <v>50</v>
      </c>
      <c r="H769" s="47">
        <v>600</v>
      </c>
      <c r="I769" s="39">
        <v>695</v>
      </c>
      <c r="J769" s="39">
        <v>0</v>
      </c>
      <c r="K769" s="40"/>
      <c r="L769" s="40"/>
      <c r="M769" s="40"/>
      <c r="N769" s="40"/>
      <c r="O769" s="40"/>
      <c r="P769" s="40"/>
      <c r="Q769" s="40"/>
      <c r="R769" s="40"/>
      <c r="S769" s="40"/>
      <c r="T769" s="40"/>
    </row>
    <row r="770" spans="1:20" ht="15.75">
      <c r="A770" s="13">
        <v>64589</v>
      </c>
      <c r="B770" s="48">
        <f t="shared" si="2"/>
        <v>31</v>
      </c>
      <c r="C770" s="39">
        <v>131.881</v>
      </c>
      <c r="D770" s="39">
        <v>277.16699999999997</v>
      </c>
      <c r="E770" s="45">
        <v>829.952</v>
      </c>
      <c r="F770" s="39">
        <v>1239</v>
      </c>
      <c r="G770" s="39">
        <v>75</v>
      </c>
      <c r="H770" s="47">
        <v>600</v>
      </c>
      <c r="I770" s="39">
        <v>695</v>
      </c>
      <c r="J770" s="39">
        <v>0</v>
      </c>
      <c r="K770" s="40"/>
      <c r="L770" s="40"/>
      <c r="M770" s="40"/>
      <c r="N770" s="40"/>
      <c r="O770" s="40"/>
      <c r="P770" s="40"/>
      <c r="Q770" s="40"/>
      <c r="R770" s="40"/>
      <c r="S770" s="40"/>
      <c r="T770" s="40"/>
    </row>
    <row r="771" spans="1:20" ht="15.75">
      <c r="A771" s="13">
        <v>64619</v>
      </c>
      <c r="B771" s="48">
        <f t="shared" si="2"/>
        <v>30</v>
      </c>
      <c r="C771" s="39">
        <v>122.58</v>
      </c>
      <c r="D771" s="39">
        <v>297.94099999999997</v>
      </c>
      <c r="E771" s="45">
        <v>729.47900000000004</v>
      </c>
      <c r="F771" s="39">
        <v>1150</v>
      </c>
      <c r="G771" s="39">
        <v>100</v>
      </c>
      <c r="H771" s="47">
        <v>600</v>
      </c>
      <c r="I771" s="39">
        <v>695</v>
      </c>
      <c r="J771" s="39">
        <v>50</v>
      </c>
      <c r="K771" s="40"/>
      <c r="L771" s="40"/>
      <c r="M771" s="40"/>
      <c r="N771" s="40"/>
      <c r="O771" s="40"/>
      <c r="P771" s="40"/>
      <c r="Q771" s="40"/>
      <c r="R771" s="40"/>
      <c r="S771" s="40"/>
      <c r="T771" s="40"/>
    </row>
    <row r="772" spans="1:20" ht="15.75">
      <c r="A772" s="13">
        <v>64650</v>
      </c>
      <c r="B772" s="48">
        <f t="shared" si="2"/>
        <v>31</v>
      </c>
      <c r="C772" s="39">
        <v>122.58</v>
      </c>
      <c r="D772" s="39">
        <v>297.94099999999997</v>
      </c>
      <c r="E772" s="45">
        <v>729.47900000000004</v>
      </c>
      <c r="F772" s="39">
        <v>1150</v>
      </c>
      <c r="G772" s="39">
        <v>100</v>
      </c>
      <c r="H772" s="47">
        <v>600</v>
      </c>
      <c r="I772" s="39">
        <v>695</v>
      </c>
      <c r="J772" s="39">
        <v>50</v>
      </c>
      <c r="K772" s="40"/>
      <c r="L772" s="40"/>
      <c r="M772" s="40"/>
      <c r="N772" s="40"/>
      <c r="O772" s="40"/>
      <c r="P772" s="40"/>
      <c r="Q772" s="40"/>
      <c r="R772" s="40"/>
      <c r="S772" s="40"/>
      <c r="T772" s="40"/>
    </row>
    <row r="773" spans="1:20" ht="15.75">
      <c r="A773" s="13">
        <v>64681</v>
      </c>
      <c r="B773" s="48">
        <f t="shared" si="2"/>
        <v>31</v>
      </c>
      <c r="C773" s="39">
        <v>122.58</v>
      </c>
      <c r="D773" s="39">
        <v>297.94099999999997</v>
      </c>
      <c r="E773" s="45">
        <v>729.47900000000004</v>
      </c>
      <c r="F773" s="39">
        <v>1150</v>
      </c>
      <c r="G773" s="39">
        <v>100</v>
      </c>
      <c r="H773" s="47">
        <v>600</v>
      </c>
      <c r="I773" s="39">
        <v>695</v>
      </c>
      <c r="J773" s="39">
        <v>50</v>
      </c>
      <c r="K773" s="40"/>
      <c r="L773" s="40"/>
      <c r="M773" s="40"/>
      <c r="N773" s="40"/>
      <c r="O773" s="40"/>
      <c r="P773" s="40"/>
      <c r="Q773" s="40"/>
      <c r="R773" s="40"/>
      <c r="S773" s="40"/>
      <c r="T773" s="40"/>
    </row>
    <row r="774" spans="1:20" ht="15.75">
      <c r="A774" s="13">
        <v>64709</v>
      </c>
      <c r="B774" s="48">
        <f t="shared" si="2"/>
        <v>28</v>
      </c>
      <c r="C774" s="39">
        <v>122.58</v>
      </c>
      <c r="D774" s="39">
        <v>297.94099999999997</v>
      </c>
      <c r="E774" s="45">
        <v>729.47900000000004</v>
      </c>
      <c r="F774" s="39">
        <v>1150</v>
      </c>
      <c r="G774" s="39">
        <v>100</v>
      </c>
      <c r="H774" s="47">
        <v>600</v>
      </c>
      <c r="I774" s="39">
        <v>695</v>
      </c>
      <c r="J774" s="39">
        <v>50</v>
      </c>
      <c r="K774" s="40"/>
      <c r="L774" s="40"/>
      <c r="M774" s="40"/>
      <c r="N774" s="40"/>
      <c r="O774" s="40"/>
      <c r="P774" s="40"/>
      <c r="Q774" s="40"/>
      <c r="R774" s="40"/>
      <c r="S774" s="40"/>
      <c r="T774" s="40"/>
    </row>
    <row r="775" spans="1:20" ht="15.75">
      <c r="A775" s="13">
        <v>64740</v>
      </c>
      <c r="B775" s="48">
        <f t="shared" si="2"/>
        <v>31</v>
      </c>
      <c r="C775" s="39">
        <v>122.58</v>
      </c>
      <c r="D775" s="39">
        <v>297.94099999999997</v>
      </c>
      <c r="E775" s="45">
        <v>729.47900000000004</v>
      </c>
      <c r="F775" s="39">
        <v>1150</v>
      </c>
      <c r="G775" s="39">
        <v>100</v>
      </c>
      <c r="H775" s="47">
        <v>600</v>
      </c>
      <c r="I775" s="39">
        <v>695</v>
      </c>
      <c r="J775" s="39">
        <v>50</v>
      </c>
      <c r="K775" s="40"/>
      <c r="L775" s="40"/>
      <c r="M775" s="40"/>
      <c r="N775" s="40"/>
      <c r="O775" s="40"/>
      <c r="P775" s="40"/>
      <c r="Q775" s="40"/>
      <c r="R775" s="40"/>
      <c r="S775" s="40"/>
      <c r="T775" s="40"/>
    </row>
    <row r="776" spans="1:20" ht="15.75">
      <c r="A776" s="13">
        <v>64770</v>
      </c>
      <c r="B776" s="48">
        <f t="shared" si="2"/>
        <v>30</v>
      </c>
      <c r="C776" s="39">
        <v>141.29300000000001</v>
      </c>
      <c r="D776" s="39">
        <v>267.99299999999999</v>
      </c>
      <c r="E776" s="45">
        <v>829.71400000000006</v>
      </c>
      <c r="F776" s="39">
        <v>1239</v>
      </c>
      <c r="G776" s="39">
        <v>100</v>
      </c>
      <c r="H776" s="47">
        <v>600</v>
      </c>
      <c r="I776" s="39">
        <v>695</v>
      </c>
      <c r="J776" s="39">
        <v>50</v>
      </c>
      <c r="K776" s="40"/>
      <c r="L776" s="40"/>
      <c r="M776" s="40"/>
      <c r="N776" s="40"/>
      <c r="O776" s="40"/>
      <c r="P776" s="40"/>
      <c r="Q776" s="40"/>
      <c r="R776" s="40"/>
      <c r="S776" s="40"/>
      <c r="T776" s="40"/>
    </row>
    <row r="777" spans="1:20" ht="15.75">
      <c r="A777" s="13">
        <v>64801</v>
      </c>
      <c r="B777" s="48">
        <f t="shared" si="2"/>
        <v>31</v>
      </c>
      <c r="C777" s="39">
        <v>194.20500000000001</v>
      </c>
      <c r="D777" s="39">
        <v>267.46600000000001</v>
      </c>
      <c r="E777" s="45">
        <v>812.32899999999995</v>
      </c>
      <c r="F777" s="39">
        <v>1274</v>
      </c>
      <c r="G777" s="39">
        <v>75</v>
      </c>
      <c r="H777" s="47">
        <v>600</v>
      </c>
      <c r="I777" s="39">
        <v>695</v>
      </c>
      <c r="J777" s="39">
        <v>50</v>
      </c>
      <c r="K777" s="40"/>
      <c r="L777" s="40"/>
      <c r="M777" s="40"/>
      <c r="N777" s="40"/>
      <c r="O777" s="40"/>
      <c r="P777" s="40"/>
      <c r="Q777" s="40"/>
      <c r="R777" s="40"/>
      <c r="S777" s="40"/>
      <c r="T777" s="40"/>
    </row>
    <row r="778" spans="1:20" ht="15.75">
      <c r="A778" s="13">
        <v>64831</v>
      </c>
      <c r="B778" s="48">
        <f t="shared" si="2"/>
        <v>30</v>
      </c>
      <c r="C778" s="39">
        <v>194.20500000000001</v>
      </c>
      <c r="D778" s="39">
        <v>267.46600000000001</v>
      </c>
      <c r="E778" s="45">
        <v>812.32899999999995</v>
      </c>
      <c r="F778" s="39">
        <v>1274</v>
      </c>
      <c r="G778" s="39">
        <v>50</v>
      </c>
      <c r="H778" s="47">
        <v>600</v>
      </c>
      <c r="I778" s="39">
        <v>695</v>
      </c>
      <c r="J778" s="39">
        <v>50</v>
      </c>
      <c r="K778" s="40"/>
      <c r="L778" s="40"/>
      <c r="M778" s="40"/>
      <c r="N778" s="40"/>
      <c r="O778" s="40"/>
      <c r="P778" s="40"/>
      <c r="Q778" s="40"/>
      <c r="R778" s="40"/>
      <c r="S778" s="40"/>
      <c r="T778" s="40"/>
    </row>
    <row r="779" spans="1:20" ht="15.75">
      <c r="A779" s="13">
        <v>64862</v>
      </c>
      <c r="B779" s="48">
        <f t="shared" si="2"/>
        <v>31</v>
      </c>
      <c r="C779" s="39">
        <v>194.20500000000001</v>
      </c>
      <c r="D779" s="39">
        <v>267.46600000000001</v>
      </c>
      <c r="E779" s="45">
        <v>812.32899999999995</v>
      </c>
      <c r="F779" s="39">
        <v>1274</v>
      </c>
      <c r="G779" s="39">
        <v>50</v>
      </c>
      <c r="H779" s="47">
        <v>600</v>
      </c>
      <c r="I779" s="39">
        <v>695</v>
      </c>
      <c r="J779" s="39">
        <v>0</v>
      </c>
      <c r="K779" s="40"/>
      <c r="L779" s="40"/>
      <c r="M779" s="40"/>
      <c r="N779" s="40"/>
      <c r="O779" s="40"/>
      <c r="P779" s="40"/>
      <c r="Q779" s="40"/>
      <c r="R779" s="40"/>
      <c r="S779" s="40"/>
      <c r="T779" s="40"/>
    </row>
    <row r="780" spans="1:20" ht="15.75">
      <c r="A780" s="13">
        <v>64893</v>
      </c>
      <c r="B780" s="48">
        <f t="shared" si="2"/>
        <v>31</v>
      </c>
      <c r="C780" s="39">
        <v>194.20500000000001</v>
      </c>
      <c r="D780" s="39">
        <v>267.46600000000001</v>
      </c>
      <c r="E780" s="45">
        <v>812.32899999999995</v>
      </c>
      <c r="F780" s="39">
        <v>1274</v>
      </c>
      <c r="G780" s="39">
        <v>50</v>
      </c>
      <c r="H780" s="47">
        <v>600</v>
      </c>
      <c r="I780" s="39">
        <v>695</v>
      </c>
      <c r="J780" s="39">
        <v>0</v>
      </c>
      <c r="K780" s="40"/>
      <c r="L780" s="40"/>
      <c r="M780" s="40"/>
      <c r="N780" s="40"/>
      <c r="O780" s="40"/>
      <c r="P780" s="40"/>
      <c r="Q780" s="40"/>
      <c r="R780" s="40"/>
      <c r="S780" s="40"/>
      <c r="T780" s="40"/>
    </row>
    <row r="781" spans="1:20" ht="15.75">
      <c r="A781" s="13">
        <v>64923</v>
      </c>
      <c r="B781" s="48">
        <f t="shared" si="2"/>
        <v>30</v>
      </c>
      <c r="C781" s="39">
        <v>194.20500000000001</v>
      </c>
      <c r="D781" s="39">
        <v>267.46600000000001</v>
      </c>
      <c r="E781" s="45">
        <v>812.32899999999995</v>
      </c>
      <c r="F781" s="39">
        <v>1274</v>
      </c>
      <c r="G781" s="39">
        <v>50</v>
      </c>
      <c r="H781" s="47">
        <v>600</v>
      </c>
      <c r="I781" s="39">
        <v>695</v>
      </c>
      <c r="J781" s="39">
        <v>0</v>
      </c>
      <c r="K781" s="40"/>
      <c r="L781" s="40"/>
      <c r="M781" s="40"/>
      <c r="N781" s="40"/>
      <c r="O781" s="40"/>
      <c r="P781" s="40"/>
      <c r="Q781" s="40"/>
      <c r="R781" s="40"/>
      <c r="S781" s="40"/>
      <c r="T781" s="40"/>
    </row>
    <row r="782" spans="1:20" ht="15.75">
      <c r="A782" s="13">
        <v>64954</v>
      </c>
      <c r="B782" s="48">
        <f t="shared" si="2"/>
        <v>31</v>
      </c>
      <c r="C782" s="39">
        <v>131.881</v>
      </c>
      <c r="D782" s="39">
        <v>277.16699999999997</v>
      </c>
      <c r="E782" s="45">
        <v>829.952</v>
      </c>
      <c r="F782" s="39">
        <v>1239</v>
      </c>
      <c r="G782" s="39">
        <v>75</v>
      </c>
      <c r="H782" s="47">
        <v>600</v>
      </c>
      <c r="I782" s="39">
        <v>695</v>
      </c>
      <c r="J782" s="39">
        <v>0</v>
      </c>
      <c r="K782" s="40"/>
      <c r="L782" s="40"/>
      <c r="M782" s="40"/>
      <c r="N782" s="40"/>
      <c r="O782" s="40"/>
      <c r="P782" s="40"/>
      <c r="Q782" s="40"/>
      <c r="R782" s="40"/>
      <c r="S782" s="40"/>
      <c r="T782" s="40"/>
    </row>
    <row r="783" spans="1:20" ht="15.75">
      <c r="A783" s="13">
        <v>64984</v>
      </c>
      <c r="B783" s="48">
        <f t="shared" si="2"/>
        <v>30</v>
      </c>
      <c r="C783" s="39">
        <v>122.58</v>
      </c>
      <c r="D783" s="39">
        <v>297.94099999999997</v>
      </c>
      <c r="E783" s="45">
        <v>729.47900000000004</v>
      </c>
      <c r="F783" s="39">
        <v>1150</v>
      </c>
      <c r="G783" s="39">
        <v>100</v>
      </c>
      <c r="H783" s="47">
        <v>600</v>
      </c>
      <c r="I783" s="39">
        <v>695</v>
      </c>
      <c r="J783" s="39">
        <v>50</v>
      </c>
      <c r="K783" s="40"/>
      <c r="L783" s="40"/>
      <c r="M783" s="40"/>
      <c r="N783" s="40"/>
      <c r="O783" s="40"/>
      <c r="P783" s="40"/>
      <c r="Q783" s="40"/>
      <c r="R783" s="40"/>
      <c r="S783" s="40"/>
      <c r="T783" s="40"/>
    </row>
    <row r="784" spans="1:20" ht="15.75">
      <c r="A784" s="13">
        <v>65015</v>
      </c>
      <c r="B784" s="48">
        <f t="shared" si="2"/>
        <v>31</v>
      </c>
      <c r="C784" s="39">
        <v>122.58</v>
      </c>
      <c r="D784" s="39">
        <v>297.94099999999997</v>
      </c>
      <c r="E784" s="45">
        <v>729.47900000000004</v>
      </c>
      <c r="F784" s="39">
        <v>1150</v>
      </c>
      <c r="G784" s="39">
        <v>100</v>
      </c>
      <c r="H784" s="47">
        <v>600</v>
      </c>
      <c r="I784" s="39">
        <v>695</v>
      </c>
      <c r="J784" s="39">
        <v>50</v>
      </c>
      <c r="K784" s="40"/>
      <c r="L784" s="40"/>
      <c r="M784" s="40"/>
      <c r="N784" s="40"/>
      <c r="O784" s="40"/>
      <c r="P784" s="40"/>
      <c r="Q784" s="40"/>
      <c r="R784" s="40"/>
      <c r="S784" s="40"/>
      <c r="T784" s="40"/>
    </row>
    <row r="785" spans="1:20" ht="15.75">
      <c r="A785" s="13">
        <v>65046</v>
      </c>
      <c r="B785" s="48">
        <f t="shared" ref="B785:B848" si="3">EOMONTH(A785,0)-EOMONTH(A785,-1)</f>
        <v>31</v>
      </c>
      <c r="C785" s="39">
        <v>122.58</v>
      </c>
      <c r="D785" s="39">
        <v>297.94099999999997</v>
      </c>
      <c r="E785" s="45">
        <v>729.47900000000004</v>
      </c>
      <c r="F785" s="39">
        <v>1150</v>
      </c>
      <c r="G785" s="39">
        <v>100</v>
      </c>
      <c r="H785" s="47">
        <v>600</v>
      </c>
      <c r="I785" s="39">
        <v>695</v>
      </c>
      <c r="J785" s="39">
        <v>50</v>
      </c>
      <c r="K785" s="40"/>
      <c r="L785" s="40"/>
      <c r="M785" s="40"/>
      <c r="N785" s="40"/>
      <c r="O785" s="40"/>
      <c r="P785" s="40"/>
      <c r="Q785" s="40"/>
      <c r="R785" s="40"/>
      <c r="S785" s="40"/>
      <c r="T785" s="40"/>
    </row>
    <row r="786" spans="1:20" ht="15.75">
      <c r="A786" s="13">
        <v>65074</v>
      </c>
      <c r="B786" s="48">
        <f t="shared" si="3"/>
        <v>28</v>
      </c>
      <c r="C786" s="39">
        <v>122.58</v>
      </c>
      <c r="D786" s="39">
        <v>297.94099999999997</v>
      </c>
      <c r="E786" s="45">
        <v>729.47900000000004</v>
      </c>
      <c r="F786" s="39">
        <v>1150</v>
      </c>
      <c r="G786" s="39">
        <v>100</v>
      </c>
      <c r="H786" s="47">
        <v>600</v>
      </c>
      <c r="I786" s="39">
        <v>695</v>
      </c>
      <c r="J786" s="39">
        <v>50</v>
      </c>
      <c r="K786" s="40"/>
      <c r="L786" s="40"/>
      <c r="M786" s="40"/>
      <c r="N786" s="40"/>
      <c r="O786" s="40"/>
      <c r="P786" s="40"/>
      <c r="Q786" s="40"/>
      <c r="R786" s="40"/>
      <c r="S786" s="40"/>
      <c r="T786" s="40"/>
    </row>
    <row r="787" spans="1:20" ht="15.75">
      <c r="A787" s="13">
        <v>65105</v>
      </c>
      <c r="B787" s="48">
        <f t="shared" si="3"/>
        <v>31</v>
      </c>
      <c r="C787" s="39">
        <v>122.58</v>
      </c>
      <c r="D787" s="39">
        <v>297.94099999999997</v>
      </c>
      <c r="E787" s="45">
        <v>729.47900000000004</v>
      </c>
      <c r="F787" s="39">
        <v>1150</v>
      </c>
      <c r="G787" s="39">
        <v>100</v>
      </c>
      <c r="H787" s="47">
        <v>600</v>
      </c>
      <c r="I787" s="39">
        <v>695</v>
      </c>
      <c r="J787" s="39">
        <v>50</v>
      </c>
      <c r="K787" s="40"/>
      <c r="L787" s="40"/>
      <c r="M787" s="40"/>
      <c r="N787" s="40"/>
      <c r="O787" s="40"/>
      <c r="P787" s="40"/>
      <c r="Q787" s="40"/>
      <c r="R787" s="40"/>
      <c r="S787" s="40"/>
      <c r="T787" s="40"/>
    </row>
    <row r="788" spans="1:20" ht="15.75">
      <c r="A788" s="13">
        <v>65135</v>
      </c>
      <c r="B788" s="48">
        <f t="shared" si="3"/>
        <v>30</v>
      </c>
      <c r="C788" s="39">
        <v>141.29300000000001</v>
      </c>
      <c r="D788" s="39">
        <v>267.99299999999999</v>
      </c>
      <c r="E788" s="45">
        <v>829.71400000000006</v>
      </c>
      <c r="F788" s="39">
        <v>1239</v>
      </c>
      <c r="G788" s="39">
        <v>100</v>
      </c>
      <c r="H788" s="47">
        <v>600</v>
      </c>
      <c r="I788" s="39">
        <v>695</v>
      </c>
      <c r="J788" s="39">
        <v>50</v>
      </c>
      <c r="K788" s="40"/>
      <c r="L788" s="40"/>
      <c r="M788" s="40"/>
      <c r="N788" s="40"/>
      <c r="O788" s="40"/>
      <c r="P788" s="40"/>
      <c r="Q788" s="40"/>
      <c r="R788" s="40"/>
      <c r="S788" s="40"/>
      <c r="T788" s="40"/>
    </row>
    <row r="789" spans="1:20" ht="15.75">
      <c r="A789" s="13">
        <v>65166</v>
      </c>
      <c r="B789" s="48">
        <f t="shared" si="3"/>
        <v>31</v>
      </c>
      <c r="C789" s="39">
        <v>194.20500000000001</v>
      </c>
      <c r="D789" s="39">
        <v>267.46600000000001</v>
      </c>
      <c r="E789" s="45">
        <v>812.32899999999995</v>
      </c>
      <c r="F789" s="39">
        <v>1274</v>
      </c>
      <c r="G789" s="39">
        <v>75</v>
      </c>
      <c r="H789" s="47">
        <v>600</v>
      </c>
      <c r="I789" s="39">
        <v>695</v>
      </c>
      <c r="J789" s="39">
        <v>50</v>
      </c>
      <c r="K789" s="40"/>
      <c r="L789" s="40"/>
      <c r="M789" s="40"/>
      <c r="N789" s="40"/>
      <c r="O789" s="40"/>
      <c r="P789" s="40"/>
      <c r="Q789" s="40"/>
      <c r="R789" s="40"/>
      <c r="S789" s="40"/>
      <c r="T789" s="40"/>
    </row>
    <row r="790" spans="1:20" ht="15.75">
      <c r="A790" s="13">
        <v>65196</v>
      </c>
      <c r="B790" s="48">
        <f t="shared" si="3"/>
        <v>30</v>
      </c>
      <c r="C790" s="39">
        <v>194.20500000000001</v>
      </c>
      <c r="D790" s="39">
        <v>267.46600000000001</v>
      </c>
      <c r="E790" s="45">
        <v>812.32899999999995</v>
      </c>
      <c r="F790" s="39">
        <v>1274</v>
      </c>
      <c r="G790" s="39">
        <v>50</v>
      </c>
      <c r="H790" s="47">
        <v>600</v>
      </c>
      <c r="I790" s="39">
        <v>695</v>
      </c>
      <c r="J790" s="39">
        <v>50</v>
      </c>
      <c r="K790" s="40"/>
      <c r="L790" s="40"/>
      <c r="M790" s="40"/>
      <c r="N790" s="40"/>
      <c r="O790" s="40"/>
      <c r="P790" s="40"/>
      <c r="Q790" s="40"/>
      <c r="R790" s="40"/>
      <c r="S790" s="40"/>
      <c r="T790" s="40"/>
    </row>
    <row r="791" spans="1:20" ht="15.75">
      <c r="A791" s="13">
        <v>65227</v>
      </c>
      <c r="B791" s="48">
        <f t="shared" si="3"/>
        <v>31</v>
      </c>
      <c r="C791" s="39">
        <v>194.20500000000001</v>
      </c>
      <c r="D791" s="39">
        <v>267.46600000000001</v>
      </c>
      <c r="E791" s="45">
        <v>812.32899999999995</v>
      </c>
      <c r="F791" s="39">
        <v>1274</v>
      </c>
      <c r="G791" s="39">
        <v>50</v>
      </c>
      <c r="H791" s="47">
        <v>600</v>
      </c>
      <c r="I791" s="39">
        <v>695</v>
      </c>
      <c r="J791" s="39">
        <v>0</v>
      </c>
      <c r="K791" s="40"/>
      <c r="L791" s="40"/>
      <c r="M791" s="40"/>
      <c r="N791" s="40"/>
      <c r="O791" s="40"/>
      <c r="P791" s="40"/>
      <c r="Q791" s="40"/>
      <c r="R791" s="40"/>
      <c r="S791" s="40"/>
      <c r="T791" s="40"/>
    </row>
    <row r="792" spans="1:20" ht="15.75">
      <c r="A792" s="13">
        <v>65258</v>
      </c>
      <c r="B792" s="48">
        <f t="shared" si="3"/>
        <v>31</v>
      </c>
      <c r="C792" s="39">
        <v>194.20500000000001</v>
      </c>
      <c r="D792" s="39">
        <v>267.46600000000001</v>
      </c>
      <c r="E792" s="45">
        <v>812.32899999999995</v>
      </c>
      <c r="F792" s="39">
        <v>1274</v>
      </c>
      <c r="G792" s="39">
        <v>50</v>
      </c>
      <c r="H792" s="47">
        <v>600</v>
      </c>
      <c r="I792" s="39">
        <v>695</v>
      </c>
      <c r="J792" s="39">
        <v>0</v>
      </c>
      <c r="K792" s="40"/>
      <c r="L792" s="40"/>
      <c r="M792" s="40"/>
      <c r="N792" s="40"/>
      <c r="O792" s="40"/>
      <c r="P792" s="40"/>
      <c r="Q792" s="40"/>
      <c r="R792" s="40"/>
      <c r="S792" s="40"/>
      <c r="T792" s="40"/>
    </row>
    <row r="793" spans="1:20" ht="15.75">
      <c r="A793" s="13">
        <v>65288</v>
      </c>
      <c r="B793" s="48">
        <f t="shared" si="3"/>
        <v>30</v>
      </c>
      <c r="C793" s="39">
        <v>194.20500000000001</v>
      </c>
      <c r="D793" s="39">
        <v>267.46600000000001</v>
      </c>
      <c r="E793" s="45">
        <v>812.32899999999995</v>
      </c>
      <c r="F793" s="39">
        <v>1274</v>
      </c>
      <c r="G793" s="39">
        <v>50</v>
      </c>
      <c r="H793" s="47">
        <v>600</v>
      </c>
      <c r="I793" s="39">
        <v>695</v>
      </c>
      <c r="J793" s="39">
        <v>0</v>
      </c>
      <c r="K793" s="40"/>
      <c r="L793" s="40"/>
      <c r="M793" s="40"/>
      <c r="N793" s="40"/>
      <c r="O793" s="40"/>
      <c r="P793" s="40"/>
      <c r="Q793" s="40"/>
      <c r="R793" s="40"/>
      <c r="S793" s="40"/>
      <c r="T793" s="40"/>
    </row>
    <row r="794" spans="1:20" ht="15.75">
      <c r="A794" s="13">
        <v>65319</v>
      </c>
      <c r="B794" s="48">
        <f t="shared" si="3"/>
        <v>31</v>
      </c>
      <c r="C794" s="39">
        <v>131.881</v>
      </c>
      <c r="D794" s="39">
        <v>277.16699999999997</v>
      </c>
      <c r="E794" s="45">
        <v>829.952</v>
      </c>
      <c r="F794" s="39">
        <v>1239</v>
      </c>
      <c r="G794" s="39">
        <v>75</v>
      </c>
      <c r="H794" s="47">
        <v>600</v>
      </c>
      <c r="I794" s="39">
        <v>695</v>
      </c>
      <c r="J794" s="39">
        <v>0</v>
      </c>
      <c r="K794" s="40"/>
      <c r="L794" s="40"/>
      <c r="M794" s="40"/>
      <c r="N794" s="40"/>
      <c r="O794" s="40"/>
      <c r="P794" s="40"/>
      <c r="Q794" s="40"/>
      <c r="R794" s="40"/>
      <c r="S794" s="40"/>
      <c r="T794" s="40"/>
    </row>
    <row r="795" spans="1:20" ht="15.75">
      <c r="A795" s="13">
        <v>65349</v>
      </c>
      <c r="B795" s="48">
        <f t="shared" si="3"/>
        <v>30</v>
      </c>
      <c r="C795" s="39">
        <v>122.58</v>
      </c>
      <c r="D795" s="39">
        <v>297.94099999999997</v>
      </c>
      <c r="E795" s="45">
        <v>729.47900000000004</v>
      </c>
      <c r="F795" s="39">
        <v>1150</v>
      </c>
      <c r="G795" s="39">
        <v>100</v>
      </c>
      <c r="H795" s="47">
        <v>600</v>
      </c>
      <c r="I795" s="39">
        <v>695</v>
      </c>
      <c r="J795" s="39">
        <v>50</v>
      </c>
      <c r="K795" s="40"/>
      <c r="L795" s="40"/>
      <c r="M795" s="40"/>
      <c r="N795" s="40"/>
      <c r="O795" s="40"/>
      <c r="P795" s="40"/>
      <c r="Q795" s="40"/>
      <c r="R795" s="40"/>
      <c r="S795" s="40"/>
      <c r="T795" s="40"/>
    </row>
    <row r="796" spans="1:20" ht="15.75">
      <c r="A796" s="13">
        <v>65380</v>
      </c>
      <c r="B796" s="48">
        <f t="shared" si="3"/>
        <v>31</v>
      </c>
      <c r="C796" s="39">
        <v>122.58</v>
      </c>
      <c r="D796" s="39">
        <v>297.94099999999997</v>
      </c>
      <c r="E796" s="45">
        <v>729.47900000000004</v>
      </c>
      <c r="F796" s="39">
        <v>1150</v>
      </c>
      <c r="G796" s="39">
        <v>100</v>
      </c>
      <c r="H796" s="47">
        <v>600</v>
      </c>
      <c r="I796" s="39">
        <v>695</v>
      </c>
      <c r="J796" s="39">
        <v>50</v>
      </c>
      <c r="K796" s="40"/>
      <c r="L796" s="40"/>
      <c r="M796" s="40"/>
      <c r="N796" s="40"/>
      <c r="O796" s="40"/>
      <c r="P796" s="40"/>
      <c r="Q796" s="40"/>
      <c r="R796" s="40"/>
      <c r="S796" s="40"/>
      <c r="T796" s="40"/>
    </row>
    <row r="797" spans="1:20" ht="15.75">
      <c r="A797" s="13">
        <v>65411</v>
      </c>
      <c r="B797" s="48">
        <f t="shared" si="3"/>
        <v>31</v>
      </c>
      <c r="C797" s="39">
        <v>122.58</v>
      </c>
      <c r="D797" s="39">
        <v>297.94099999999997</v>
      </c>
      <c r="E797" s="45">
        <v>729.47900000000004</v>
      </c>
      <c r="F797" s="39">
        <v>1150</v>
      </c>
      <c r="G797" s="39">
        <v>100</v>
      </c>
      <c r="H797" s="47">
        <v>600</v>
      </c>
      <c r="I797" s="39">
        <v>695</v>
      </c>
      <c r="J797" s="39">
        <v>50</v>
      </c>
      <c r="K797" s="40"/>
      <c r="L797" s="40"/>
      <c r="M797" s="40"/>
      <c r="N797" s="40"/>
      <c r="O797" s="40"/>
      <c r="P797" s="40"/>
      <c r="Q797" s="40"/>
      <c r="R797" s="40"/>
      <c r="S797" s="40"/>
      <c r="T797" s="40"/>
    </row>
    <row r="798" spans="1:20" ht="15.75">
      <c r="A798" s="13">
        <v>65439</v>
      </c>
      <c r="B798" s="48">
        <f t="shared" si="3"/>
        <v>28</v>
      </c>
      <c r="C798" s="39">
        <v>122.58</v>
      </c>
      <c r="D798" s="39">
        <v>297.94099999999997</v>
      </c>
      <c r="E798" s="45">
        <v>729.47900000000004</v>
      </c>
      <c r="F798" s="39">
        <v>1150</v>
      </c>
      <c r="G798" s="39">
        <v>100</v>
      </c>
      <c r="H798" s="47">
        <v>600</v>
      </c>
      <c r="I798" s="39">
        <v>695</v>
      </c>
      <c r="J798" s="39">
        <v>50</v>
      </c>
      <c r="K798" s="40"/>
      <c r="L798" s="40"/>
      <c r="M798" s="40"/>
      <c r="N798" s="40"/>
      <c r="O798" s="40"/>
      <c r="P798" s="40"/>
      <c r="Q798" s="40"/>
      <c r="R798" s="40"/>
      <c r="S798" s="40"/>
      <c r="T798" s="40"/>
    </row>
    <row r="799" spans="1:20" ht="15.75">
      <c r="A799" s="13">
        <v>65470</v>
      </c>
      <c r="B799" s="48">
        <f t="shared" si="3"/>
        <v>31</v>
      </c>
      <c r="C799" s="39">
        <v>122.58</v>
      </c>
      <c r="D799" s="39">
        <v>297.94099999999997</v>
      </c>
      <c r="E799" s="45">
        <v>729.47900000000004</v>
      </c>
      <c r="F799" s="39">
        <v>1150</v>
      </c>
      <c r="G799" s="39">
        <v>100</v>
      </c>
      <c r="H799" s="47">
        <v>600</v>
      </c>
      <c r="I799" s="39">
        <v>695</v>
      </c>
      <c r="J799" s="39">
        <v>50</v>
      </c>
      <c r="K799" s="40"/>
      <c r="L799" s="40"/>
      <c r="M799" s="40"/>
      <c r="N799" s="40"/>
      <c r="O799" s="40"/>
      <c r="P799" s="40"/>
      <c r="Q799" s="40"/>
      <c r="R799" s="40"/>
      <c r="S799" s="40"/>
      <c r="T799" s="40"/>
    </row>
    <row r="800" spans="1:20" ht="15.75">
      <c r="A800" s="13">
        <v>65500</v>
      </c>
      <c r="B800" s="48">
        <f t="shared" si="3"/>
        <v>30</v>
      </c>
      <c r="C800" s="39">
        <v>141.29300000000001</v>
      </c>
      <c r="D800" s="39">
        <v>267.99299999999999</v>
      </c>
      <c r="E800" s="45">
        <v>829.71400000000006</v>
      </c>
      <c r="F800" s="39">
        <v>1239</v>
      </c>
      <c r="G800" s="39">
        <v>100</v>
      </c>
      <c r="H800" s="47">
        <v>600</v>
      </c>
      <c r="I800" s="39">
        <v>695</v>
      </c>
      <c r="J800" s="39">
        <v>50</v>
      </c>
      <c r="K800" s="40"/>
      <c r="L800" s="40"/>
      <c r="M800" s="40"/>
      <c r="N800" s="40"/>
      <c r="O800" s="40"/>
      <c r="P800" s="40"/>
      <c r="Q800" s="40"/>
      <c r="R800" s="40"/>
      <c r="S800" s="40"/>
      <c r="T800" s="40"/>
    </row>
    <row r="801" spans="1:20" ht="15.75">
      <c r="A801" s="13">
        <v>65531</v>
      </c>
      <c r="B801" s="48">
        <f t="shared" si="3"/>
        <v>31</v>
      </c>
      <c r="C801" s="39">
        <v>194.20500000000001</v>
      </c>
      <c r="D801" s="39">
        <v>267.46600000000001</v>
      </c>
      <c r="E801" s="45">
        <v>812.32899999999995</v>
      </c>
      <c r="F801" s="39">
        <v>1274</v>
      </c>
      <c r="G801" s="39">
        <v>75</v>
      </c>
      <c r="H801" s="47">
        <v>600</v>
      </c>
      <c r="I801" s="39">
        <v>695</v>
      </c>
      <c r="J801" s="39">
        <v>50</v>
      </c>
      <c r="K801" s="40"/>
      <c r="L801" s="40"/>
      <c r="M801" s="40"/>
      <c r="N801" s="40"/>
      <c r="O801" s="40"/>
      <c r="P801" s="40"/>
      <c r="Q801" s="40"/>
      <c r="R801" s="40"/>
      <c r="S801" s="40"/>
      <c r="T801" s="40"/>
    </row>
    <row r="802" spans="1:20" ht="15.75">
      <c r="A802" s="13">
        <v>65561</v>
      </c>
      <c r="B802" s="48">
        <f t="shared" si="3"/>
        <v>30</v>
      </c>
      <c r="C802" s="39">
        <v>194.20500000000001</v>
      </c>
      <c r="D802" s="39">
        <v>267.46600000000001</v>
      </c>
      <c r="E802" s="45">
        <v>812.32899999999995</v>
      </c>
      <c r="F802" s="39">
        <v>1274</v>
      </c>
      <c r="G802" s="39">
        <v>50</v>
      </c>
      <c r="H802" s="47">
        <v>600</v>
      </c>
      <c r="I802" s="39">
        <v>695</v>
      </c>
      <c r="J802" s="39">
        <v>50</v>
      </c>
      <c r="K802" s="40"/>
      <c r="L802" s="40"/>
      <c r="M802" s="40"/>
      <c r="N802" s="40"/>
      <c r="O802" s="40"/>
      <c r="P802" s="40"/>
      <c r="Q802" s="40"/>
      <c r="R802" s="40"/>
      <c r="S802" s="40"/>
      <c r="T802" s="40"/>
    </row>
    <row r="803" spans="1:20" ht="15.75">
      <c r="A803" s="13">
        <v>65592</v>
      </c>
      <c r="B803" s="48">
        <f t="shared" si="3"/>
        <v>31</v>
      </c>
      <c r="C803" s="39">
        <v>194.20500000000001</v>
      </c>
      <c r="D803" s="39">
        <v>267.46600000000001</v>
      </c>
      <c r="E803" s="45">
        <v>812.32899999999995</v>
      </c>
      <c r="F803" s="39">
        <v>1274</v>
      </c>
      <c r="G803" s="39">
        <v>50</v>
      </c>
      <c r="H803" s="47">
        <v>600</v>
      </c>
      <c r="I803" s="39">
        <v>695</v>
      </c>
      <c r="J803" s="39">
        <v>0</v>
      </c>
      <c r="K803" s="40"/>
      <c r="L803" s="40"/>
      <c r="M803" s="40"/>
      <c r="N803" s="40"/>
      <c r="O803" s="40"/>
      <c r="P803" s="40"/>
      <c r="Q803" s="40"/>
      <c r="R803" s="40"/>
      <c r="S803" s="40"/>
      <c r="T803" s="40"/>
    </row>
    <row r="804" spans="1:20" ht="15.75">
      <c r="A804" s="13">
        <v>65623</v>
      </c>
      <c r="B804" s="48">
        <f t="shared" si="3"/>
        <v>31</v>
      </c>
      <c r="C804" s="39">
        <v>194.20500000000001</v>
      </c>
      <c r="D804" s="39">
        <v>267.46600000000001</v>
      </c>
      <c r="E804" s="45">
        <v>812.32899999999995</v>
      </c>
      <c r="F804" s="39">
        <v>1274</v>
      </c>
      <c r="G804" s="39">
        <v>50</v>
      </c>
      <c r="H804" s="47">
        <v>600</v>
      </c>
      <c r="I804" s="39">
        <v>695</v>
      </c>
      <c r="J804" s="39">
        <v>0</v>
      </c>
      <c r="K804" s="40"/>
      <c r="L804" s="40"/>
      <c r="M804" s="40"/>
      <c r="N804" s="40"/>
      <c r="O804" s="40"/>
      <c r="P804" s="40"/>
      <c r="Q804" s="40"/>
      <c r="R804" s="40"/>
      <c r="S804" s="40"/>
      <c r="T804" s="40"/>
    </row>
    <row r="805" spans="1:20" ht="15.75">
      <c r="A805" s="13">
        <v>65653</v>
      </c>
      <c r="B805" s="48">
        <f t="shared" si="3"/>
        <v>30</v>
      </c>
      <c r="C805" s="39">
        <v>194.20500000000001</v>
      </c>
      <c r="D805" s="39">
        <v>267.46600000000001</v>
      </c>
      <c r="E805" s="45">
        <v>812.32899999999995</v>
      </c>
      <c r="F805" s="39">
        <v>1274</v>
      </c>
      <c r="G805" s="39">
        <v>50</v>
      </c>
      <c r="H805" s="47">
        <v>600</v>
      </c>
      <c r="I805" s="39">
        <v>695</v>
      </c>
      <c r="J805" s="39">
        <v>0</v>
      </c>
      <c r="K805" s="40"/>
      <c r="L805" s="40"/>
      <c r="M805" s="40"/>
      <c r="N805" s="40"/>
      <c r="O805" s="40"/>
      <c r="P805" s="40"/>
      <c r="Q805" s="40"/>
      <c r="R805" s="40"/>
      <c r="S805" s="40"/>
      <c r="T805" s="40"/>
    </row>
    <row r="806" spans="1:20" ht="15.75">
      <c r="A806" s="13">
        <v>65684</v>
      </c>
      <c r="B806" s="48">
        <f t="shared" si="3"/>
        <v>31</v>
      </c>
      <c r="C806" s="39">
        <v>131.881</v>
      </c>
      <c r="D806" s="39">
        <v>277.16699999999997</v>
      </c>
      <c r="E806" s="45">
        <v>829.952</v>
      </c>
      <c r="F806" s="39">
        <v>1239</v>
      </c>
      <c r="G806" s="39">
        <v>75</v>
      </c>
      <c r="H806" s="47">
        <v>600</v>
      </c>
      <c r="I806" s="39">
        <v>695</v>
      </c>
      <c r="J806" s="39">
        <v>0</v>
      </c>
      <c r="K806" s="40"/>
      <c r="L806" s="40"/>
      <c r="M806" s="40"/>
      <c r="N806" s="40"/>
      <c r="O806" s="40"/>
      <c r="P806" s="40"/>
      <c r="Q806" s="40"/>
      <c r="R806" s="40"/>
      <c r="S806" s="40"/>
      <c r="T806" s="40"/>
    </row>
    <row r="807" spans="1:20" ht="15.75">
      <c r="A807" s="13">
        <v>65714</v>
      </c>
      <c r="B807" s="48">
        <f t="shared" si="3"/>
        <v>30</v>
      </c>
      <c r="C807" s="39">
        <v>122.58</v>
      </c>
      <c r="D807" s="39">
        <v>297.94099999999997</v>
      </c>
      <c r="E807" s="45">
        <v>729.47900000000004</v>
      </c>
      <c r="F807" s="39">
        <v>1150</v>
      </c>
      <c r="G807" s="39">
        <v>100</v>
      </c>
      <c r="H807" s="47">
        <v>600</v>
      </c>
      <c r="I807" s="39">
        <v>695</v>
      </c>
      <c r="J807" s="39">
        <v>50</v>
      </c>
      <c r="K807" s="40"/>
      <c r="L807" s="40"/>
      <c r="M807" s="40"/>
      <c r="N807" s="40"/>
      <c r="O807" s="40"/>
      <c r="P807" s="40"/>
      <c r="Q807" s="40"/>
      <c r="R807" s="40"/>
      <c r="S807" s="40"/>
      <c r="T807" s="40"/>
    </row>
    <row r="808" spans="1:20" ht="15.75">
      <c r="A808" s="13">
        <v>65745</v>
      </c>
      <c r="B808" s="48">
        <f t="shared" si="3"/>
        <v>31</v>
      </c>
      <c r="C808" s="39">
        <v>122.58</v>
      </c>
      <c r="D808" s="39">
        <v>297.94099999999997</v>
      </c>
      <c r="E808" s="45">
        <v>729.47900000000004</v>
      </c>
      <c r="F808" s="39">
        <v>1150</v>
      </c>
      <c r="G808" s="39">
        <v>100</v>
      </c>
      <c r="H808" s="47">
        <v>600</v>
      </c>
      <c r="I808" s="39">
        <v>695</v>
      </c>
      <c r="J808" s="39">
        <v>50</v>
      </c>
      <c r="K808" s="40"/>
      <c r="L808" s="40"/>
      <c r="M808" s="40"/>
      <c r="N808" s="40"/>
      <c r="O808" s="40"/>
      <c r="P808" s="40"/>
      <c r="Q808" s="40"/>
      <c r="R808" s="40"/>
      <c r="S808" s="40"/>
      <c r="T808" s="40"/>
    </row>
    <row r="809" spans="1:20" ht="15.75">
      <c r="A809" s="13">
        <v>65776</v>
      </c>
      <c r="B809" s="48">
        <f t="shared" si="3"/>
        <v>31</v>
      </c>
      <c r="C809" s="39">
        <v>122.58</v>
      </c>
      <c r="D809" s="39">
        <v>297.94099999999997</v>
      </c>
      <c r="E809" s="45">
        <v>729.47900000000004</v>
      </c>
      <c r="F809" s="39">
        <v>1150</v>
      </c>
      <c r="G809" s="39">
        <v>100</v>
      </c>
      <c r="H809" s="47">
        <v>600</v>
      </c>
      <c r="I809" s="39">
        <v>695</v>
      </c>
      <c r="J809" s="39">
        <v>50</v>
      </c>
      <c r="K809" s="40"/>
      <c r="L809" s="40"/>
      <c r="M809" s="40"/>
      <c r="N809" s="40"/>
      <c r="O809" s="40"/>
      <c r="P809" s="40"/>
      <c r="Q809" s="40"/>
      <c r="R809" s="40"/>
      <c r="S809" s="40"/>
      <c r="T809" s="40"/>
    </row>
    <row r="810" spans="1:20" ht="15.75">
      <c r="A810" s="13">
        <v>65805</v>
      </c>
      <c r="B810" s="48">
        <f t="shared" si="3"/>
        <v>29</v>
      </c>
      <c r="C810" s="39">
        <v>122.58</v>
      </c>
      <c r="D810" s="39">
        <v>297.94099999999997</v>
      </c>
      <c r="E810" s="45">
        <v>729.47900000000004</v>
      </c>
      <c r="F810" s="39">
        <v>1150</v>
      </c>
      <c r="G810" s="39">
        <v>100</v>
      </c>
      <c r="H810" s="47">
        <v>600</v>
      </c>
      <c r="I810" s="39">
        <v>695</v>
      </c>
      <c r="J810" s="39">
        <v>50</v>
      </c>
      <c r="K810" s="40"/>
      <c r="L810" s="40"/>
      <c r="M810" s="40"/>
      <c r="N810" s="40"/>
      <c r="O810" s="40"/>
      <c r="P810" s="40"/>
      <c r="Q810" s="40"/>
      <c r="R810" s="40"/>
      <c r="S810" s="40"/>
      <c r="T810" s="40"/>
    </row>
    <row r="811" spans="1:20" ht="15.75">
      <c r="A811" s="13">
        <v>65836</v>
      </c>
      <c r="B811" s="48">
        <f t="shared" si="3"/>
        <v>31</v>
      </c>
      <c r="C811" s="39">
        <v>122.58</v>
      </c>
      <c r="D811" s="39">
        <v>297.94099999999997</v>
      </c>
      <c r="E811" s="45">
        <v>729.47900000000004</v>
      </c>
      <c r="F811" s="39">
        <v>1150</v>
      </c>
      <c r="G811" s="39">
        <v>100</v>
      </c>
      <c r="H811" s="47">
        <v>600</v>
      </c>
      <c r="I811" s="39">
        <v>695</v>
      </c>
      <c r="J811" s="39">
        <v>50</v>
      </c>
      <c r="K811" s="40"/>
      <c r="L811" s="40"/>
      <c r="M811" s="40"/>
      <c r="N811" s="40"/>
      <c r="O811" s="40"/>
      <c r="P811" s="40"/>
      <c r="Q811" s="40"/>
      <c r="R811" s="40"/>
      <c r="S811" s="40"/>
      <c r="T811" s="40"/>
    </row>
    <row r="812" spans="1:20" ht="15.75">
      <c r="A812" s="13">
        <v>65866</v>
      </c>
      <c r="B812" s="48">
        <f t="shared" si="3"/>
        <v>30</v>
      </c>
      <c r="C812" s="39">
        <v>141.29300000000001</v>
      </c>
      <c r="D812" s="39">
        <v>267.99299999999999</v>
      </c>
      <c r="E812" s="45">
        <v>829.71400000000006</v>
      </c>
      <c r="F812" s="39">
        <v>1239</v>
      </c>
      <c r="G812" s="39">
        <v>100</v>
      </c>
      <c r="H812" s="47">
        <v>600</v>
      </c>
      <c r="I812" s="39">
        <v>695</v>
      </c>
      <c r="J812" s="39">
        <v>50</v>
      </c>
      <c r="K812" s="40"/>
      <c r="L812" s="40"/>
      <c r="M812" s="40"/>
      <c r="N812" s="40"/>
      <c r="O812" s="40"/>
      <c r="P812" s="40"/>
      <c r="Q812" s="40"/>
      <c r="R812" s="40"/>
      <c r="S812" s="40"/>
      <c r="T812" s="40"/>
    </row>
    <row r="813" spans="1:20" ht="15.75">
      <c r="A813" s="13">
        <v>65897</v>
      </c>
      <c r="B813" s="48">
        <f t="shared" si="3"/>
        <v>31</v>
      </c>
      <c r="C813" s="39">
        <v>194.20500000000001</v>
      </c>
      <c r="D813" s="39">
        <v>267.46600000000001</v>
      </c>
      <c r="E813" s="45">
        <v>812.32899999999995</v>
      </c>
      <c r="F813" s="39">
        <v>1274</v>
      </c>
      <c r="G813" s="39">
        <v>75</v>
      </c>
      <c r="H813" s="47">
        <v>600</v>
      </c>
      <c r="I813" s="39">
        <v>695</v>
      </c>
      <c r="J813" s="39">
        <v>50</v>
      </c>
      <c r="K813" s="40"/>
      <c r="L813" s="40"/>
      <c r="M813" s="40"/>
      <c r="N813" s="40"/>
      <c r="O813" s="40"/>
      <c r="P813" s="40"/>
      <c r="Q813" s="40"/>
      <c r="R813" s="40"/>
      <c r="S813" s="40"/>
      <c r="T813" s="40"/>
    </row>
    <row r="814" spans="1:20" ht="15.75">
      <c r="A814" s="13">
        <v>65927</v>
      </c>
      <c r="B814" s="48">
        <f t="shared" si="3"/>
        <v>30</v>
      </c>
      <c r="C814" s="39">
        <v>194.20500000000001</v>
      </c>
      <c r="D814" s="39">
        <v>267.46600000000001</v>
      </c>
      <c r="E814" s="45">
        <v>812.32899999999995</v>
      </c>
      <c r="F814" s="39">
        <v>1274</v>
      </c>
      <c r="G814" s="39">
        <v>50</v>
      </c>
      <c r="H814" s="47">
        <v>600</v>
      </c>
      <c r="I814" s="39">
        <v>695</v>
      </c>
      <c r="J814" s="39">
        <v>50</v>
      </c>
      <c r="K814" s="40"/>
      <c r="L814" s="40"/>
      <c r="M814" s="40"/>
      <c r="N814" s="40"/>
      <c r="O814" s="40"/>
      <c r="P814" s="40"/>
      <c r="Q814" s="40"/>
      <c r="R814" s="40"/>
      <c r="S814" s="40"/>
      <c r="T814" s="40"/>
    </row>
    <row r="815" spans="1:20" ht="15.75">
      <c r="A815" s="13">
        <v>65958</v>
      </c>
      <c r="B815" s="48">
        <f t="shared" si="3"/>
        <v>31</v>
      </c>
      <c r="C815" s="39">
        <v>194.20500000000001</v>
      </c>
      <c r="D815" s="39">
        <v>267.46600000000001</v>
      </c>
      <c r="E815" s="45">
        <v>812.32899999999995</v>
      </c>
      <c r="F815" s="39">
        <v>1274</v>
      </c>
      <c r="G815" s="39">
        <v>50</v>
      </c>
      <c r="H815" s="47">
        <v>600</v>
      </c>
      <c r="I815" s="39">
        <v>695</v>
      </c>
      <c r="J815" s="39">
        <v>0</v>
      </c>
      <c r="K815" s="40"/>
      <c r="L815" s="40"/>
      <c r="M815" s="40"/>
      <c r="N815" s="40"/>
      <c r="O815" s="40"/>
      <c r="P815" s="40"/>
      <c r="Q815" s="40"/>
      <c r="R815" s="40"/>
      <c r="S815" s="40"/>
      <c r="T815" s="40"/>
    </row>
    <row r="816" spans="1:20" ht="15.75">
      <c r="A816" s="13">
        <v>65989</v>
      </c>
      <c r="B816" s="48">
        <f t="shared" si="3"/>
        <v>31</v>
      </c>
      <c r="C816" s="39">
        <v>194.20500000000001</v>
      </c>
      <c r="D816" s="39">
        <v>267.46600000000001</v>
      </c>
      <c r="E816" s="45">
        <v>812.32899999999995</v>
      </c>
      <c r="F816" s="39">
        <v>1274</v>
      </c>
      <c r="G816" s="39">
        <v>50</v>
      </c>
      <c r="H816" s="47">
        <v>600</v>
      </c>
      <c r="I816" s="39">
        <v>695</v>
      </c>
      <c r="J816" s="39">
        <v>0</v>
      </c>
      <c r="K816" s="40"/>
      <c r="L816" s="40"/>
      <c r="M816" s="40"/>
      <c r="N816" s="40"/>
      <c r="O816" s="40"/>
      <c r="P816" s="40"/>
      <c r="Q816" s="40"/>
      <c r="R816" s="40"/>
      <c r="S816" s="40"/>
      <c r="T816" s="40"/>
    </row>
    <row r="817" spans="1:20" ht="15.75">
      <c r="A817" s="13">
        <v>66019</v>
      </c>
      <c r="B817" s="48">
        <f t="shared" si="3"/>
        <v>30</v>
      </c>
      <c r="C817" s="39">
        <v>194.20500000000001</v>
      </c>
      <c r="D817" s="39">
        <v>267.46600000000001</v>
      </c>
      <c r="E817" s="45">
        <v>812.32899999999995</v>
      </c>
      <c r="F817" s="39">
        <v>1274</v>
      </c>
      <c r="G817" s="39">
        <v>50</v>
      </c>
      <c r="H817" s="47">
        <v>600</v>
      </c>
      <c r="I817" s="39">
        <v>695</v>
      </c>
      <c r="J817" s="39">
        <v>0</v>
      </c>
      <c r="K817" s="40"/>
      <c r="L817" s="40"/>
      <c r="M817" s="40"/>
      <c r="N817" s="40"/>
      <c r="O817" s="40"/>
      <c r="P817" s="40"/>
      <c r="Q817" s="40"/>
      <c r="R817" s="40"/>
      <c r="S817" s="40"/>
      <c r="T817" s="40"/>
    </row>
    <row r="818" spans="1:20" ht="15.75">
      <c r="A818" s="13">
        <v>66050</v>
      </c>
      <c r="B818" s="48">
        <f t="shared" si="3"/>
        <v>31</v>
      </c>
      <c r="C818" s="39">
        <v>131.881</v>
      </c>
      <c r="D818" s="39">
        <v>277.16699999999997</v>
      </c>
      <c r="E818" s="45">
        <v>829.952</v>
      </c>
      <c r="F818" s="39">
        <v>1239</v>
      </c>
      <c r="G818" s="39">
        <v>75</v>
      </c>
      <c r="H818" s="47">
        <v>600</v>
      </c>
      <c r="I818" s="39">
        <v>695</v>
      </c>
      <c r="J818" s="39">
        <v>0</v>
      </c>
      <c r="K818" s="40"/>
      <c r="L818" s="40"/>
      <c r="M818" s="40"/>
      <c r="N818" s="40"/>
      <c r="O818" s="40"/>
      <c r="P818" s="40"/>
      <c r="Q818" s="40"/>
      <c r="R818" s="40"/>
      <c r="S818" s="40"/>
      <c r="T818" s="40"/>
    </row>
    <row r="819" spans="1:20" ht="15.75">
      <c r="A819" s="13">
        <v>66080</v>
      </c>
      <c r="B819" s="48">
        <f t="shared" si="3"/>
        <v>30</v>
      </c>
      <c r="C819" s="39">
        <v>122.58</v>
      </c>
      <c r="D819" s="39">
        <v>297.94099999999997</v>
      </c>
      <c r="E819" s="45">
        <v>729.47900000000004</v>
      </c>
      <c r="F819" s="39">
        <v>1150</v>
      </c>
      <c r="G819" s="39">
        <v>100</v>
      </c>
      <c r="H819" s="47">
        <v>600</v>
      </c>
      <c r="I819" s="39">
        <v>695</v>
      </c>
      <c r="J819" s="39">
        <v>50</v>
      </c>
      <c r="K819" s="40"/>
      <c r="L819" s="40"/>
      <c r="M819" s="40"/>
      <c r="N819" s="40"/>
      <c r="O819" s="40"/>
      <c r="P819" s="40"/>
      <c r="Q819" s="40"/>
      <c r="R819" s="40"/>
      <c r="S819" s="40"/>
      <c r="T819" s="40"/>
    </row>
    <row r="820" spans="1:20" ht="15.75">
      <c r="A820" s="13">
        <v>66111</v>
      </c>
      <c r="B820" s="48">
        <f t="shared" si="3"/>
        <v>31</v>
      </c>
      <c r="C820" s="39">
        <v>122.58</v>
      </c>
      <c r="D820" s="39">
        <v>297.94099999999997</v>
      </c>
      <c r="E820" s="45">
        <v>729.47900000000004</v>
      </c>
      <c r="F820" s="39">
        <v>1150</v>
      </c>
      <c r="G820" s="39">
        <v>100</v>
      </c>
      <c r="H820" s="47">
        <v>600</v>
      </c>
      <c r="I820" s="39">
        <v>695</v>
      </c>
      <c r="J820" s="39">
        <v>50</v>
      </c>
      <c r="K820" s="40"/>
      <c r="L820" s="40"/>
      <c r="M820" s="40"/>
      <c r="N820" s="40"/>
      <c r="O820" s="40"/>
      <c r="P820" s="40"/>
      <c r="Q820" s="40"/>
      <c r="R820" s="40"/>
      <c r="S820" s="40"/>
      <c r="T820" s="40"/>
    </row>
    <row r="821" spans="1:20" ht="15.75">
      <c r="A821" s="13">
        <v>66142</v>
      </c>
      <c r="B821" s="48">
        <f t="shared" si="3"/>
        <v>31</v>
      </c>
      <c r="C821" s="39">
        <v>122.58</v>
      </c>
      <c r="D821" s="39">
        <v>297.94099999999997</v>
      </c>
      <c r="E821" s="45">
        <v>729.47900000000004</v>
      </c>
      <c r="F821" s="39">
        <v>1150</v>
      </c>
      <c r="G821" s="39">
        <v>100</v>
      </c>
      <c r="H821" s="47">
        <v>600</v>
      </c>
      <c r="I821" s="39">
        <v>695</v>
      </c>
      <c r="J821" s="39">
        <v>50</v>
      </c>
      <c r="K821" s="40"/>
      <c r="L821" s="40"/>
      <c r="M821" s="40"/>
      <c r="N821" s="40"/>
      <c r="O821" s="40"/>
      <c r="P821" s="40"/>
      <c r="Q821" s="40"/>
      <c r="R821" s="40"/>
      <c r="S821" s="40"/>
      <c r="T821" s="40"/>
    </row>
    <row r="822" spans="1:20" ht="15.75">
      <c r="A822" s="13">
        <v>66170</v>
      </c>
      <c r="B822" s="48">
        <f t="shared" si="3"/>
        <v>28</v>
      </c>
      <c r="C822" s="39">
        <v>122.58</v>
      </c>
      <c r="D822" s="39">
        <v>297.94099999999997</v>
      </c>
      <c r="E822" s="45">
        <v>729.47900000000004</v>
      </c>
      <c r="F822" s="39">
        <v>1150</v>
      </c>
      <c r="G822" s="39">
        <v>100</v>
      </c>
      <c r="H822" s="47">
        <v>600</v>
      </c>
      <c r="I822" s="39">
        <v>695</v>
      </c>
      <c r="J822" s="39">
        <v>50</v>
      </c>
      <c r="K822" s="40"/>
      <c r="L822" s="40"/>
      <c r="M822" s="40"/>
      <c r="N822" s="40"/>
      <c r="O822" s="40"/>
      <c r="P822" s="40"/>
      <c r="Q822" s="40"/>
      <c r="R822" s="40"/>
      <c r="S822" s="40"/>
      <c r="T822" s="40"/>
    </row>
    <row r="823" spans="1:20" ht="15.75">
      <c r="A823" s="13">
        <v>66201</v>
      </c>
      <c r="B823" s="48">
        <f t="shared" si="3"/>
        <v>31</v>
      </c>
      <c r="C823" s="39">
        <v>122.58</v>
      </c>
      <c r="D823" s="39">
        <v>297.94099999999997</v>
      </c>
      <c r="E823" s="45">
        <v>729.47900000000004</v>
      </c>
      <c r="F823" s="39">
        <v>1150</v>
      </c>
      <c r="G823" s="39">
        <v>100</v>
      </c>
      <c r="H823" s="47">
        <v>600</v>
      </c>
      <c r="I823" s="39">
        <v>695</v>
      </c>
      <c r="J823" s="39">
        <v>50</v>
      </c>
      <c r="K823" s="40"/>
      <c r="L823" s="40"/>
      <c r="M823" s="40"/>
      <c r="N823" s="40"/>
      <c r="O823" s="40"/>
      <c r="P823" s="40"/>
      <c r="Q823" s="40"/>
      <c r="R823" s="40"/>
      <c r="S823" s="40"/>
      <c r="T823" s="40"/>
    </row>
    <row r="824" spans="1:20" ht="15.75">
      <c r="A824" s="13">
        <v>66231</v>
      </c>
      <c r="B824" s="48">
        <f t="shared" si="3"/>
        <v>30</v>
      </c>
      <c r="C824" s="39">
        <v>141.29300000000001</v>
      </c>
      <c r="D824" s="39">
        <v>267.99299999999999</v>
      </c>
      <c r="E824" s="45">
        <v>829.71400000000006</v>
      </c>
      <c r="F824" s="39">
        <v>1239</v>
      </c>
      <c r="G824" s="39">
        <v>100</v>
      </c>
      <c r="H824" s="47">
        <v>600</v>
      </c>
      <c r="I824" s="39">
        <v>695</v>
      </c>
      <c r="J824" s="39">
        <v>50</v>
      </c>
      <c r="K824" s="40"/>
      <c r="L824" s="40"/>
      <c r="M824" s="40"/>
      <c r="N824" s="40"/>
      <c r="O824" s="40"/>
      <c r="P824" s="40"/>
      <c r="Q824" s="40"/>
      <c r="R824" s="40"/>
      <c r="S824" s="40"/>
      <c r="T824" s="40"/>
    </row>
    <row r="825" spans="1:20" ht="15.75">
      <c r="A825" s="13">
        <v>66262</v>
      </c>
      <c r="B825" s="48">
        <f t="shared" si="3"/>
        <v>31</v>
      </c>
      <c r="C825" s="39">
        <v>194.20500000000001</v>
      </c>
      <c r="D825" s="39">
        <v>267.46600000000001</v>
      </c>
      <c r="E825" s="45">
        <v>812.32899999999995</v>
      </c>
      <c r="F825" s="39">
        <v>1274</v>
      </c>
      <c r="G825" s="39">
        <v>75</v>
      </c>
      <c r="H825" s="47">
        <v>600</v>
      </c>
      <c r="I825" s="39">
        <v>695</v>
      </c>
      <c r="J825" s="39">
        <v>50</v>
      </c>
      <c r="K825" s="40"/>
      <c r="L825" s="40"/>
      <c r="M825" s="40"/>
      <c r="N825" s="40"/>
      <c r="O825" s="40"/>
      <c r="P825" s="40"/>
      <c r="Q825" s="40"/>
      <c r="R825" s="40"/>
      <c r="S825" s="40"/>
      <c r="T825" s="40"/>
    </row>
    <row r="826" spans="1:20" ht="15.75">
      <c r="A826" s="13">
        <v>66292</v>
      </c>
      <c r="B826" s="48">
        <f t="shared" si="3"/>
        <v>30</v>
      </c>
      <c r="C826" s="39">
        <v>194.20500000000001</v>
      </c>
      <c r="D826" s="39">
        <v>267.46600000000001</v>
      </c>
      <c r="E826" s="45">
        <v>812.32899999999995</v>
      </c>
      <c r="F826" s="39">
        <v>1274</v>
      </c>
      <c r="G826" s="39">
        <v>50</v>
      </c>
      <c r="H826" s="47">
        <v>600</v>
      </c>
      <c r="I826" s="39">
        <v>695</v>
      </c>
      <c r="J826" s="39">
        <v>50</v>
      </c>
      <c r="K826" s="40"/>
      <c r="L826" s="40"/>
      <c r="M826" s="40"/>
      <c r="N826" s="40"/>
      <c r="O826" s="40"/>
      <c r="P826" s="40"/>
      <c r="Q826" s="40"/>
      <c r="R826" s="40"/>
      <c r="S826" s="40"/>
      <c r="T826" s="40"/>
    </row>
    <row r="827" spans="1:20" ht="15.75">
      <c r="A827" s="13">
        <v>66323</v>
      </c>
      <c r="B827" s="48">
        <f t="shared" si="3"/>
        <v>31</v>
      </c>
      <c r="C827" s="39">
        <v>194.20500000000001</v>
      </c>
      <c r="D827" s="39">
        <v>267.46600000000001</v>
      </c>
      <c r="E827" s="45">
        <v>812.32899999999995</v>
      </c>
      <c r="F827" s="39">
        <v>1274</v>
      </c>
      <c r="G827" s="39">
        <v>50</v>
      </c>
      <c r="H827" s="47">
        <v>600</v>
      </c>
      <c r="I827" s="39">
        <v>695</v>
      </c>
      <c r="J827" s="39">
        <v>0</v>
      </c>
      <c r="K827" s="40"/>
      <c r="L827" s="40"/>
      <c r="M827" s="40"/>
      <c r="N827" s="40"/>
      <c r="O827" s="40"/>
      <c r="P827" s="40"/>
      <c r="Q827" s="40"/>
      <c r="R827" s="40"/>
      <c r="S827" s="40"/>
      <c r="T827" s="40"/>
    </row>
    <row r="828" spans="1:20" ht="15.75">
      <c r="A828" s="13">
        <v>66354</v>
      </c>
      <c r="B828" s="48">
        <f t="shared" si="3"/>
        <v>31</v>
      </c>
      <c r="C828" s="39">
        <v>194.20500000000001</v>
      </c>
      <c r="D828" s="39">
        <v>267.46600000000001</v>
      </c>
      <c r="E828" s="45">
        <v>812.32899999999995</v>
      </c>
      <c r="F828" s="39">
        <v>1274</v>
      </c>
      <c r="G828" s="39">
        <v>50</v>
      </c>
      <c r="H828" s="47">
        <v>600</v>
      </c>
      <c r="I828" s="39">
        <v>695</v>
      </c>
      <c r="J828" s="39">
        <v>0</v>
      </c>
      <c r="K828" s="40"/>
      <c r="L828" s="40"/>
      <c r="M828" s="40"/>
      <c r="N828" s="40"/>
      <c r="O828" s="40"/>
      <c r="P828" s="40"/>
      <c r="Q828" s="40"/>
      <c r="R828" s="40"/>
      <c r="S828" s="40"/>
      <c r="T828" s="40"/>
    </row>
    <row r="829" spans="1:20" ht="15.75">
      <c r="A829" s="13">
        <v>66384</v>
      </c>
      <c r="B829" s="48">
        <f t="shared" si="3"/>
        <v>30</v>
      </c>
      <c r="C829" s="39">
        <v>194.20500000000001</v>
      </c>
      <c r="D829" s="39">
        <v>267.46600000000001</v>
      </c>
      <c r="E829" s="45">
        <v>812.32899999999995</v>
      </c>
      <c r="F829" s="39">
        <v>1274</v>
      </c>
      <c r="G829" s="39">
        <v>50</v>
      </c>
      <c r="H829" s="47">
        <v>600</v>
      </c>
      <c r="I829" s="39">
        <v>695</v>
      </c>
      <c r="J829" s="39">
        <v>0</v>
      </c>
      <c r="K829" s="40"/>
      <c r="L829" s="40"/>
      <c r="M829" s="40"/>
      <c r="N829" s="40"/>
      <c r="O829" s="40"/>
      <c r="P829" s="40"/>
      <c r="Q829" s="40"/>
      <c r="R829" s="40"/>
      <c r="S829" s="40"/>
      <c r="T829" s="40"/>
    </row>
    <row r="830" spans="1:20" ht="15.75">
      <c r="A830" s="13">
        <v>66415</v>
      </c>
      <c r="B830" s="48">
        <f t="shared" si="3"/>
        <v>31</v>
      </c>
      <c r="C830" s="39">
        <v>131.881</v>
      </c>
      <c r="D830" s="39">
        <v>277.16699999999997</v>
      </c>
      <c r="E830" s="45">
        <v>829.952</v>
      </c>
      <c r="F830" s="39">
        <v>1239</v>
      </c>
      <c r="G830" s="39">
        <v>75</v>
      </c>
      <c r="H830" s="47">
        <v>600</v>
      </c>
      <c r="I830" s="39">
        <v>695</v>
      </c>
      <c r="J830" s="39">
        <v>0</v>
      </c>
      <c r="K830" s="40"/>
      <c r="L830" s="40"/>
      <c r="M830" s="40"/>
      <c r="N830" s="40"/>
      <c r="O830" s="40"/>
      <c r="P830" s="40"/>
      <c r="Q830" s="40"/>
      <c r="R830" s="40"/>
      <c r="S830" s="40"/>
      <c r="T830" s="40"/>
    </row>
    <row r="831" spans="1:20" ht="15.75">
      <c r="A831" s="13">
        <v>66445</v>
      </c>
      <c r="B831" s="48">
        <f t="shared" si="3"/>
        <v>30</v>
      </c>
      <c r="C831" s="39">
        <v>122.58</v>
      </c>
      <c r="D831" s="39">
        <v>297.94099999999997</v>
      </c>
      <c r="E831" s="45">
        <v>729.47900000000004</v>
      </c>
      <c r="F831" s="39">
        <v>1150</v>
      </c>
      <c r="G831" s="39">
        <v>100</v>
      </c>
      <c r="H831" s="47">
        <v>600</v>
      </c>
      <c r="I831" s="39">
        <v>695</v>
      </c>
      <c r="J831" s="39">
        <v>50</v>
      </c>
      <c r="K831" s="40"/>
      <c r="L831" s="40"/>
      <c r="M831" s="40"/>
      <c r="N831" s="40"/>
      <c r="O831" s="40"/>
      <c r="P831" s="40"/>
      <c r="Q831" s="40"/>
      <c r="R831" s="40"/>
      <c r="S831" s="40"/>
      <c r="T831" s="40"/>
    </row>
    <row r="832" spans="1:20" ht="15.75">
      <c r="A832" s="13">
        <v>66476</v>
      </c>
      <c r="B832" s="48">
        <f t="shared" si="3"/>
        <v>31</v>
      </c>
      <c r="C832" s="39">
        <v>122.58</v>
      </c>
      <c r="D832" s="39">
        <v>297.94099999999997</v>
      </c>
      <c r="E832" s="45">
        <v>729.47900000000004</v>
      </c>
      <c r="F832" s="39">
        <v>1150</v>
      </c>
      <c r="G832" s="39">
        <v>100</v>
      </c>
      <c r="H832" s="47">
        <v>600</v>
      </c>
      <c r="I832" s="39">
        <v>695</v>
      </c>
      <c r="J832" s="39">
        <v>50</v>
      </c>
      <c r="K832" s="40"/>
      <c r="L832" s="40"/>
      <c r="M832" s="40"/>
      <c r="N832" s="40"/>
      <c r="O832" s="40"/>
      <c r="P832" s="40"/>
      <c r="Q832" s="40"/>
      <c r="R832" s="40"/>
      <c r="S832" s="40"/>
      <c r="T832" s="40"/>
    </row>
    <row r="833" spans="1:20" ht="15.75">
      <c r="A833" s="13">
        <v>66507</v>
      </c>
      <c r="B833" s="48">
        <f t="shared" si="3"/>
        <v>31</v>
      </c>
      <c r="C833" s="39">
        <v>122.58</v>
      </c>
      <c r="D833" s="39">
        <v>297.94099999999997</v>
      </c>
      <c r="E833" s="45">
        <v>729.47900000000004</v>
      </c>
      <c r="F833" s="39">
        <v>1150</v>
      </c>
      <c r="G833" s="39">
        <v>100</v>
      </c>
      <c r="H833" s="47">
        <v>600</v>
      </c>
      <c r="I833" s="39">
        <v>695</v>
      </c>
      <c r="J833" s="39">
        <v>50</v>
      </c>
      <c r="K833" s="40"/>
      <c r="L833" s="40"/>
      <c r="M833" s="40"/>
      <c r="N833" s="40"/>
      <c r="O833" s="40"/>
      <c r="P833" s="40"/>
      <c r="Q833" s="40"/>
      <c r="R833" s="40"/>
      <c r="S833" s="40"/>
      <c r="T833" s="40"/>
    </row>
    <row r="834" spans="1:20" ht="15.75">
      <c r="A834" s="13">
        <v>66535</v>
      </c>
      <c r="B834" s="48">
        <f t="shared" si="3"/>
        <v>28</v>
      </c>
      <c r="C834" s="39">
        <v>122.58</v>
      </c>
      <c r="D834" s="39">
        <v>297.94099999999997</v>
      </c>
      <c r="E834" s="45">
        <v>729.47900000000004</v>
      </c>
      <c r="F834" s="39">
        <v>1150</v>
      </c>
      <c r="G834" s="39">
        <v>100</v>
      </c>
      <c r="H834" s="47">
        <v>600</v>
      </c>
      <c r="I834" s="39">
        <v>695</v>
      </c>
      <c r="J834" s="39">
        <v>50</v>
      </c>
      <c r="K834" s="40"/>
      <c r="L834" s="40"/>
      <c r="M834" s="40"/>
      <c r="N834" s="40"/>
      <c r="O834" s="40"/>
      <c r="P834" s="40"/>
      <c r="Q834" s="40"/>
      <c r="R834" s="40"/>
      <c r="S834" s="40"/>
      <c r="T834" s="40"/>
    </row>
    <row r="835" spans="1:20" ht="15.75">
      <c r="A835" s="13">
        <v>66566</v>
      </c>
      <c r="B835" s="48">
        <f t="shared" si="3"/>
        <v>31</v>
      </c>
      <c r="C835" s="39">
        <v>122.58</v>
      </c>
      <c r="D835" s="39">
        <v>297.94099999999997</v>
      </c>
      <c r="E835" s="45">
        <v>729.47900000000004</v>
      </c>
      <c r="F835" s="39">
        <v>1150</v>
      </c>
      <c r="G835" s="39">
        <v>100</v>
      </c>
      <c r="H835" s="47">
        <v>600</v>
      </c>
      <c r="I835" s="39">
        <v>695</v>
      </c>
      <c r="J835" s="39">
        <v>50</v>
      </c>
      <c r="K835" s="40"/>
      <c r="L835" s="40"/>
      <c r="M835" s="40"/>
      <c r="N835" s="40"/>
      <c r="O835" s="40"/>
      <c r="P835" s="40"/>
      <c r="Q835" s="40"/>
      <c r="R835" s="40"/>
      <c r="S835" s="40"/>
      <c r="T835" s="40"/>
    </row>
    <row r="836" spans="1:20" ht="15.75">
      <c r="A836" s="13">
        <v>66596</v>
      </c>
      <c r="B836" s="48">
        <f t="shared" si="3"/>
        <v>30</v>
      </c>
      <c r="C836" s="39">
        <v>141.29300000000001</v>
      </c>
      <c r="D836" s="39">
        <v>267.99299999999999</v>
      </c>
      <c r="E836" s="45">
        <v>829.71400000000006</v>
      </c>
      <c r="F836" s="39">
        <v>1239</v>
      </c>
      <c r="G836" s="39">
        <v>100</v>
      </c>
      <c r="H836" s="47">
        <v>600</v>
      </c>
      <c r="I836" s="39">
        <v>695</v>
      </c>
      <c r="J836" s="39">
        <v>50</v>
      </c>
      <c r="K836" s="40"/>
      <c r="L836" s="40"/>
      <c r="M836" s="40"/>
      <c r="N836" s="40"/>
      <c r="O836" s="40"/>
      <c r="P836" s="40"/>
      <c r="Q836" s="40"/>
      <c r="R836" s="40"/>
      <c r="S836" s="40"/>
      <c r="T836" s="40"/>
    </row>
    <row r="837" spans="1:20" ht="15.75">
      <c r="A837" s="13">
        <v>66627</v>
      </c>
      <c r="B837" s="48">
        <f t="shared" si="3"/>
        <v>31</v>
      </c>
      <c r="C837" s="39">
        <v>194.20500000000001</v>
      </c>
      <c r="D837" s="39">
        <v>267.46600000000001</v>
      </c>
      <c r="E837" s="45">
        <v>812.32899999999995</v>
      </c>
      <c r="F837" s="39">
        <v>1274</v>
      </c>
      <c r="G837" s="39">
        <v>75</v>
      </c>
      <c r="H837" s="47">
        <v>600</v>
      </c>
      <c r="I837" s="39">
        <v>695</v>
      </c>
      <c r="J837" s="39">
        <v>50</v>
      </c>
      <c r="K837" s="40"/>
      <c r="L837" s="40"/>
      <c r="M837" s="40"/>
      <c r="N837" s="40"/>
      <c r="O837" s="40"/>
      <c r="P837" s="40"/>
      <c r="Q837" s="40"/>
      <c r="R837" s="40"/>
      <c r="S837" s="40"/>
      <c r="T837" s="40"/>
    </row>
    <row r="838" spans="1:20" ht="15.75">
      <c r="A838" s="13">
        <v>66657</v>
      </c>
      <c r="B838" s="48">
        <f t="shared" si="3"/>
        <v>30</v>
      </c>
      <c r="C838" s="39">
        <v>194.20500000000001</v>
      </c>
      <c r="D838" s="39">
        <v>267.46600000000001</v>
      </c>
      <c r="E838" s="45">
        <v>812.32899999999995</v>
      </c>
      <c r="F838" s="39">
        <v>1274</v>
      </c>
      <c r="G838" s="39">
        <v>50</v>
      </c>
      <c r="H838" s="47">
        <v>600</v>
      </c>
      <c r="I838" s="39">
        <v>695</v>
      </c>
      <c r="J838" s="39">
        <v>50</v>
      </c>
      <c r="K838" s="40"/>
      <c r="L838" s="40"/>
      <c r="M838" s="40"/>
      <c r="N838" s="40"/>
      <c r="O838" s="40"/>
      <c r="P838" s="40"/>
      <c r="Q838" s="40"/>
      <c r="R838" s="40"/>
      <c r="S838" s="40"/>
      <c r="T838" s="40"/>
    </row>
    <row r="839" spans="1:20" ht="15.75">
      <c r="A839" s="13">
        <v>66688</v>
      </c>
      <c r="B839" s="48">
        <f t="shared" si="3"/>
        <v>31</v>
      </c>
      <c r="C839" s="39">
        <v>194.20500000000001</v>
      </c>
      <c r="D839" s="39">
        <v>267.46600000000001</v>
      </c>
      <c r="E839" s="45">
        <v>812.32899999999995</v>
      </c>
      <c r="F839" s="39">
        <v>1274</v>
      </c>
      <c r="G839" s="39">
        <v>50</v>
      </c>
      <c r="H839" s="47">
        <v>600</v>
      </c>
      <c r="I839" s="39">
        <v>695</v>
      </c>
      <c r="J839" s="39">
        <v>0</v>
      </c>
      <c r="K839" s="40"/>
      <c r="L839" s="40"/>
      <c r="M839" s="40"/>
      <c r="N839" s="40"/>
      <c r="O839" s="40"/>
      <c r="P839" s="40"/>
      <c r="Q839" s="40"/>
      <c r="R839" s="40"/>
      <c r="S839" s="40"/>
      <c r="T839" s="40"/>
    </row>
    <row r="840" spans="1:20" ht="15.75">
      <c r="A840" s="13">
        <v>66719</v>
      </c>
      <c r="B840" s="48">
        <f t="shared" si="3"/>
        <v>31</v>
      </c>
      <c r="C840" s="39">
        <v>194.20500000000001</v>
      </c>
      <c r="D840" s="39">
        <v>267.46600000000001</v>
      </c>
      <c r="E840" s="45">
        <v>812.32899999999995</v>
      </c>
      <c r="F840" s="39">
        <v>1274</v>
      </c>
      <c r="G840" s="39">
        <v>50</v>
      </c>
      <c r="H840" s="47">
        <v>600</v>
      </c>
      <c r="I840" s="39">
        <v>695</v>
      </c>
      <c r="J840" s="39">
        <v>0</v>
      </c>
      <c r="K840" s="40"/>
      <c r="L840" s="40"/>
      <c r="M840" s="40"/>
      <c r="N840" s="40"/>
      <c r="O840" s="40"/>
      <c r="P840" s="40"/>
      <c r="Q840" s="40"/>
      <c r="R840" s="40"/>
      <c r="S840" s="40"/>
      <c r="T840" s="40"/>
    </row>
    <row r="841" spans="1:20" ht="15.75">
      <c r="A841" s="13">
        <v>66749</v>
      </c>
      <c r="B841" s="48">
        <f t="shared" si="3"/>
        <v>30</v>
      </c>
      <c r="C841" s="39">
        <v>194.20500000000001</v>
      </c>
      <c r="D841" s="39">
        <v>267.46600000000001</v>
      </c>
      <c r="E841" s="45">
        <v>812.32899999999995</v>
      </c>
      <c r="F841" s="39">
        <v>1274</v>
      </c>
      <c r="G841" s="39">
        <v>50</v>
      </c>
      <c r="H841" s="47">
        <v>600</v>
      </c>
      <c r="I841" s="39">
        <v>695</v>
      </c>
      <c r="J841" s="39">
        <v>0</v>
      </c>
      <c r="K841" s="40"/>
      <c r="L841" s="40"/>
      <c r="M841" s="40"/>
      <c r="N841" s="40"/>
      <c r="O841" s="40"/>
      <c r="P841" s="40"/>
      <c r="Q841" s="40"/>
      <c r="R841" s="40"/>
      <c r="S841" s="40"/>
      <c r="T841" s="40"/>
    </row>
    <row r="842" spans="1:20" ht="15.75">
      <c r="A842" s="13">
        <v>66780</v>
      </c>
      <c r="B842" s="48">
        <f t="shared" si="3"/>
        <v>31</v>
      </c>
      <c r="C842" s="39">
        <v>131.881</v>
      </c>
      <c r="D842" s="39">
        <v>277.16699999999997</v>
      </c>
      <c r="E842" s="45">
        <v>829.952</v>
      </c>
      <c r="F842" s="39">
        <v>1239</v>
      </c>
      <c r="G842" s="39">
        <v>75</v>
      </c>
      <c r="H842" s="47">
        <v>600</v>
      </c>
      <c r="I842" s="39">
        <v>695</v>
      </c>
      <c r="J842" s="39">
        <v>0</v>
      </c>
      <c r="K842" s="40"/>
      <c r="L842" s="40"/>
      <c r="M842" s="40"/>
      <c r="N842" s="40"/>
      <c r="O842" s="40"/>
      <c r="P842" s="40"/>
      <c r="Q842" s="40"/>
      <c r="R842" s="40"/>
      <c r="S842" s="40"/>
      <c r="T842" s="40"/>
    </row>
    <row r="843" spans="1:20" ht="15.75">
      <c r="A843" s="13">
        <v>66810</v>
      </c>
      <c r="B843" s="48">
        <f t="shared" si="3"/>
        <v>30</v>
      </c>
      <c r="C843" s="39">
        <v>122.58</v>
      </c>
      <c r="D843" s="39">
        <v>297.94099999999997</v>
      </c>
      <c r="E843" s="45">
        <v>729.47900000000004</v>
      </c>
      <c r="F843" s="39">
        <v>1150</v>
      </c>
      <c r="G843" s="39">
        <v>100</v>
      </c>
      <c r="H843" s="47">
        <v>600</v>
      </c>
      <c r="I843" s="39">
        <v>695</v>
      </c>
      <c r="J843" s="39">
        <v>50</v>
      </c>
      <c r="K843" s="40"/>
      <c r="L843" s="40"/>
      <c r="M843" s="40"/>
      <c r="N843" s="40"/>
      <c r="O843" s="40"/>
      <c r="P843" s="40"/>
      <c r="Q843" s="40"/>
      <c r="R843" s="40"/>
      <c r="S843" s="40"/>
      <c r="T843" s="40"/>
    </row>
    <row r="844" spans="1:20" ht="15.75">
      <c r="A844" s="13">
        <v>66841</v>
      </c>
      <c r="B844" s="48">
        <f t="shared" si="3"/>
        <v>31</v>
      </c>
      <c r="C844" s="39">
        <v>122.58</v>
      </c>
      <c r="D844" s="39">
        <v>297.94099999999997</v>
      </c>
      <c r="E844" s="45">
        <v>729.47900000000004</v>
      </c>
      <c r="F844" s="39">
        <v>1150</v>
      </c>
      <c r="G844" s="39">
        <v>100</v>
      </c>
      <c r="H844" s="47">
        <v>600</v>
      </c>
      <c r="I844" s="39">
        <v>695</v>
      </c>
      <c r="J844" s="39">
        <v>50</v>
      </c>
      <c r="K844" s="40"/>
      <c r="L844" s="40"/>
      <c r="M844" s="40"/>
      <c r="N844" s="40"/>
      <c r="O844" s="40"/>
      <c r="P844" s="40"/>
      <c r="Q844" s="40"/>
      <c r="R844" s="40"/>
      <c r="S844" s="40"/>
      <c r="T844" s="40"/>
    </row>
    <row r="845" spans="1:20" ht="15.75">
      <c r="A845" s="13">
        <v>66872</v>
      </c>
      <c r="B845" s="48">
        <f t="shared" si="3"/>
        <v>31</v>
      </c>
      <c r="C845" s="39">
        <v>122.58</v>
      </c>
      <c r="D845" s="39">
        <v>297.94099999999997</v>
      </c>
      <c r="E845" s="45">
        <v>729.47900000000004</v>
      </c>
      <c r="F845" s="39">
        <v>1150</v>
      </c>
      <c r="G845" s="39">
        <v>100</v>
      </c>
      <c r="H845" s="47">
        <v>600</v>
      </c>
      <c r="I845" s="39">
        <v>695</v>
      </c>
      <c r="J845" s="39">
        <v>50</v>
      </c>
      <c r="K845" s="40"/>
      <c r="L845" s="40"/>
      <c r="M845" s="40"/>
      <c r="N845" s="40"/>
      <c r="O845" s="40"/>
      <c r="P845" s="40"/>
      <c r="Q845" s="40"/>
      <c r="R845" s="40"/>
      <c r="S845" s="40"/>
      <c r="T845" s="40"/>
    </row>
    <row r="846" spans="1:20" ht="15.75">
      <c r="A846" s="13">
        <v>66900</v>
      </c>
      <c r="B846" s="48">
        <f t="shared" si="3"/>
        <v>28</v>
      </c>
      <c r="C846" s="39">
        <v>122.58</v>
      </c>
      <c r="D846" s="39">
        <v>297.94099999999997</v>
      </c>
      <c r="E846" s="45">
        <v>729.47900000000004</v>
      </c>
      <c r="F846" s="39">
        <v>1150</v>
      </c>
      <c r="G846" s="39">
        <v>100</v>
      </c>
      <c r="H846" s="47">
        <v>600</v>
      </c>
      <c r="I846" s="39">
        <v>695</v>
      </c>
      <c r="J846" s="39">
        <v>50</v>
      </c>
      <c r="K846" s="40"/>
      <c r="L846" s="40"/>
      <c r="M846" s="40"/>
      <c r="N846" s="40"/>
      <c r="O846" s="40"/>
      <c r="P846" s="40"/>
      <c r="Q846" s="40"/>
      <c r="R846" s="40"/>
      <c r="S846" s="40"/>
      <c r="T846" s="40"/>
    </row>
    <row r="847" spans="1:20" ht="15.75">
      <c r="A847" s="13">
        <v>66931</v>
      </c>
      <c r="B847" s="48">
        <f t="shared" si="3"/>
        <v>31</v>
      </c>
      <c r="C847" s="39">
        <v>122.58</v>
      </c>
      <c r="D847" s="39">
        <v>297.94099999999997</v>
      </c>
      <c r="E847" s="45">
        <v>729.47900000000004</v>
      </c>
      <c r="F847" s="39">
        <v>1150</v>
      </c>
      <c r="G847" s="39">
        <v>100</v>
      </c>
      <c r="H847" s="47">
        <v>600</v>
      </c>
      <c r="I847" s="39">
        <v>695</v>
      </c>
      <c r="J847" s="39">
        <v>50</v>
      </c>
      <c r="K847" s="40"/>
      <c r="L847" s="40"/>
      <c r="M847" s="40"/>
      <c r="N847" s="40"/>
      <c r="O847" s="40"/>
      <c r="P847" s="40"/>
      <c r="Q847" s="40"/>
      <c r="R847" s="40"/>
      <c r="S847" s="40"/>
      <c r="T847" s="40"/>
    </row>
    <row r="848" spans="1:20" ht="15.75">
      <c r="A848" s="13">
        <v>66961</v>
      </c>
      <c r="B848" s="48">
        <f t="shared" si="3"/>
        <v>30</v>
      </c>
      <c r="C848" s="39">
        <v>141.29300000000001</v>
      </c>
      <c r="D848" s="39">
        <v>267.99299999999999</v>
      </c>
      <c r="E848" s="45">
        <v>829.71400000000006</v>
      </c>
      <c r="F848" s="39">
        <v>1239</v>
      </c>
      <c r="G848" s="39">
        <v>100</v>
      </c>
      <c r="H848" s="47">
        <v>600</v>
      </c>
      <c r="I848" s="39">
        <v>695</v>
      </c>
      <c r="J848" s="39">
        <v>50</v>
      </c>
      <c r="K848" s="40"/>
      <c r="L848" s="40"/>
      <c r="M848" s="40"/>
      <c r="N848" s="40"/>
      <c r="O848" s="40"/>
      <c r="P848" s="40"/>
      <c r="Q848" s="40"/>
      <c r="R848" s="40"/>
      <c r="S848" s="40"/>
      <c r="T848" s="40"/>
    </row>
    <row r="849" spans="1:20" ht="15.75">
      <c r="A849" s="13">
        <v>66992</v>
      </c>
      <c r="B849" s="48">
        <f t="shared" ref="B849:B912" si="4">EOMONTH(A849,0)-EOMONTH(A849,-1)</f>
        <v>31</v>
      </c>
      <c r="C849" s="39">
        <v>194.20500000000001</v>
      </c>
      <c r="D849" s="39">
        <v>267.46600000000001</v>
      </c>
      <c r="E849" s="45">
        <v>812.32899999999995</v>
      </c>
      <c r="F849" s="39">
        <v>1274</v>
      </c>
      <c r="G849" s="39">
        <v>75</v>
      </c>
      <c r="H849" s="47">
        <v>600</v>
      </c>
      <c r="I849" s="39">
        <v>695</v>
      </c>
      <c r="J849" s="39">
        <v>50</v>
      </c>
      <c r="K849" s="40"/>
      <c r="L849" s="40"/>
      <c r="M849" s="40"/>
      <c r="N849" s="40"/>
      <c r="O849" s="40"/>
      <c r="P849" s="40"/>
      <c r="Q849" s="40"/>
      <c r="R849" s="40"/>
      <c r="S849" s="40"/>
      <c r="T849" s="40"/>
    </row>
    <row r="850" spans="1:20" ht="15.75">
      <c r="A850" s="13">
        <v>67022</v>
      </c>
      <c r="B850" s="48">
        <f t="shared" si="4"/>
        <v>30</v>
      </c>
      <c r="C850" s="39">
        <v>194.20500000000001</v>
      </c>
      <c r="D850" s="39">
        <v>267.46600000000001</v>
      </c>
      <c r="E850" s="45">
        <v>812.32899999999995</v>
      </c>
      <c r="F850" s="39">
        <v>1274</v>
      </c>
      <c r="G850" s="39">
        <v>50</v>
      </c>
      <c r="H850" s="47">
        <v>600</v>
      </c>
      <c r="I850" s="39">
        <v>695</v>
      </c>
      <c r="J850" s="39">
        <v>50</v>
      </c>
      <c r="K850" s="40"/>
      <c r="L850" s="40"/>
      <c r="M850" s="40"/>
      <c r="N850" s="40"/>
      <c r="O850" s="40"/>
      <c r="P850" s="40"/>
      <c r="Q850" s="40"/>
      <c r="R850" s="40"/>
      <c r="S850" s="40"/>
      <c r="T850" s="40"/>
    </row>
    <row r="851" spans="1:20" ht="15.75">
      <c r="A851" s="13">
        <v>67053</v>
      </c>
      <c r="B851" s="48">
        <f t="shared" si="4"/>
        <v>31</v>
      </c>
      <c r="C851" s="39">
        <v>194.20500000000001</v>
      </c>
      <c r="D851" s="39">
        <v>267.46600000000001</v>
      </c>
      <c r="E851" s="45">
        <v>812.32899999999995</v>
      </c>
      <c r="F851" s="39">
        <v>1274</v>
      </c>
      <c r="G851" s="39">
        <v>50</v>
      </c>
      <c r="H851" s="47">
        <v>600</v>
      </c>
      <c r="I851" s="39">
        <v>695</v>
      </c>
      <c r="J851" s="39">
        <v>0</v>
      </c>
      <c r="K851" s="40"/>
      <c r="L851" s="40"/>
      <c r="M851" s="40"/>
      <c r="N851" s="40"/>
      <c r="O851" s="40"/>
      <c r="P851" s="40"/>
      <c r="Q851" s="40"/>
      <c r="R851" s="40"/>
      <c r="S851" s="40"/>
      <c r="T851" s="40"/>
    </row>
    <row r="852" spans="1:20" ht="15.75">
      <c r="A852" s="13">
        <v>67084</v>
      </c>
      <c r="B852" s="48">
        <f t="shared" si="4"/>
        <v>31</v>
      </c>
      <c r="C852" s="39">
        <v>194.20500000000001</v>
      </c>
      <c r="D852" s="39">
        <v>267.46600000000001</v>
      </c>
      <c r="E852" s="45">
        <v>812.32899999999995</v>
      </c>
      <c r="F852" s="39">
        <v>1274</v>
      </c>
      <c r="G852" s="39">
        <v>50</v>
      </c>
      <c r="H852" s="47">
        <v>600</v>
      </c>
      <c r="I852" s="39">
        <v>695</v>
      </c>
      <c r="J852" s="39">
        <v>0</v>
      </c>
      <c r="K852" s="40"/>
      <c r="L852" s="40"/>
      <c r="M852" s="40"/>
      <c r="N852" s="40"/>
      <c r="O852" s="40"/>
      <c r="P852" s="40"/>
      <c r="Q852" s="40"/>
      <c r="R852" s="40"/>
      <c r="S852" s="40"/>
      <c r="T852" s="40"/>
    </row>
    <row r="853" spans="1:20" ht="15.75">
      <c r="A853" s="13">
        <v>67114</v>
      </c>
      <c r="B853" s="48">
        <f t="shared" si="4"/>
        <v>30</v>
      </c>
      <c r="C853" s="39">
        <v>194.20500000000001</v>
      </c>
      <c r="D853" s="39">
        <v>267.46600000000001</v>
      </c>
      <c r="E853" s="45">
        <v>812.32899999999995</v>
      </c>
      <c r="F853" s="39">
        <v>1274</v>
      </c>
      <c r="G853" s="39">
        <v>50</v>
      </c>
      <c r="H853" s="47">
        <v>600</v>
      </c>
      <c r="I853" s="39">
        <v>695</v>
      </c>
      <c r="J853" s="39">
        <v>0</v>
      </c>
      <c r="K853" s="40"/>
      <c r="L853" s="40"/>
      <c r="M853" s="40"/>
      <c r="N853" s="40"/>
      <c r="O853" s="40"/>
      <c r="P853" s="40"/>
      <c r="Q853" s="40"/>
      <c r="R853" s="40"/>
      <c r="S853" s="40"/>
      <c r="T853" s="40"/>
    </row>
    <row r="854" spans="1:20" ht="15.75">
      <c r="A854" s="13">
        <v>67145</v>
      </c>
      <c r="B854" s="48">
        <f t="shared" si="4"/>
        <v>31</v>
      </c>
      <c r="C854" s="39">
        <v>131.881</v>
      </c>
      <c r="D854" s="39">
        <v>277.16699999999997</v>
      </c>
      <c r="E854" s="45">
        <v>829.952</v>
      </c>
      <c r="F854" s="39">
        <v>1239</v>
      </c>
      <c r="G854" s="39">
        <v>75</v>
      </c>
      <c r="H854" s="47">
        <v>600</v>
      </c>
      <c r="I854" s="39">
        <v>695</v>
      </c>
      <c r="J854" s="39">
        <v>0</v>
      </c>
      <c r="K854" s="40"/>
      <c r="L854" s="40"/>
      <c r="M854" s="40"/>
      <c r="N854" s="40"/>
      <c r="O854" s="40"/>
      <c r="P854" s="40"/>
      <c r="Q854" s="40"/>
      <c r="R854" s="40"/>
      <c r="S854" s="40"/>
      <c r="T854" s="40"/>
    </row>
    <row r="855" spans="1:20" ht="15.75">
      <c r="A855" s="13">
        <v>67175</v>
      </c>
      <c r="B855" s="48">
        <f t="shared" si="4"/>
        <v>30</v>
      </c>
      <c r="C855" s="39">
        <v>122.58</v>
      </c>
      <c r="D855" s="39">
        <v>297.94099999999997</v>
      </c>
      <c r="E855" s="45">
        <v>729.47900000000004</v>
      </c>
      <c r="F855" s="39">
        <v>1150</v>
      </c>
      <c r="G855" s="39">
        <v>100</v>
      </c>
      <c r="H855" s="47">
        <v>600</v>
      </c>
      <c r="I855" s="39">
        <v>695</v>
      </c>
      <c r="J855" s="39">
        <v>50</v>
      </c>
      <c r="K855" s="40"/>
      <c r="L855" s="40"/>
      <c r="M855" s="40"/>
      <c r="N855" s="40"/>
      <c r="O855" s="40"/>
      <c r="P855" s="40"/>
      <c r="Q855" s="40"/>
      <c r="R855" s="40"/>
      <c r="S855" s="40"/>
      <c r="T855" s="40"/>
    </row>
    <row r="856" spans="1:20" ht="15.75">
      <c r="A856" s="13">
        <v>67206</v>
      </c>
      <c r="B856" s="48">
        <f t="shared" si="4"/>
        <v>31</v>
      </c>
      <c r="C856" s="39">
        <v>122.58</v>
      </c>
      <c r="D856" s="39">
        <v>297.94099999999997</v>
      </c>
      <c r="E856" s="45">
        <v>729.47900000000004</v>
      </c>
      <c r="F856" s="39">
        <v>1150</v>
      </c>
      <c r="G856" s="39">
        <v>100</v>
      </c>
      <c r="H856" s="47">
        <v>600</v>
      </c>
      <c r="I856" s="39">
        <v>695</v>
      </c>
      <c r="J856" s="39">
        <v>50</v>
      </c>
      <c r="K856" s="40"/>
      <c r="L856" s="40"/>
      <c r="M856" s="40"/>
      <c r="N856" s="40"/>
      <c r="O856" s="40"/>
      <c r="P856" s="40"/>
      <c r="Q856" s="40"/>
      <c r="R856" s="40"/>
      <c r="S856" s="40"/>
      <c r="T856" s="40"/>
    </row>
    <row r="857" spans="1:20" ht="15.75">
      <c r="A857" s="13">
        <v>67237</v>
      </c>
      <c r="B857" s="48">
        <f t="shared" si="4"/>
        <v>31</v>
      </c>
      <c r="C857" s="39">
        <v>122.58</v>
      </c>
      <c r="D857" s="39">
        <v>297.94099999999997</v>
      </c>
      <c r="E857" s="45">
        <v>729.47900000000004</v>
      </c>
      <c r="F857" s="39">
        <v>1150</v>
      </c>
      <c r="G857" s="39">
        <v>100</v>
      </c>
      <c r="H857" s="47">
        <v>600</v>
      </c>
      <c r="I857" s="39">
        <v>695</v>
      </c>
      <c r="J857" s="39">
        <v>50</v>
      </c>
      <c r="K857" s="40"/>
      <c r="L857" s="40"/>
      <c r="M857" s="40"/>
      <c r="N857" s="40"/>
      <c r="O857" s="40"/>
      <c r="P857" s="40"/>
      <c r="Q857" s="40"/>
      <c r="R857" s="40"/>
      <c r="S857" s="40"/>
      <c r="T857" s="40"/>
    </row>
    <row r="858" spans="1:20" ht="15.75">
      <c r="A858" s="13">
        <v>67266</v>
      </c>
      <c r="B858" s="48">
        <f t="shared" si="4"/>
        <v>29</v>
      </c>
      <c r="C858" s="39">
        <v>122.58</v>
      </c>
      <c r="D858" s="39">
        <v>297.94099999999997</v>
      </c>
      <c r="E858" s="45">
        <v>729.47900000000004</v>
      </c>
      <c r="F858" s="39">
        <v>1150</v>
      </c>
      <c r="G858" s="39">
        <v>100</v>
      </c>
      <c r="H858" s="47">
        <v>600</v>
      </c>
      <c r="I858" s="39">
        <v>695</v>
      </c>
      <c r="J858" s="39">
        <v>50</v>
      </c>
      <c r="K858" s="40"/>
      <c r="L858" s="40"/>
      <c r="M858" s="40"/>
      <c r="N858" s="40"/>
      <c r="O858" s="40"/>
      <c r="P858" s="40"/>
      <c r="Q858" s="40"/>
      <c r="R858" s="40"/>
      <c r="S858" s="40"/>
      <c r="T858" s="40"/>
    </row>
    <row r="859" spans="1:20" ht="15.75">
      <c r="A859" s="13">
        <v>67297</v>
      </c>
      <c r="B859" s="48">
        <f t="shared" si="4"/>
        <v>31</v>
      </c>
      <c r="C859" s="39">
        <v>122.58</v>
      </c>
      <c r="D859" s="39">
        <v>297.94099999999997</v>
      </c>
      <c r="E859" s="45">
        <v>729.47900000000004</v>
      </c>
      <c r="F859" s="39">
        <v>1150</v>
      </c>
      <c r="G859" s="39">
        <v>100</v>
      </c>
      <c r="H859" s="47">
        <v>600</v>
      </c>
      <c r="I859" s="39">
        <v>695</v>
      </c>
      <c r="J859" s="39">
        <v>50</v>
      </c>
      <c r="K859" s="40"/>
      <c r="L859" s="40"/>
      <c r="M859" s="40"/>
      <c r="N859" s="40"/>
      <c r="O859" s="40"/>
      <c r="P859" s="40"/>
      <c r="Q859" s="40"/>
      <c r="R859" s="40"/>
      <c r="S859" s="40"/>
      <c r="T859" s="40"/>
    </row>
    <row r="860" spans="1:20" ht="15.75">
      <c r="A860" s="13">
        <v>67327</v>
      </c>
      <c r="B860" s="48">
        <f t="shared" si="4"/>
        <v>30</v>
      </c>
      <c r="C860" s="39">
        <v>141.29300000000001</v>
      </c>
      <c r="D860" s="39">
        <v>267.99299999999999</v>
      </c>
      <c r="E860" s="45">
        <v>829.71400000000006</v>
      </c>
      <c r="F860" s="39">
        <v>1239</v>
      </c>
      <c r="G860" s="39">
        <v>100</v>
      </c>
      <c r="H860" s="47">
        <v>600</v>
      </c>
      <c r="I860" s="39">
        <v>695</v>
      </c>
      <c r="J860" s="39">
        <v>50</v>
      </c>
      <c r="K860" s="40"/>
      <c r="L860" s="40"/>
      <c r="M860" s="40"/>
      <c r="N860" s="40"/>
      <c r="O860" s="40"/>
      <c r="P860" s="40"/>
      <c r="Q860" s="40"/>
      <c r="R860" s="40"/>
      <c r="S860" s="40"/>
      <c r="T860" s="40"/>
    </row>
    <row r="861" spans="1:20" ht="15.75">
      <c r="A861" s="13">
        <v>67358</v>
      </c>
      <c r="B861" s="48">
        <f t="shared" si="4"/>
        <v>31</v>
      </c>
      <c r="C861" s="39">
        <v>194.20500000000001</v>
      </c>
      <c r="D861" s="39">
        <v>267.46600000000001</v>
      </c>
      <c r="E861" s="45">
        <v>812.32899999999995</v>
      </c>
      <c r="F861" s="39">
        <v>1274</v>
      </c>
      <c r="G861" s="39">
        <v>75</v>
      </c>
      <c r="H861" s="47">
        <v>600</v>
      </c>
      <c r="I861" s="39">
        <v>695</v>
      </c>
      <c r="J861" s="39">
        <v>50</v>
      </c>
      <c r="K861" s="40"/>
      <c r="L861" s="40"/>
      <c r="M861" s="40"/>
      <c r="N861" s="40"/>
      <c r="O861" s="40"/>
      <c r="P861" s="40"/>
      <c r="Q861" s="40"/>
      <c r="R861" s="40"/>
      <c r="S861" s="40"/>
      <c r="T861" s="40"/>
    </row>
    <row r="862" spans="1:20" ht="15.75">
      <c r="A862" s="13">
        <v>67388</v>
      </c>
      <c r="B862" s="48">
        <f t="shared" si="4"/>
        <v>30</v>
      </c>
      <c r="C862" s="39">
        <v>194.20500000000001</v>
      </c>
      <c r="D862" s="39">
        <v>267.46600000000001</v>
      </c>
      <c r="E862" s="45">
        <v>812.32899999999995</v>
      </c>
      <c r="F862" s="39">
        <v>1274</v>
      </c>
      <c r="G862" s="39">
        <v>50</v>
      </c>
      <c r="H862" s="47">
        <v>600</v>
      </c>
      <c r="I862" s="39">
        <v>695</v>
      </c>
      <c r="J862" s="39">
        <v>50</v>
      </c>
      <c r="K862" s="40"/>
      <c r="L862" s="40"/>
      <c r="M862" s="40"/>
      <c r="N862" s="40"/>
      <c r="O862" s="40"/>
      <c r="P862" s="40"/>
      <c r="Q862" s="40"/>
      <c r="R862" s="40"/>
      <c r="S862" s="40"/>
      <c r="T862" s="40"/>
    </row>
    <row r="863" spans="1:20" ht="15.75">
      <c r="A863" s="13">
        <v>67419</v>
      </c>
      <c r="B863" s="48">
        <f t="shared" si="4"/>
        <v>31</v>
      </c>
      <c r="C863" s="39">
        <v>194.20500000000001</v>
      </c>
      <c r="D863" s="39">
        <v>267.46600000000001</v>
      </c>
      <c r="E863" s="45">
        <v>812.32899999999995</v>
      </c>
      <c r="F863" s="39">
        <v>1274</v>
      </c>
      <c r="G863" s="39">
        <v>50</v>
      </c>
      <c r="H863" s="47">
        <v>600</v>
      </c>
      <c r="I863" s="39">
        <v>695</v>
      </c>
      <c r="J863" s="39">
        <v>0</v>
      </c>
      <c r="K863" s="40"/>
      <c r="L863" s="40"/>
      <c r="M863" s="40"/>
      <c r="N863" s="40"/>
      <c r="O863" s="40"/>
      <c r="P863" s="40"/>
      <c r="Q863" s="40"/>
      <c r="R863" s="40"/>
      <c r="S863" s="40"/>
      <c r="T863" s="40"/>
    </row>
    <row r="864" spans="1:20" ht="15.75">
      <c r="A864" s="13">
        <v>67450</v>
      </c>
      <c r="B864" s="48">
        <f t="shared" si="4"/>
        <v>31</v>
      </c>
      <c r="C864" s="39">
        <v>194.20500000000001</v>
      </c>
      <c r="D864" s="39">
        <v>267.46600000000001</v>
      </c>
      <c r="E864" s="45">
        <v>812.32899999999995</v>
      </c>
      <c r="F864" s="39">
        <v>1274</v>
      </c>
      <c r="G864" s="39">
        <v>50</v>
      </c>
      <c r="H864" s="47">
        <v>600</v>
      </c>
      <c r="I864" s="39">
        <v>695</v>
      </c>
      <c r="J864" s="39">
        <v>0</v>
      </c>
      <c r="K864" s="40"/>
      <c r="L864" s="40"/>
      <c r="M864" s="40"/>
      <c r="N864" s="40"/>
      <c r="O864" s="40"/>
      <c r="P864" s="40"/>
      <c r="Q864" s="40"/>
      <c r="R864" s="40"/>
      <c r="S864" s="40"/>
      <c r="T864" s="40"/>
    </row>
    <row r="865" spans="1:20" ht="15.75">
      <c r="A865" s="13">
        <v>67480</v>
      </c>
      <c r="B865" s="48">
        <f t="shared" si="4"/>
        <v>30</v>
      </c>
      <c r="C865" s="39">
        <v>194.20500000000001</v>
      </c>
      <c r="D865" s="39">
        <v>267.46600000000001</v>
      </c>
      <c r="E865" s="45">
        <v>812.32899999999995</v>
      </c>
      <c r="F865" s="39">
        <v>1274</v>
      </c>
      <c r="G865" s="39">
        <v>50</v>
      </c>
      <c r="H865" s="47">
        <v>600</v>
      </c>
      <c r="I865" s="39">
        <v>695</v>
      </c>
      <c r="J865" s="39">
        <v>0</v>
      </c>
      <c r="K865" s="40"/>
      <c r="L865" s="40"/>
      <c r="M865" s="40"/>
      <c r="N865" s="40"/>
      <c r="O865" s="40"/>
      <c r="P865" s="40"/>
      <c r="Q865" s="40"/>
      <c r="R865" s="40"/>
      <c r="S865" s="40"/>
      <c r="T865" s="40"/>
    </row>
    <row r="866" spans="1:20" ht="15.75">
      <c r="A866" s="13">
        <v>67511</v>
      </c>
      <c r="B866" s="48">
        <f t="shared" si="4"/>
        <v>31</v>
      </c>
      <c r="C866" s="39">
        <v>131.881</v>
      </c>
      <c r="D866" s="39">
        <v>277.16699999999997</v>
      </c>
      <c r="E866" s="45">
        <v>829.952</v>
      </c>
      <c r="F866" s="39">
        <v>1239</v>
      </c>
      <c r="G866" s="39">
        <v>75</v>
      </c>
      <c r="H866" s="47">
        <v>600</v>
      </c>
      <c r="I866" s="39">
        <v>695</v>
      </c>
      <c r="J866" s="39">
        <v>0</v>
      </c>
      <c r="K866" s="40"/>
      <c r="L866" s="40"/>
      <c r="M866" s="40"/>
      <c r="N866" s="40"/>
      <c r="O866" s="40"/>
      <c r="P866" s="40"/>
      <c r="Q866" s="40"/>
      <c r="R866" s="40"/>
      <c r="S866" s="40"/>
      <c r="T866" s="40"/>
    </row>
    <row r="867" spans="1:20" ht="15.75">
      <c r="A867" s="13">
        <v>67541</v>
      </c>
      <c r="B867" s="48">
        <f t="shared" si="4"/>
        <v>30</v>
      </c>
      <c r="C867" s="39">
        <v>122.58</v>
      </c>
      <c r="D867" s="39">
        <v>297.94099999999997</v>
      </c>
      <c r="E867" s="45">
        <v>729.47900000000004</v>
      </c>
      <c r="F867" s="39">
        <v>1150</v>
      </c>
      <c r="G867" s="39">
        <v>100</v>
      </c>
      <c r="H867" s="47">
        <v>600</v>
      </c>
      <c r="I867" s="39">
        <v>695</v>
      </c>
      <c r="J867" s="39">
        <v>50</v>
      </c>
      <c r="K867" s="40"/>
      <c r="L867" s="40"/>
      <c r="M867" s="40"/>
      <c r="N867" s="40"/>
      <c r="O867" s="40"/>
      <c r="P867" s="40"/>
      <c r="Q867" s="40"/>
      <c r="R867" s="40"/>
      <c r="S867" s="40"/>
      <c r="T867" s="40"/>
    </row>
    <row r="868" spans="1:20" ht="15.75">
      <c r="A868" s="13">
        <v>67572</v>
      </c>
      <c r="B868" s="48">
        <f t="shared" si="4"/>
        <v>31</v>
      </c>
      <c r="C868" s="39">
        <v>122.58</v>
      </c>
      <c r="D868" s="39">
        <v>297.94099999999997</v>
      </c>
      <c r="E868" s="45">
        <v>729.47900000000004</v>
      </c>
      <c r="F868" s="39">
        <v>1150</v>
      </c>
      <c r="G868" s="39">
        <v>100</v>
      </c>
      <c r="H868" s="47">
        <v>600</v>
      </c>
      <c r="I868" s="39">
        <v>695</v>
      </c>
      <c r="J868" s="39">
        <v>50</v>
      </c>
      <c r="K868" s="40"/>
      <c r="L868" s="40"/>
      <c r="M868" s="40"/>
      <c r="N868" s="40"/>
      <c r="O868" s="40"/>
      <c r="P868" s="40"/>
      <c r="Q868" s="40"/>
      <c r="R868" s="40"/>
      <c r="S868" s="40"/>
      <c r="T868" s="40"/>
    </row>
    <row r="869" spans="1:20" ht="15.75">
      <c r="A869" s="13">
        <v>67603</v>
      </c>
      <c r="B869" s="48">
        <f t="shared" si="4"/>
        <v>31</v>
      </c>
      <c r="C869" s="39">
        <v>122.58</v>
      </c>
      <c r="D869" s="39">
        <v>297.94099999999997</v>
      </c>
      <c r="E869" s="45">
        <v>729.47900000000004</v>
      </c>
      <c r="F869" s="39">
        <v>1150</v>
      </c>
      <c r="G869" s="39">
        <v>100</v>
      </c>
      <c r="H869" s="47">
        <v>600</v>
      </c>
      <c r="I869" s="39">
        <v>695</v>
      </c>
      <c r="J869" s="39">
        <v>50</v>
      </c>
      <c r="K869" s="40"/>
      <c r="L869" s="40"/>
      <c r="M869" s="40"/>
      <c r="N869" s="40"/>
      <c r="O869" s="40"/>
      <c r="P869" s="40"/>
      <c r="Q869" s="40"/>
      <c r="R869" s="40"/>
      <c r="S869" s="40"/>
      <c r="T869" s="40"/>
    </row>
    <row r="870" spans="1:20" ht="15.75">
      <c r="A870" s="13">
        <v>67631</v>
      </c>
      <c r="B870" s="48">
        <f t="shared" si="4"/>
        <v>28</v>
      </c>
      <c r="C870" s="39">
        <v>122.58</v>
      </c>
      <c r="D870" s="39">
        <v>297.94099999999997</v>
      </c>
      <c r="E870" s="45">
        <v>729.47900000000004</v>
      </c>
      <c r="F870" s="39">
        <v>1150</v>
      </c>
      <c r="G870" s="39">
        <v>100</v>
      </c>
      <c r="H870" s="47">
        <v>600</v>
      </c>
      <c r="I870" s="39">
        <v>695</v>
      </c>
      <c r="J870" s="39">
        <v>50</v>
      </c>
      <c r="K870" s="40"/>
      <c r="L870" s="40"/>
      <c r="M870" s="40"/>
      <c r="N870" s="40"/>
      <c r="O870" s="40"/>
      <c r="P870" s="40"/>
      <c r="Q870" s="40"/>
      <c r="R870" s="40"/>
      <c r="S870" s="40"/>
      <c r="T870" s="40"/>
    </row>
    <row r="871" spans="1:20" ht="15.75">
      <c r="A871" s="13">
        <v>67662</v>
      </c>
      <c r="B871" s="48">
        <f t="shared" si="4"/>
        <v>31</v>
      </c>
      <c r="C871" s="39">
        <v>122.58</v>
      </c>
      <c r="D871" s="39">
        <v>297.94099999999997</v>
      </c>
      <c r="E871" s="45">
        <v>729.47900000000004</v>
      </c>
      <c r="F871" s="39">
        <v>1150</v>
      </c>
      <c r="G871" s="39">
        <v>100</v>
      </c>
      <c r="H871" s="47">
        <v>600</v>
      </c>
      <c r="I871" s="39">
        <v>695</v>
      </c>
      <c r="J871" s="39">
        <v>50</v>
      </c>
      <c r="K871" s="40"/>
      <c r="L871" s="40"/>
      <c r="M871" s="40"/>
      <c r="N871" s="40"/>
      <c r="O871" s="40"/>
      <c r="P871" s="40"/>
      <c r="Q871" s="40"/>
      <c r="R871" s="40"/>
      <c r="S871" s="40"/>
      <c r="T871" s="40"/>
    </row>
    <row r="872" spans="1:20" ht="15.75">
      <c r="A872" s="13">
        <v>67692</v>
      </c>
      <c r="B872" s="48">
        <f t="shared" si="4"/>
        <v>30</v>
      </c>
      <c r="C872" s="39">
        <v>141.29300000000001</v>
      </c>
      <c r="D872" s="39">
        <v>267.99299999999999</v>
      </c>
      <c r="E872" s="45">
        <v>829.71400000000006</v>
      </c>
      <c r="F872" s="39">
        <v>1239</v>
      </c>
      <c r="G872" s="39">
        <v>100</v>
      </c>
      <c r="H872" s="47">
        <v>600</v>
      </c>
      <c r="I872" s="39">
        <v>695</v>
      </c>
      <c r="J872" s="39">
        <v>50</v>
      </c>
      <c r="K872" s="40"/>
      <c r="L872" s="40"/>
      <c r="M872" s="40"/>
      <c r="N872" s="40"/>
      <c r="O872" s="40"/>
      <c r="P872" s="40"/>
      <c r="Q872" s="40"/>
      <c r="R872" s="40"/>
      <c r="S872" s="40"/>
      <c r="T872" s="40"/>
    </row>
    <row r="873" spans="1:20" ht="15.75">
      <c r="A873" s="13">
        <v>67723</v>
      </c>
      <c r="B873" s="48">
        <f t="shared" si="4"/>
        <v>31</v>
      </c>
      <c r="C873" s="39">
        <v>194.20500000000001</v>
      </c>
      <c r="D873" s="39">
        <v>267.46600000000001</v>
      </c>
      <c r="E873" s="45">
        <v>812.32899999999995</v>
      </c>
      <c r="F873" s="39">
        <v>1274</v>
      </c>
      <c r="G873" s="39">
        <v>75</v>
      </c>
      <c r="H873" s="47">
        <v>600</v>
      </c>
      <c r="I873" s="39">
        <v>695</v>
      </c>
      <c r="J873" s="39">
        <v>50</v>
      </c>
      <c r="K873" s="40"/>
      <c r="L873" s="40"/>
      <c r="M873" s="40"/>
      <c r="N873" s="40"/>
      <c r="O873" s="40"/>
      <c r="P873" s="40"/>
      <c r="Q873" s="40"/>
      <c r="R873" s="40"/>
      <c r="S873" s="40"/>
      <c r="T873" s="40"/>
    </row>
    <row r="874" spans="1:20" ht="15.75">
      <c r="A874" s="13">
        <v>67753</v>
      </c>
      <c r="B874" s="48">
        <f t="shared" si="4"/>
        <v>30</v>
      </c>
      <c r="C874" s="39">
        <v>194.20500000000001</v>
      </c>
      <c r="D874" s="39">
        <v>267.46600000000001</v>
      </c>
      <c r="E874" s="45">
        <v>812.32899999999995</v>
      </c>
      <c r="F874" s="39">
        <v>1274</v>
      </c>
      <c r="G874" s="39">
        <v>50</v>
      </c>
      <c r="H874" s="47">
        <v>600</v>
      </c>
      <c r="I874" s="39">
        <v>695</v>
      </c>
      <c r="J874" s="39">
        <v>50</v>
      </c>
      <c r="K874" s="40"/>
      <c r="L874" s="40"/>
      <c r="M874" s="40"/>
      <c r="N874" s="40"/>
      <c r="O874" s="40"/>
      <c r="P874" s="40"/>
      <c r="Q874" s="40"/>
      <c r="R874" s="40"/>
      <c r="S874" s="40"/>
      <c r="T874" s="40"/>
    </row>
    <row r="875" spans="1:20" ht="15.75">
      <c r="A875" s="13">
        <v>67784</v>
      </c>
      <c r="B875" s="48">
        <f t="shared" si="4"/>
        <v>31</v>
      </c>
      <c r="C875" s="39">
        <v>194.20500000000001</v>
      </c>
      <c r="D875" s="39">
        <v>267.46600000000001</v>
      </c>
      <c r="E875" s="45">
        <v>812.32899999999995</v>
      </c>
      <c r="F875" s="39">
        <v>1274</v>
      </c>
      <c r="G875" s="39">
        <v>50</v>
      </c>
      <c r="H875" s="47">
        <v>600</v>
      </c>
      <c r="I875" s="39">
        <v>695</v>
      </c>
      <c r="J875" s="39">
        <v>0</v>
      </c>
      <c r="K875" s="40"/>
      <c r="L875" s="40"/>
      <c r="M875" s="40"/>
      <c r="N875" s="40"/>
      <c r="O875" s="40"/>
      <c r="P875" s="40"/>
      <c r="Q875" s="40"/>
      <c r="R875" s="40"/>
      <c r="S875" s="40"/>
      <c r="T875" s="40"/>
    </row>
    <row r="876" spans="1:20" ht="15.75">
      <c r="A876" s="13">
        <v>67815</v>
      </c>
      <c r="B876" s="48">
        <f t="shared" si="4"/>
        <v>31</v>
      </c>
      <c r="C876" s="39">
        <v>194.20500000000001</v>
      </c>
      <c r="D876" s="39">
        <v>267.46600000000001</v>
      </c>
      <c r="E876" s="45">
        <v>812.32899999999995</v>
      </c>
      <c r="F876" s="39">
        <v>1274</v>
      </c>
      <c r="G876" s="39">
        <v>50</v>
      </c>
      <c r="H876" s="47">
        <v>600</v>
      </c>
      <c r="I876" s="39">
        <v>695</v>
      </c>
      <c r="J876" s="39">
        <v>0</v>
      </c>
      <c r="K876" s="40"/>
      <c r="L876" s="40"/>
      <c r="M876" s="40"/>
      <c r="N876" s="40"/>
      <c r="O876" s="40"/>
      <c r="P876" s="40"/>
      <c r="Q876" s="40"/>
      <c r="R876" s="40"/>
      <c r="S876" s="40"/>
      <c r="T876" s="40"/>
    </row>
    <row r="877" spans="1:20" ht="15.75">
      <c r="A877" s="13">
        <v>67845</v>
      </c>
      <c r="B877" s="48">
        <f t="shared" si="4"/>
        <v>30</v>
      </c>
      <c r="C877" s="39">
        <v>194.20500000000001</v>
      </c>
      <c r="D877" s="39">
        <v>267.46600000000001</v>
      </c>
      <c r="E877" s="45">
        <v>812.32899999999995</v>
      </c>
      <c r="F877" s="39">
        <v>1274</v>
      </c>
      <c r="G877" s="39">
        <v>50</v>
      </c>
      <c r="H877" s="47">
        <v>600</v>
      </c>
      <c r="I877" s="39">
        <v>695</v>
      </c>
      <c r="J877" s="39">
        <v>0</v>
      </c>
      <c r="K877" s="40"/>
      <c r="L877" s="40"/>
      <c r="M877" s="40"/>
      <c r="N877" s="40"/>
      <c r="O877" s="40"/>
      <c r="P877" s="40"/>
      <c r="Q877" s="40"/>
      <c r="R877" s="40"/>
      <c r="S877" s="40"/>
      <c r="T877" s="40"/>
    </row>
    <row r="878" spans="1:20" ht="15.75">
      <c r="A878" s="13">
        <v>67876</v>
      </c>
      <c r="B878" s="48">
        <f t="shared" si="4"/>
        <v>31</v>
      </c>
      <c r="C878" s="39">
        <v>131.881</v>
      </c>
      <c r="D878" s="39">
        <v>277.16699999999997</v>
      </c>
      <c r="E878" s="45">
        <v>829.952</v>
      </c>
      <c r="F878" s="39">
        <v>1239</v>
      </c>
      <c r="G878" s="39">
        <v>75</v>
      </c>
      <c r="H878" s="47">
        <v>600</v>
      </c>
      <c r="I878" s="39">
        <v>695</v>
      </c>
      <c r="J878" s="39">
        <v>0</v>
      </c>
      <c r="K878" s="40"/>
      <c r="L878" s="40"/>
      <c r="M878" s="40"/>
      <c r="N878" s="40"/>
      <c r="O878" s="40"/>
      <c r="P878" s="40"/>
      <c r="Q878" s="40"/>
      <c r="R878" s="40"/>
      <c r="S878" s="40"/>
      <c r="T878" s="40"/>
    </row>
    <row r="879" spans="1:20" ht="15.75">
      <c r="A879" s="13">
        <v>67906</v>
      </c>
      <c r="B879" s="48">
        <f t="shared" si="4"/>
        <v>30</v>
      </c>
      <c r="C879" s="39">
        <v>122.58</v>
      </c>
      <c r="D879" s="39">
        <v>297.94099999999997</v>
      </c>
      <c r="E879" s="45">
        <v>729.47900000000004</v>
      </c>
      <c r="F879" s="39">
        <v>1150</v>
      </c>
      <c r="G879" s="39">
        <v>100</v>
      </c>
      <c r="H879" s="47">
        <v>600</v>
      </c>
      <c r="I879" s="39">
        <v>695</v>
      </c>
      <c r="J879" s="39">
        <v>50</v>
      </c>
      <c r="K879" s="40"/>
      <c r="L879" s="40"/>
      <c r="M879" s="40"/>
      <c r="N879" s="40"/>
      <c r="O879" s="40"/>
      <c r="P879" s="40"/>
      <c r="Q879" s="40"/>
      <c r="R879" s="40"/>
      <c r="S879" s="40"/>
      <c r="T879" s="40"/>
    </row>
    <row r="880" spans="1:20" ht="15.75">
      <c r="A880" s="13">
        <v>67937</v>
      </c>
      <c r="B880" s="48">
        <f t="shared" si="4"/>
        <v>31</v>
      </c>
      <c r="C880" s="39">
        <v>122.58</v>
      </c>
      <c r="D880" s="39">
        <v>297.94099999999997</v>
      </c>
      <c r="E880" s="45">
        <v>729.47900000000004</v>
      </c>
      <c r="F880" s="39">
        <v>1150</v>
      </c>
      <c r="G880" s="39">
        <v>100</v>
      </c>
      <c r="H880" s="47">
        <v>600</v>
      </c>
      <c r="I880" s="39">
        <v>695</v>
      </c>
      <c r="J880" s="39">
        <v>50</v>
      </c>
      <c r="K880" s="40"/>
      <c r="L880" s="40"/>
      <c r="M880" s="40"/>
      <c r="N880" s="40"/>
      <c r="O880" s="40"/>
      <c r="P880" s="40"/>
      <c r="Q880" s="40"/>
      <c r="R880" s="40"/>
      <c r="S880" s="40"/>
      <c r="T880" s="40"/>
    </row>
    <row r="881" spans="1:20" ht="15.75">
      <c r="A881" s="13">
        <v>67968</v>
      </c>
      <c r="B881" s="48">
        <f t="shared" si="4"/>
        <v>31</v>
      </c>
      <c r="C881" s="39">
        <v>122.58</v>
      </c>
      <c r="D881" s="39">
        <v>297.94099999999997</v>
      </c>
      <c r="E881" s="45">
        <v>729.47900000000004</v>
      </c>
      <c r="F881" s="39">
        <v>1150</v>
      </c>
      <c r="G881" s="39">
        <v>100</v>
      </c>
      <c r="H881" s="47">
        <v>600</v>
      </c>
      <c r="I881" s="39">
        <v>695</v>
      </c>
      <c r="J881" s="39">
        <v>50</v>
      </c>
      <c r="K881" s="40"/>
      <c r="L881" s="40"/>
      <c r="M881" s="40"/>
      <c r="N881" s="40"/>
      <c r="O881" s="40"/>
      <c r="P881" s="40"/>
      <c r="Q881" s="40"/>
      <c r="R881" s="40"/>
      <c r="S881" s="40"/>
      <c r="T881" s="40"/>
    </row>
    <row r="882" spans="1:20" ht="15.75">
      <c r="A882" s="13">
        <v>67996</v>
      </c>
      <c r="B882" s="48">
        <f t="shared" si="4"/>
        <v>28</v>
      </c>
      <c r="C882" s="39">
        <v>122.58</v>
      </c>
      <c r="D882" s="39">
        <v>297.94099999999997</v>
      </c>
      <c r="E882" s="45">
        <v>729.47900000000004</v>
      </c>
      <c r="F882" s="39">
        <v>1150</v>
      </c>
      <c r="G882" s="39">
        <v>100</v>
      </c>
      <c r="H882" s="47">
        <v>600</v>
      </c>
      <c r="I882" s="39">
        <v>695</v>
      </c>
      <c r="J882" s="39">
        <v>50</v>
      </c>
      <c r="K882" s="40"/>
      <c r="L882" s="40"/>
      <c r="M882" s="40"/>
      <c r="N882" s="40"/>
      <c r="O882" s="40"/>
      <c r="P882" s="40"/>
      <c r="Q882" s="40"/>
      <c r="R882" s="40"/>
      <c r="S882" s="40"/>
      <c r="T882" s="40"/>
    </row>
    <row r="883" spans="1:20" ht="15.75">
      <c r="A883" s="13">
        <v>68027</v>
      </c>
      <c r="B883" s="48">
        <f t="shared" si="4"/>
        <v>31</v>
      </c>
      <c r="C883" s="39">
        <v>122.58</v>
      </c>
      <c r="D883" s="39">
        <v>297.94099999999997</v>
      </c>
      <c r="E883" s="45">
        <v>729.47900000000004</v>
      </c>
      <c r="F883" s="39">
        <v>1150</v>
      </c>
      <c r="G883" s="39">
        <v>100</v>
      </c>
      <c r="H883" s="47">
        <v>600</v>
      </c>
      <c r="I883" s="39">
        <v>695</v>
      </c>
      <c r="J883" s="39">
        <v>50</v>
      </c>
      <c r="K883" s="40"/>
      <c r="L883" s="40"/>
      <c r="M883" s="40"/>
      <c r="N883" s="40"/>
      <c r="O883" s="40"/>
      <c r="P883" s="40"/>
      <c r="Q883" s="40"/>
      <c r="R883" s="40"/>
      <c r="S883" s="40"/>
      <c r="T883" s="40"/>
    </row>
    <row r="884" spans="1:20" ht="15.75">
      <c r="A884" s="13">
        <v>68057</v>
      </c>
      <c r="B884" s="48">
        <f t="shared" si="4"/>
        <v>30</v>
      </c>
      <c r="C884" s="39">
        <v>141.29300000000001</v>
      </c>
      <c r="D884" s="39">
        <v>267.99299999999999</v>
      </c>
      <c r="E884" s="45">
        <v>829.71400000000006</v>
      </c>
      <c r="F884" s="39">
        <v>1239</v>
      </c>
      <c r="G884" s="39">
        <v>100</v>
      </c>
      <c r="H884" s="47">
        <v>600</v>
      </c>
      <c r="I884" s="39">
        <v>695</v>
      </c>
      <c r="J884" s="39">
        <v>50</v>
      </c>
      <c r="K884" s="40"/>
      <c r="L884" s="40"/>
      <c r="M884" s="40"/>
      <c r="N884" s="40"/>
      <c r="O884" s="40"/>
      <c r="P884" s="40"/>
      <c r="Q884" s="40"/>
      <c r="R884" s="40"/>
      <c r="S884" s="40"/>
      <c r="T884" s="40"/>
    </row>
    <row r="885" spans="1:20" ht="15.75">
      <c r="A885" s="13">
        <v>68088</v>
      </c>
      <c r="B885" s="48">
        <f t="shared" si="4"/>
        <v>31</v>
      </c>
      <c r="C885" s="39">
        <v>194.20500000000001</v>
      </c>
      <c r="D885" s="39">
        <v>267.46600000000001</v>
      </c>
      <c r="E885" s="45">
        <v>812.32899999999995</v>
      </c>
      <c r="F885" s="39">
        <v>1274</v>
      </c>
      <c r="G885" s="39">
        <v>75</v>
      </c>
      <c r="H885" s="47">
        <v>600</v>
      </c>
      <c r="I885" s="39">
        <v>695</v>
      </c>
      <c r="J885" s="39">
        <v>50</v>
      </c>
      <c r="K885" s="40"/>
      <c r="L885" s="40"/>
      <c r="M885" s="40"/>
      <c r="N885" s="40"/>
      <c r="O885" s="40"/>
      <c r="P885" s="40"/>
      <c r="Q885" s="40"/>
      <c r="R885" s="40"/>
      <c r="S885" s="40"/>
      <c r="T885" s="40"/>
    </row>
    <row r="886" spans="1:20" ht="15.75">
      <c r="A886" s="13">
        <v>68118</v>
      </c>
      <c r="B886" s="48">
        <f t="shared" si="4"/>
        <v>30</v>
      </c>
      <c r="C886" s="39">
        <v>194.20500000000001</v>
      </c>
      <c r="D886" s="39">
        <v>267.46600000000001</v>
      </c>
      <c r="E886" s="45">
        <v>812.32899999999995</v>
      </c>
      <c r="F886" s="39">
        <v>1274</v>
      </c>
      <c r="G886" s="39">
        <v>50</v>
      </c>
      <c r="H886" s="47">
        <v>600</v>
      </c>
      <c r="I886" s="39">
        <v>695</v>
      </c>
      <c r="J886" s="39">
        <v>50</v>
      </c>
      <c r="K886" s="40"/>
      <c r="L886" s="40"/>
      <c r="M886" s="40"/>
      <c r="N886" s="40"/>
      <c r="O886" s="40"/>
      <c r="P886" s="40"/>
      <c r="Q886" s="40"/>
      <c r="R886" s="40"/>
      <c r="S886" s="40"/>
      <c r="T886" s="40"/>
    </row>
    <row r="887" spans="1:20" ht="15.75">
      <c r="A887" s="13">
        <v>68149</v>
      </c>
      <c r="B887" s="48">
        <f t="shared" si="4"/>
        <v>31</v>
      </c>
      <c r="C887" s="39">
        <v>194.20500000000001</v>
      </c>
      <c r="D887" s="39">
        <v>267.46600000000001</v>
      </c>
      <c r="E887" s="45">
        <v>812.32899999999995</v>
      </c>
      <c r="F887" s="39">
        <v>1274</v>
      </c>
      <c r="G887" s="39">
        <v>50</v>
      </c>
      <c r="H887" s="47">
        <v>600</v>
      </c>
      <c r="I887" s="39">
        <v>695</v>
      </c>
      <c r="J887" s="39">
        <v>0</v>
      </c>
      <c r="K887" s="40"/>
      <c r="L887" s="40"/>
      <c r="M887" s="40"/>
      <c r="N887" s="40"/>
      <c r="O887" s="40"/>
      <c r="P887" s="40"/>
      <c r="Q887" s="40"/>
      <c r="R887" s="40"/>
      <c r="S887" s="40"/>
      <c r="T887" s="40"/>
    </row>
    <row r="888" spans="1:20" ht="15.75">
      <c r="A888" s="13">
        <v>68180</v>
      </c>
      <c r="B888" s="48">
        <f t="shared" si="4"/>
        <v>31</v>
      </c>
      <c r="C888" s="39">
        <v>194.20500000000001</v>
      </c>
      <c r="D888" s="39">
        <v>267.46600000000001</v>
      </c>
      <c r="E888" s="45">
        <v>812.32899999999995</v>
      </c>
      <c r="F888" s="39">
        <v>1274</v>
      </c>
      <c r="G888" s="39">
        <v>50</v>
      </c>
      <c r="H888" s="47">
        <v>600</v>
      </c>
      <c r="I888" s="39">
        <v>695</v>
      </c>
      <c r="J888" s="39">
        <v>0</v>
      </c>
      <c r="K888" s="40"/>
      <c r="L888" s="40"/>
      <c r="M888" s="40"/>
      <c r="N888" s="40"/>
      <c r="O888" s="40"/>
      <c r="P888" s="40"/>
      <c r="Q888" s="40"/>
      <c r="R888" s="40"/>
      <c r="S888" s="40"/>
      <c r="T888" s="40"/>
    </row>
    <row r="889" spans="1:20" ht="15.75">
      <c r="A889" s="13">
        <v>68210</v>
      </c>
      <c r="B889" s="48">
        <f t="shared" si="4"/>
        <v>30</v>
      </c>
      <c r="C889" s="39">
        <v>194.20500000000001</v>
      </c>
      <c r="D889" s="39">
        <v>267.46600000000001</v>
      </c>
      <c r="E889" s="45">
        <v>812.32899999999995</v>
      </c>
      <c r="F889" s="39">
        <v>1274</v>
      </c>
      <c r="G889" s="39">
        <v>50</v>
      </c>
      <c r="H889" s="47">
        <v>600</v>
      </c>
      <c r="I889" s="39">
        <v>695</v>
      </c>
      <c r="J889" s="39">
        <v>0</v>
      </c>
      <c r="K889" s="40"/>
      <c r="L889" s="40"/>
      <c r="M889" s="40"/>
      <c r="N889" s="40"/>
      <c r="O889" s="40"/>
      <c r="P889" s="40"/>
      <c r="Q889" s="40"/>
      <c r="R889" s="40"/>
      <c r="S889" s="40"/>
      <c r="T889" s="40"/>
    </row>
    <row r="890" spans="1:20" ht="15.75">
      <c r="A890" s="13">
        <v>68241</v>
      </c>
      <c r="B890" s="48">
        <f t="shared" si="4"/>
        <v>31</v>
      </c>
      <c r="C890" s="39">
        <v>131.881</v>
      </c>
      <c r="D890" s="39">
        <v>277.16699999999997</v>
      </c>
      <c r="E890" s="45">
        <v>829.952</v>
      </c>
      <c r="F890" s="39">
        <v>1239</v>
      </c>
      <c r="G890" s="39">
        <v>75</v>
      </c>
      <c r="H890" s="47">
        <v>600</v>
      </c>
      <c r="I890" s="39">
        <v>695</v>
      </c>
      <c r="J890" s="39">
        <v>0</v>
      </c>
      <c r="K890" s="40"/>
      <c r="L890" s="40"/>
      <c r="M890" s="40"/>
      <c r="N890" s="40"/>
      <c r="O890" s="40"/>
      <c r="P890" s="40"/>
      <c r="Q890" s="40"/>
      <c r="R890" s="40"/>
      <c r="S890" s="40"/>
      <c r="T890" s="40"/>
    </row>
    <row r="891" spans="1:20" ht="15.75">
      <c r="A891" s="13">
        <v>68271</v>
      </c>
      <c r="B891" s="48">
        <f t="shared" si="4"/>
        <v>30</v>
      </c>
      <c r="C891" s="39">
        <v>122.58</v>
      </c>
      <c r="D891" s="39">
        <v>297.94099999999997</v>
      </c>
      <c r="E891" s="45">
        <v>729.47900000000004</v>
      </c>
      <c r="F891" s="39">
        <v>1150</v>
      </c>
      <c r="G891" s="39">
        <v>100</v>
      </c>
      <c r="H891" s="47">
        <v>600</v>
      </c>
      <c r="I891" s="39">
        <v>695</v>
      </c>
      <c r="J891" s="39">
        <v>50</v>
      </c>
      <c r="K891" s="40"/>
      <c r="L891" s="40"/>
      <c r="M891" s="40"/>
      <c r="N891" s="40"/>
      <c r="O891" s="40"/>
      <c r="P891" s="40"/>
      <c r="Q891" s="40"/>
      <c r="R891" s="40"/>
      <c r="S891" s="40"/>
      <c r="T891" s="40"/>
    </row>
    <row r="892" spans="1:20" ht="15.75">
      <c r="A892" s="13">
        <v>68302</v>
      </c>
      <c r="B892" s="48">
        <f t="shared" si="4"/>
        <v>31</v>
      </c>
      <c r="C892" s="39">
        <v>122.58</v>
      </c>
      <c r="D892" s="39">
        <v>297.94099999999997</v>
      </c>
      <c r="E892" s="45">
        <v>729.47900000000004</v>
      </c>
      <c r="F892" s="39">
        <v>1150</v>
      </c>
      <c r="G892" s="39">
        <v>100</v>
      </c>
      <c r="H892" s="47">
        <v>600</v>
      </c>
      <c r="I892" s="39">
        <v>695</v>
      </c>
      <c r="J892" s="39">
        <v>50</v>
      </c>
      <c r="K892" s="40"/>
      <c r="L892" s="40"/>
      <c r="M892" s="40"/>
      <c r="N892" s="40"/>
      <c r="O892" s="40"/>
      <c r="P892" s="40"/>
      <c r="Q892" s="40"/>
      <c r="R892" s="40"/>
      <c r="S892" s="40"/>
      <c r="T892" s="40"/>
    </row>
    <row r="893" spans="1:20" ht="15.75">
      <c r="A893" s="13">
        <v>68333</v>
      </c>
      <c r="B893" s="48">
        <f t="shared" si="4"/>
        <v>31</v>
      </c>
      <c r="C893" s="39">
        <v>122.58</v>
      </c>
      <c r="D893" s="39">
        <v>297.94099999999997</v>
      </c>
      <c r="E893" s="45">
        <v>729.47900000000004</v>
      </c>
      <c r="F893" s="39">
        <v>1150</v>
      </c>
      <c r="G893" s="39">
        <v>100</v>
      </c>
      <c r="H893" s="47">
        <v>600</v>
      </c>
      <c r="I893" s="39">
        <v>695</v>
      </c>
      <c r="J893" s="39">
        <v>50</v>
      </c>
      <c r="K893" s="40"/>
      <c r="L893" s="40"/>
      <c r="M893" s="40"/>
      <c r="N893" s="40"/>
      <c r="O893" s="40"/>
      <c r="P893" s="40"/>
      <c r="Q893" s="40"/>
      <c r="R893" s="40"/>
      <c r="S893" s="40"/>
      <c r="T893" s="40"/>
    </row>
    <row r="894" spans="1:20" ht="15.75">
      <c r="A894" s="13">
        <v>68361</v>
      </c>
      <c r="B894" s="48">
        <f t="shared" si="4"/>
        <v>28</v>
      </c>
      <c r="C894" s="39">
        <v>122.58</v>
      </c>
      <c r="D894" s="39">
        <v>297.94099999999997</v>
      </c>
      <c r="E894" s="45">
        <v>729.47900000000004</v>
      </c>
      <c r="F894" s="39">
        <v>1150</v>
      </c>
      <c r="G894" s="39">
        <v>100</v>
      </c>
      <c r="H894" s="47">
        <v>600</v>
      </c>
      <c r="I894" s="39">
        <v>695</v>
      </c>
      <c r="J894" s="39">
        <v>50</v>
      </c>
      <c r="K894" s="40"/>
      <c r="L894" s="40"/>
      <c r="M894" s="40"/>
      <c r="N894" s="40"/>
      <c r="O894" s="40"/>
      <c r="P894" s="40"/>
      <c r="Q894" s="40"/>
      <c r="R894" s="40"/>
      <c r="S894" s="40"/>
      <c r="T894" s="40"/>
    </row>
    <row r="895" spans="1:20" ht="15.75">
      <c r="A895" s="13">
        <v>68392</v>
      </c>
      <c r="B895" s="48">
        <f t="shared" si="4"/>
        <v>31</v>
      </c>
      <c r="C895" s="39">
        <v>122.58</v>
      </c>
      <c r="D895" s="39">
        <v>297.94099999999997</v>
      </c>
      <c r="E895" s="45">
        <v>729.47900000000004</v>
      </c>
      <c r="F895" s="39">
        <v>1150</v>
      </c>
      <c r="G895" s="39">
        <v>100</v>
      </c>
      <c r="H895" s="47">
        <v>600</v>
      </c>
      <c r="I895" s="39">
        <v>695</v>
      </c>
      <c r="J895" s="39">
        <v>50</v>
      </c>
      <c r="K895" s="40"/>
      <c r="L895" s="40"/>
      <c r="M895" s="40"/>
      <c r="N895" s="40"/>
      <c r="O895" s="40"/>
      <c r="P895" s="40"/>
      <c r="Q895" s="40"/>
      <c r="R895" s="40"/>
      <c r="S895" s="40"/>
      <c r="T895" s="40"/>
    </row>
    <row r="896" spans="1:20" ht="15.75">
      <c r="A896" s="13">
        <v>68422</v>
      </c>
      <c r="B896" s="48">
        <f t="shared" si="4"/>
        <v>30</v>
      </c>
      <c r="C896" s="39">
        <v>141.29300000000001</v>
      </c>
      <c r="D896" s="39">
        <v>267.99299999999999</v>
      </c>
      <c r="E896" s="45">
        <v>829.71400000000006</v>
      </c>
      <c r="F896" s="39">
        <v>1239</v>
      </c>
      <c r="G896" s="39">
        <v>100</v>
      </c>
      <c r="H896" s="47">
        <v>600</v>
      </c>
      <c r="I896" s="39">
        <v>695</v>
      </c>
      <c r="J896" s="39">
        <v>50</v>
      </c>
      <c r="K896" s="40"/>
      <c r="L896" s="40"/>
      <c r="M896" s="40"/>
      <c r="N896" s="40"/>
      <c r="O896" s="40"/>
      <c r="P896" s="40"/>
      <c r="Q896" s="40"/>
      <c r="R896" s="40"/>
      <c r="S896" s="40"/>
      <c r="T896" s="40"/>
    </row>
    <row r="897" spans="1:20" ht="15.75">
      <c r="A897" s="13">
        <v>68453</v>
      </c>
      <c r="B897" s="48">
        <f t="shared" si="4"/>
        <v>31</v>
      </c>
      <c r="C897" s="39">
        <v>194.20500000000001</v>
      </c>
      <c r="D897" s="39">
        <v>267.46600000000001</v>
      </c>
      <c r="E897" s="45">
        <v>812.32899999999995</v>
      </c>
      <c r="F897" s="39">
        <v>1274</v>
      </c>
      <c r="G897" s="39">
        <v>75</v>
      </c>
      <c r="H897" s="47">
        <v>600</v>
      </c>
      <c r="I897" s="39">
        <v>695</v>
      </c>
      <c r="J897" s="39">
        <v>50</v>
      </c>
      <c r="K897" s="40"/>
      <c r="L897" s="40"/>
      <c r="M897" s="40"/>
      <c r="N897" s="40"/>
      <c r="O897" s="40"/>
      <c r="P897" s="40"/>
      <c r="Q897" s="40"/>
      <c r="R897" s="40"/>
      <c r="S897" s="40"/>
      <c r="T897" s="40"/>
    </row>
    <row r="898" spans="1:20" ht="15.75">
      <c r="A898" s="13">
        <v>68483</v>
      </c>
      <c r="B898" s="48">
        <f t="shared" si="4"/>
        <v>30</v>
      </c>
      <c r="C898" s="39">
        <v>194.20500000000001</v>
      </c>
      <c r="D898" s="39">
        <v>267.46600000000001</v>
      </c>
      <c r="E898" s="45">
        <v>812.32899999999995</v>
      </c>
      <c r="F898" s="39">
        <v>1274</v>
      </c>
      <c r="G898" s="39">
        <v>50</v>
      </c>
      <c r="H898" s="47">
        <v>600</v>
      </c>
      <c r="I898" s="39">
        <v>695</v>
      </c>
      <c r="J898" s="39">
        <v>50</v>
      </c>
      <c r="K898" s="40"/>
      <c r="L898" s="40"/>
      <c r="M898" s="40"/>
      <c r="N898" s="40"/>
      <c r="O898" s="40"/>
      <c r="P898" s="40"/>
      <c r="Q898" s="40"/>
      <c r="R898" s="40"/>
      <c r="S898" s="40"/>
      <c r="T898" s="40"/>
    </row>
    <row r="899" spans="1:20" ht="15.75">
      <c r="A899" s="13">
        <v>68514</v>
      </c>
      <c r="B899" s="48">
        <f t="shared" si="4"/>
        <v>31</v>
      </c>
      <c r="C899" s="39">
        <v>194.20500000000001</v>
      </c>
      <c r="D899" s="39">
        <v>267.46600000000001</v>
      </c>
      <c r="E899" s="45">
        <v>812.32899999999995</v>
      </c>
      <c r="F899" s="39">
        <v>1274</v>
      </c>
      <c r="G899" s="39">
        <v>50</v>
      </c>
      <c r="H899" s="47">
        <v>600</v>
      </c>
      <c r="I899" s="39">
        <v>695</v>
      </c>
      <c r="J899" s="39">
        <v>0</v>
      </c>
      <c r="K899" s="40"/>
      <c r="L899" s="40"/>
      <c r="M899" s="40"/>
      <c r="N899" s="40"/>
      <c r="O899" s="40"/>
      <c r="P899" s="40"/>
      <c r="Q899" s="40"/>
      <c r="R899" s="40"/>
      <c r="S899" s="40"/>
      <c r="T899" s="40"/>
    </row>
    <row r="900" spans="1:20" ht="15.75">
      <c r="A900" s="13">
        <v>68545</v>
      </c>
      <c r="B900" s="48">
        <f t="shared" si="4"/>
        <v>31</v>
      </c>
      <c r="C900" s="39">
        <v>194.20500000000001</v>
      </c>
      <c r="D900" s="39">
        <v>267.46600000000001</v>
      </c>
      <c r="E900" s="45">
        <v>812.32899999999995</v>
      </c>
      <c r="F900" s="39">
        <v>1274</v>
      </c>
      <c r="G900" s="39">
        <v>50</v>
      </c>
      <c r="H900" s="47">
        <v>600</v>
      </c>
      <c r="I900" s="39">
        <v>695</v>
      </c>
      <c r="J900" s="39">
        <v>0</v>
      </c>
      <c r="K900" s="40"/>
      <c r="L900" s="40"/>
      <c r="M900" s="40"/>
      <c r="N900" s="40"/>
      <c r="O900" s="40"/>
      <c r="P900" s="40"/>
      <c r="Q900" s="40"/>
      <c r="R900" s="40"/>
      <c r="S900" s="40"/>
      <c r="T900" s="40"/>
    </row>
    <row r="901" spans="1:20" ht="15.75">
      <c r="A901" s="13">
        <v>68575</v>
      </c>
      <c r="B901" s="48">
        <f t="shared" si="4"/>
        <v>30</v>
      </c>
      <c r="C901" s="39">
        <v>194.20500000000001</v>
      </c>
      <c r="D901" s="39">
        <v>267.46600000000001</v>
      </c>
      <c r="E901" s="45">
        <v>812.32899999999995</v>
      </c>
      <c r="F901" s="39">
        <v>1274</v>
      </c>
      <c r="G901" s="39">
        <v>50</v>
      </c>
      <c r="H901" s="47">
        <v>600</v>
      </c>
      <c r="I901" s="39">
        <v>695</v>
      </c>
      <c r="J901" s="39">
        <v>0</v>
      </c>
      <c r="K901" s="40"/>
      <c r="L901" s="40"/>
      <c r="M901" s="40"/>
      <c r="N901" s="40"/>
      <c r="O901" s="40"/>
      <c r="P901" s="40"/>
      <c r="Q901" s="40"/>
      <c r="R901" s="40"/>
      <c r="S901" s="40"/>
      <c r="T901" s="40"/>
    </row>
    <row r="902" spans="1:20" ht="15.75">
      <c r="A902" s="13">
        <v>68606</v>
      </c>
      <c r="B902" s="48">
        <f t="shared" si="4"/>
        <v>31</v>
      </c>
      <c r="C902" s="39">
        <v>131.881</v>
      </c>
      <c r="D902" s="39">
        <v>277.16699999999997</v>
      </c>
      <c r="E902" s="45">
        <v>829.952</v>
      </c>
      <c r="F902" s="39">
        <v>1239</v>
      </c>
      <c r="G902" s="39">
        <v>75</v>
      </c>
      <c r="H902" s="47">
        <v>600</v>
      </c>
      <c r="I902" s="39">
        <v>695</v>
      </c>
      <c r="J902" s="39">
        <v>0</v>
      </c>
      <c r="K902" s="40"/>
      <c r="L902" s="40"/>
      <c r="M902" s="40"/>
      <c r="N902" s="40"/>
      <c r="O902" s="40"/>
      <c r="P902" s="40"/>
      <c r="Q902" s="40"/>
      <c r="R902" s="40"/>
      <c r="S902" s="40"/>
      <c r="T902" s="40"/>
    </row>
    <row r="903" spans="1:20" ht="15.75">
      <c r="A903" s="13">
        <v>68636</v>
      </c>
      <c r="B903" s="48">
        <f t="shared" si="4"/>
        <v>30</v>
      </c>
      <c r="C903" s="39">
        <v>122.58</v>
      </c>
      <c r="D903" s="39">
        <v>297.94099999999997</v>
      </c>
      <c r="E903" s="45">
        <v>729.47900000000004</v>
      </c>
      <c r="F903" s="39">
        <v>1150</v>
      </c>
      <c r="G903" s="39">
        <v>100</v>
      </c>
      <c r="H903" s="47">
        <v>600</v>
      </c>
      <c r="I903" s="39">
        <v>695</v>
      </c>
      <c r="J903" s="39">
        <v>50</v>
      </c>
      <c r="K903" s="40"/>
      <c r="L903" s="40"/>
      <c r="M903" s="40"/>
      <c r="N903" s="40"/>
      <c r="O903" s="40"/>
      <c r="P903" s="40"/>
      <c r="Q903" s="40"/>
      <c r="R903" s="40"/>
      <c r="S903" s="40"/>
      <c r="T903" s="40"/>
    </row>
    <row r="904" spans="1:20" ht="15.75">
      <c r="A904" s="13">
        <v>68667</v>
      </c>
      <c r="B904" s="48">
        <f t="shared" si="4"/>
        <v>31</v>
      </c>
      <c r="C904" s="39">
        <v>122.58</v>
      </c>
      <c r="D904" s="39">
        <v>297.94099999999997</v>
      </c>
      <c r="E904" s="45">
        <v>729.47900000000004</v>
      </c>
      <c r="F904" s="39">
        <v>1150</v>
      </c>
      <c r="G904" s="39">
        <v>100</v>
      </c>
      <c r="H904" s="47">
        <v>600</v>
      </c>
      <c r="I904" s="39">
        <v>695</v>
      </c>
      <c r="J904" s="39">
        <v>50</v>
      </c>
      <c r="K904" s="40"/>
      <c r="L904" s="40"/>
      <c r="M904" s="40"/>
      <c r="N904" s="40"/>
      <c r="O904" s="40"/>
      <c r="P904" s="40"/>
      <c r="Q904" s="40"/>
      <c r="R904" s="40"/>
      <c r="S904" s="40"/>
      <c r="T904" s="40"/>
    </row>
    <row r="905" spans="1:20" ht="15.75">
      <c r="A905" s="13">
        <v>68698</v>
      </c>
      <c r="B905" s="48">
        <f t="shared" si="4"/>
        <v>31</v>
      </c>
      <c r="C905" s="39">
        <v>122.58</v>
      </c>
      <c r="D905" s="39">
        <v>297.94099999999997</v>
      </c>
      <c r="E905" s="45">
        <v>729.47900000000004</v>
      </c>
      <c r="F905" s="39">
        <v>1150</v>
      </c>
      <c r="G905" s="39">
        <v>100</v>
      </c>
      <c r="H905" s="47">
        <v>600</v>
      </c>
      <c r="I905" s="39">
        <v>695</v>
      </c>
      <c r="J905" s="39">
        <v>50</v>
      </c>
      <c r="K905" s="40"/>
      <c r="L905" s="40"/>
      <c r="M905" s="40"/>
      <c r="N905" s="40"/>
      <c r="O905" s="40"/>
      <c r="P905" s="40"/>
      <c r="Q905" s="40"/>
      <c r="R905" s="40"/>
      <c r="S905" s="40"/>
      <c r="T905" s="40"/>
    </row>
    <row r="906" spans="1:20" ht="15.75">
      <c r="A906" s="13">
        <v>68727</v>
      </c>
      <c r="B906" s="48">
        <f t="shared" si="4"/>
        <v>29</v>
      </c>
      <c r="C906" s="39">
        <v>122.58</v>
      </c>
      <c r="D906" s="39">
        <v>297.94099999999997</v>
      </c>
      <c r="E906" s="45">
        <v>729.47900000000004</v>
      </c>
      <c r="F906" s="39">
        <v>1150</v>
      </c>
      <c r="G906" s="39">
        <v>100</v>
      </c>
      <c r="H906" s="47">
        <v>600</v>
      </c>
      <c r="I906" s="39">
        <v>695</v>
      </c>
      <c r="J906" s="39">
        <v>50</v>
      </c>
      <c r="K906" s="40"/>
      <c r="L906" s="40"/>
      <c r="M906" s="40"/>
      <c r="N906" s="40"/>
      <c r="O906" s="40"/>
      <c r="P906" s="40"/>
      <c r="Q906" s="40"/>
      <c r="R906" s="40"/>
      <c r="S906" s="40"/>
      <c r="T906" s="40"/>
    </row>
    <row r="907" spans="1:20" ht="15.75">
      <c r="A907" s="13">
        <v>68758</v>
      </c>
      <c r="B907" s="48">
        <f t="shared" si="4"/>
        <v>31</v>
      </c>
      <c r="C907" s="39">
        <v>122.58</v>
      </c>
      <c r="D907" s="39">
        <v>297.94099999999997</v>
      </c>
      <c r="E907" s="45">
        <v>729.47900000000004</v>
      </c>
      <c r="F907" s="39">
        <v>1150</v>
      </c>
      <c r="G907" s="39">
        <v>100</v>
      </c>
      <c r="H907" s="47">
        <v>600</v>
      </c>
      <c r="I907" s="39">
        <v>695</v>
      </c>
      <c r="J907" s="39">
        <v>50</v>
      </c>
      <c r="K907" s="40"/>
      <c r="L907" s="40"/>
      <c r="M907" s="40"/>
      <c r="N907" s="40"/>
      <c r="O907" s="40"/>
      <c r="P907" s="40"/>
      <c r="Q907" s="40"/>
      <c r="R907" s="40"/>
      <c r="S907" s="40"/>
      <c r="T907" s="40"/>
    </row>
    <row r="908" spans="1:20" ht="15.75">
      <c r="A908" s="13">
        <v>68788</v>
      </c>
      <c r="B908" s="48">
        <f t="shared" si="4"/>
        <v>30</v>
      </c>
      <c r="C908" s="39">
        <v>141.29300000000001</v>
      </c>
      <c r="D908" s="39">
        <v>267.99299999999999</v>
      </c>
      <c r="E908" s="45">
        <v>829.71400000000006</v>
      </c>
      <c r="F908" s="39">
        <v>1239</v>
      </c>
      <c r="G908" s="39">
        <v>100</v>
      </c>
      <c r="H908" s="47">
        <v>600</v>
      </c>
      <c r="I908" s="39">
        <v>695</v>
      </c>
      <c r="J908" s="39">
        <v>50</v>
      </c>
      <c r="K908" s="40"/>
      <c r="L908" s="40"/>
      <c r="M908" s="40"/>
      <c r="N908" s="40"/>
      <c r="O908" s="40"/>
      <c r="P908" s="40"/>
      <c r="Q908" s="40"/>
      <c r="R908" s="40"/>
      <c r="S908" s="40"/>
      <c r="T908" s="40"/>
    </row>
    <row r="909" spans="1:20" ht="15.75">
      <c r="A909" s="13">
        <v>68819</v>
      </c>
      <c r="B909" s="48">
        <f t="shared" si="4"/>
        <v>31</v>
      </c>
      <c r="C909" s="39">
        <v>194.20500000000001</v>
      </c>
      <c r="D909" s="39">
        <v>267.46600000000001</v>
      </c>
      <c r="E909" s="45">
        <v>812.32899999999995</v>
      </c>
      <c r="F909" s="39">
        <v>1274</v>
      </c>
      <c r="G909" s="39">
        <v>75</v>
      </c>
      <c r="H909" s="47">
        <v>600</v>
      </c>
      <c r="I909" s="39">
        <v>695</v>
      </c>
      <c r="J909" s="39">
        <v>50</v>
      </c>
      <c r="K909" s="40"/>
      <c r="L909" s="40"/>
      <c r="M909" s="40"/>
      <c r="N909" s="40"/>
      <c r="O909" s="40"/>
      <c r="P909" s="40"/>
      <c r="Q909" s="40"/>
      <c r="R909" s="40"/>
      <c r="S909" s="40"/>
      <c r="T909" s="40"/>
    </row>
    <row r="910" spans="1:20" ht="15.75">
      <c r="A910" s="13">
        <v>68849</v>
      </c>
      <c r="B910" s="48">
        <f t="shared" si="4"/>
        <v>30</v>
      </c>
      <c r="C910" s="39">
        <v>194.20500000000001</v>
      </c>
      <c r="D910" s="39">
        <v>267.46600000000001</v>
      </c>
      <c r="E910" s="45">
        <v>812.32899999999995</v>
      </c>
      <c r="F910" s="39">
        <v>1274</v>
      </c>
      <c r="G910" s="39">
        <v>50</v>
      </c>
      <c r="H910" s="47">
        <v>600</v>
      </c>
      <c r="I910" s="39">
        <v>695</v>
      </c>
      <c r="J910" s="39">
        <v>50</v>
      </c>
      <c r="K910" s="40"/>
      <c r="L910" s="40"/>
      <c r="M910" s="40"/>
      <c r="N910" s="40"/>
      <c r="O910" s="40"/>
      <c r="P910" s="40"/>
      <c r="Q910" s="40"/>
      <c r="R910" s="40"/>
      <c r="S910" s="40"/>
      <c r="T910" s="40"/>
    </row>
    <row r="911" spans="1:20" ht="15.75">
      <c r="A911" s="13">
        <v>68880</v>
      </c>
      <c r="B911" s="48">
        <f t="shared" si="4"/>
        <v>31</v>
      </c>
      <c r="C911" s="39">
        <v>194.20500000000001</v>
      </c>
      <c r="D911" s="39">
        <v>267.46600000000001</v>
      </c>
      <c r="E911" s="45">
        <v>812.32899999999995</v>
      </c>
      <c r="F911" s="39">
        <v>1274</v>
      </c>
      <c r="G911" s="39">
        <v>50</v>
      </c>
      <c r="H911" s="47">
        <v>600</v>
      </c>
      <c r="I911" s="39">
        <v>695</v>
      </c>
      <c r="J911" s="39">
        <v>0</v>
      </c>
      <c r="K911" s="40"/>
      <c r="L911" s="40"/>
      <c r="M911" s="40"/>
      <c r="N911" s="40"/>
      <c r="O911" s="40"/>
      <c r="P911" s="40"/>
      <c r="Q911" s="40"/>
      <c r="R911" s="40"/>
      <c r="S911" s="40"/>
      <c r="T911" s="40"/>
    </row>
    <row r="912" spans="1:20" ht="15.75">
      <c r="A912" s="13">
        <v>68911</v>
      </c>
      <c r="B912" s="48">
        <f t="shared" si="4"/>
        <v>31</v>
      </c>
      <c r="C912" s="39">
        <v>194.20500000000001</v>
      </c>
      <c r="D912" s="39">
        <v>267.46600000000001</v>
      </c>
      <c r="E912" s="45">
        <v>812.32899999999995</v>
      </c>
      <c r="F912" s="39">
        <v>1274</v>
      </c>
      <c r="G912" s="39">
        <v>50</v>
      </c>
      <c r="H912" s="47">
        <v>600</v>
      </c>
      <c r="I912" s="39">
        <v>695</v>
      </c>
      <c r="J912" s="39">
        <v>0</v>
      </c>
      <c r="K912" s="40"/>
      <c r="L912" s="40"/>
      <c r="M912" s="40"/>
      <c r="N912" s="40"/>
      <c r="O912" s="40"/>
      <c r="P912" s="40"/>
      <c r="Q912" s="40"/>
      <c r="R912" s="40"/>
      <c r="S912" s="40"/>
      <c r="T912" s="40"/>
    </row>
    <row r="913" spans="1:20" ht="15.75">
      <c r="A913" s="13">
        <v>68941</v>
      </c>
      <c r="B913" s="48">
        <f t="shared" ref="B913:B976" si="5">EOMONTH(A913,0)-EOMONTH(A913,-1)</f>
        <v>30</v>
      </c>
      <c r="C913" s="39">
        <v>194.20500000000001</v>
      </c>
      <c r="D913" s="39">
        <v>267.46600000000001</v>
      </c>
      <c r="E913" s="45">
        <v>812.32899999999995</v>
      </c>
      <c r="F913" s="39">
        <v>1274</v>
      </c>
      <c r="G913" s="39">
        <v>50</v>
      </c>
      <c r="H913" s="47">
        <v>600</v>
      </c>
      <c r="I913" s="39">
        <v>695</v>
      </c>
      <c r="J913" s="39">
        <v>0</v>
      </c>
      <c r="K913" s="40"/>
      <c r="L913" s="40"/>
      <c r="M913" s="40"/>
      <c r="N913" s="40"/>
      <c r="O913" s="40"/>
      <c r="P913" s="40"/>
      <c r="Q913" s="40"/>
      <c r="R913" s="40"/>
      <c r="S913" s="40"/>
      <c r="T913" s="40"/>
    </row>
    <row r="914" spans="1:20" ht="15.75">
      <c r="A914" s="13">
        <v>68972</v>
      </c>
      <c r="B914" s="48">
        <f t="shared" si="5"/>
        <v>31</v>
      </c>
      <c r="C914" s="39">
        <v>131.881</v>
      </c>
      <c r="D914" s="39">
        <v>277.16699999999997</v>
      </c>
      <c r="E914" s="45">
        <v>829.952</v>
      </c>
      <c r="F914" s="39">
        <v>1239</v>
      </c>
      <c r="G914" s="39">
        <v>75</v>
      </c>
      <c r="H914" s="47">
        <v>600</v>
      </c>
      <c r="I914" s="39">
        <v>695</v>
      </c>
      <c r="J914" s="39">
        <v>0</v>
      </c>
      <c r="K914" s="40"/>
      <c r="L914" s="40"/>
      <c r="M914" s="40"/>
      <c r="N914" s="40"/>
      <c r="O914" s="40"/>
      <c r="P914" s="40"/>
      <c r="Q914" s="40"/>
      <c r="R914" s="40"/>
      <c r="S914" s="40"/>
      <c r="T914" s="40"/>
    </row>
    <row r="915" spans="1:20" ht="15.75">
      <c r="A915" s="13">
        <v>69002</v>
      </c>
      <c r="B915" s="48">
        <f t="shared" si="5"/>
        <v>30</v>
      </c>
      <c r="C915" s="39">
        <v>122.58</v>
      </c>
      <c r="D915" s="39">
        <v>297.94099999999997</v>
      </c>
      <c r="E915" s="45">
        <v>729.47900000000004</v>
      </c>
      <c r="F915" s="39">
        <v>1150</v>
      </c>
      <c r="G915" s="39">
        <v>100</v>
      </c>
      <c r="H915" s="47">
        <v>600</v>
      </c>
      <c r="I915" s="39">
        <v>695</v>
      </c>
      <c r="J915" s="39">
        <v>50</v>
      </c>
      <c r="K915" s="40"/>
      <c r="L915" s="40"/>
      <c r="M915" s="40"/>
      <c r="N915" s="40"/>
      <c r="O915" s="40"/>
      <c r="P915" s="40"/>
      <c r="Q915" s="40"/>
      <c r="R915" s="40"/>
      <c r="S915" s="40"/>
      <c r="T915" s="40"/>
    </row>
    <row r="916" spans="1:20" ht="15.75">
      <c r="A916" s="13">
        <v>69033</v>
      </c>
      <c r="B916" s="48">
        <f t="shared" si="5"/>
        <v>31</v>
      </c>
      <c r="C916" s="39">
        <v>122.58</v>
      </c>
      <c r="D916" s="39">
        <v>297.94099999999997</v>
      </c>
      <c r="E916" s="45">
        <v>729.47900000000004</v>
      </c>
      <c r="F916" s="39">
        <v>1150</v>
      </c>
      <c r="G916" s="39">
        <v>100</v>
      </c>
      <c r="H916" s="47">
        <v>600</v>
      </c>
      <c r="I916" s="39">
        <v>695</v>
      </c>
      <c r="J916" s="39">
        <v>50</v>
      </c>
      <c r="K916" s="40"/>
      <c r="L916" s="40"/>
      <c r="M916" s="40"/>
      <c r="N916" s="40"/>
      <c r="O916" s="40"/>
      <c r="P916" s="40"/>
      <c r="Q916" s="40"/>
      <c r="R916" s="40"/>
      <c r="S916" s="40"/>
      <c r="T916" s="40"/>
    </row>
    <row r="917" spans="1:20" ht="15.75">
      <c r="A917" s="13">
        <v>69064</v>
      </c>
      <c r="B917" s="48">
        <f t="shared" si="5"/>
        <v>31</v>
      </c>
      <c r="C917" s="39">
        <v>122.58</v>
      </c>
      <c r="D917" s="39">
        <v>297.94099999999997</v>
      </c>
      <c r="E917" s="45">
        <v>729.47900000000004</v>
      </c>
      <c r="F917" s="39">
        <v>1150</v>
      </c>
      <c r="G917" s="39">
        <v>100</v>
      </c>
      <c r="H917" s="47">
        <v>600</v>
      </c>
      <c r="I917" s="39">
        <v>695</v>
      </c>
      <c r="J917" s="39">
        <v>50</v>
      </c>
      <c r="K917" s="40"/>
      <c r="L917" s="40"/>
      <c r="M917" s="40"/>
      <c r="N917" s="40"/>
      <c r="O917" s="40"/>
      <c r="P917" s="40"/>
      <c r="Q917" s="40"/>
      <c r="R917" s="40"/>
      <c r="S917" s="40"/>
      <c r="T917" s="40"/>
    </row>
    <row r="918" spans="1:20" ht="15.75">
      <c r="A918" s="13">
        <v>69092</v>
      </c>
      <c r="B918" s="48">
        <f t="shared" si="5"/>
        <v>28</v>
      </c>
      <c r="C918" s="39">
        <v>122.58</v>
      </c>
      <c r="D918" s="39">
        <v>297.94099999999997</v>
      </c>
      <c r="E918" s="45">
        <v>729.47900000000004</v>
      </c>
      <c r="F918" s="39">
        <v>1150</v>
      </c>
      <c r="G918" s="39">
        <v>100</v>
      </c>
      <c r="H918" s="47">
        <v>600</v>
      </c>
      <c r="I918" s="39">
        <v>695</v>
      </c>
      <c r="J918" s="39">
        <v>50</v>
      </c>
      <c r="K918" s="40"/>
      <c r="L918" s="40"/>
      <c r="M918" s="40"/>
      <c r="N918" s="40"/>
      <c r="O918" s="40"/>
      <c r="P918" s="40"/>
      <c r="Q918" s="40"/>
      <c r="R918" s="40"/>
      <c r="S918" s="40"/>
      <c r="T918" s="40"/>
    </row>
    <row r="919" spans="1:20" ht="15.75">
      <c r="A919" s="13">
        <v>69123</v>
      </c>
      <c r="B919" s="48">
        <f t="shared" si="5"/>
        <v>31</v>
      </c>
      <c r="C919" s="39">
        <v>122.58</v>
      </c>
      <c r="D919" s="39">
        <v>297.94099999999997</v>
      </c>
      <c r="E919" s="45">
        <v>729.47900000000004</v>
      </c>
      <c r="F919" s="39">
        <v>1150</v>
      </c>
      <c r="G919" s="39">
        <v>100</v>
      </c>
      <c r="H919" s="47">
        <v>600</v>
      </c>
      <c r="I919" s="39">
        <v>695</v>
      </c>
      <c r="J919" s="39">
        <v>50</v>
      </c>
      <c r="K919" s="40"/>
      <c r="L919" s="40"/>
      <c r="M919" s="40"/>
      <c r="N919" s="40"/>
      <c r="O919" s="40"/>
      <c r="P919" s="40"/>
      <c r="Q919" s="40"/>
      <c r="R919" s="40"/>
      <c r="S919" s="40"/>
      <c r="T919" s="40"/>
    </row>
    <row r="920" spans="1:20" ht="15.75">
      <c r="A920" s="13">
        <v>69153</v>
      </c>
      <c r="B920" s="48">
        <f t="shared" si="5"/>
        <v>30</v>
      </c>
      <c r="C920" s="39">
        <v>141.29300000000001</v>
      </c>
      <c r="D920" s="39">
        <v>267.99299999999999</v>
      </c>
      <c r="E920" s="45">
        <v>829.71400000000006</v>
      </c>
      <c r="F920" s="39">
        <v>1239</v>
      </c>
      <c r="G920" s="39">
        <v>100</v>
      </c>
      <c r="H920" s="47">
        <v>600</v>
      </c>
      <c r="I920" s="39">
        <v>695</v>
      </c>
      <c r="J920" s="39">
        <v>50</v>
      </c>
      <c r="K920" s="40"/>
      <c r="L920" s="40"/>
      <c r="M920" s="40"/>
      <c r="N920" s="40"/>
      <c r="O920" s="40"/>
      <c r="P920" s="40"/>
      <c r="Q920" s="40"/>
      <c r="R920" s="40"/>
      <c r="S920" s="40"/>
      <c r="T920" s="40"/>
    </row>
    <row r="921" spans="1:20" ht="15.75">
      <c r="A921" s="13">
        <v>69184</v>
      </c>
      <c r="B921" s="48">
        <f t="shared" si="5"/>
        <v>31</v>
      </c>
      <c r="C921" s="39">
        <v>194.20500000000001</v>
      </c>
      <c r="D921" s="39">
        <v>267.46600000000001</v>
      </c>
      <c r="E921" s="45">
        <v>812.32899999999995</v>
      </c>
      <c r="F921" s="39">
        <v>1274</v>
      </c>
      <c r="G921" s="39">
        <v>75</v>
      </c>
      <c r="H921" s="47">
        <v>600</v>
      </c>
      <c r="I921" s="39">
        <v>695</v>
      </c>
      <c r="J921" s="39">
        <v>50</v>
      </c>
      <c r="K921" s="40"/>
      <c r="L921" s="40"/>
      <c r="M921" s="40"/>
      <c r="N921" s="40"/>
      <c r="O921" s="40"/>
      <c r="P921" s="40"/>
      <c r="Q921" s="40"/>
      <c r="R921" s="40"/>
      <c r="S921" s="40"/>
      <c r="T921" s="40"/>
    </row>
    <row r="922" spans="1:20" ht="15.75">
      <c r="A922" s="13">
        <v>69214</v>
      </c>
      <c r="B922" s="48">
        <f t="shared" si="5"/>
        <v>30</v>
      </c>
      <c r="C922" s="39">
        <v>194.20500000000001</v>
      </c>
      <c r="D922" s="39">
        <v>267.46600000000001</v>
      </c>
      <c r="E922" s="45">
        <v>812.32899999999995</v>
      </c>
      <c r="F922" s="39">
        <v>1274</v>
      </c>
      <c r="G922" s="39">
        <v>50</v>
      </c>
      <c r="H922" s="47">
        <v>600</v>
      </c>
      <c r="I922" s="39">
        <v>695</v>
      </c>
      <c r="J922" s="39">
        <v>50</v>
      </c>
      <c r="K922" s="40"/>
      <c r="L922" s="40"/>
      <c r="M922" s="40"/>
      <c r="N922" s="40"/>
      <c r="O922" s="40"/>
      <c r="P922" s="40"/>
      <c r="Q922" s="40"/>
      <c r="R922" s="40"/>
      <c r="S922" s="40"/>
      <c r="T922" s="40"/>
    </row>
    <row r="923" spans="1:20" ht="15.75">
      <c r="A923" s="13">
        <v>69245</v>
      </c>
      <c r="B923" s="48">
        <f t="shared" si="5"/>
        <v>31</v>
      </c>
      <c r="C923" s="39">
        <v>194.20500000000001</v>
      </c>
      <c r="D923" s="39">
        <v>267.46600000000001</v>
      </c>
      <c r="E923" s="45">
        <v>812.32899999999995</v>
      </c>
      <c r="F923" s="39">
        <v>1274</v>
      </c>
      <c r="G923" s="39">
        <v>50</v>
      </c>
      <c r="H923" s="47">
        <v>600</v>
      </c>
      <c r="I923" s="39">
        <v>695</v>
      </c>
      <c r="J923" s="39">
        <v>0</v>
      </c>
      <c r="K923" s="40"/>
      <c r="L923" s="40"/>
      <c r="M923" s="40"/>
      <c r="N923" s="40"/>
      <c r="O923" s="40"/>
      <c r="P923" s="40"/>
      <c r="Q923" s="40"/>
      <c r="R923" s="40"/>
      <c r="S923" s="40"/>
      <c r="T923" s="40"/>
    </row>
    <row r="924" spans="1:20" ht="15.75">
      <c r="A924" s="13">
        <v>69276</v>
      </c>
      <c r="B924" s="48">
        <f t="shared" si="5"/>
        <v>31</v>
      </c>
      <c r="C924" s="39">
        <v>194.20500000000001</v>
      </c>
      <c r="D924" s="39">
        <v>267.46600000000001</v>
      </c>
      <c r="E924" s="45">
        <v>812.32899999999995</v>
      </c>
      <c r="F924" s="39">
        <v>1274</v>
      </c>
      <c r="G924" s="39">
        <v>50</v>
      </c>
      <c r="H924" s="47">
        <v>600</v>
      </c>
      <c r="I924" s="39">
        <v>695</v>
      </c>
      <c r="J924" s="39">
        <v>0</v>
      </c>
      <c r="K924" s="40"/>
      <c r="L924" s="40"/>
      <c r="M924" s="40"/>
      <c r="N924" s="40"/>
      <c r="O924" s="40"/>
      <c r="P924" s="40"/>
      <c r="Q924" s="40"/>
      <c r="R924" s="40"/>
      <c r="S924" s="40"/>
      <c r="T924" s="40"/>
    </row>
    <row r="925" spans="1:20" ht="15.75">
      <c r="A925" s="13">
        <v>69306</v>
      </c>
      <c r="B925" s="48">
        <f t="shared" si="5"/>
        <v>30</v>
      </c>
      <c r="C925" s="39">
        <v>194.20500000000001</v>
      </c>
      <c r="D925" s="39">
        <v>267.46600000000001</v>
      </c>
      <c r="E925" s="45">
        <v>812.32899999999995</v>
      </c>
      <c r="F925" s="39">
        <v>1274</v>
      </c>
      <c r="G925" s="39">
        <v>50</v>
      </c>
      <c r="H925" s="47">
        <v>600</v>
      </c>
      <c r="I925" s="39">
        <v>695</v>
      </c>
      <c r="J925" s="39">
        <v>0</v>
      </c>
      <c r="K925" s="40"/>
      <c r="L925" s="40"/>
      <c r="M925" s="40"/>
      <c r="N925" s="40"/>
      <c r="O925" s="40"/>
      <c r="P925" s="40"/>
      <c r="Q925" s="40"/>
      <c r="R925" s="40"/>
      <c r="S925" s="40"/>
      <c r="T925" s="40"/>
    </row>
    <row r="926" spans="1:20" ht="15.75">
      <c r="A926" s="13">
        <v>69337</v>
      </c>
      <c r="B926" s="48">
        <f t="shared" si="5"/>
        <v>31</v>
      </c>
      <c r="C926" s="39">
        <v>131.881</v>
      </c>
      <c r="D926" s="39">
        <v>277.16699999999997</v>
      </c>
      <c r="E926" s="45">
        <v>829.952</v>
      </c>
      <c r="F926" s="39">
        <v>1239</v>
      </c>
      <c r="G926" s="39">
        <v>75</v>
      </c>
      <c r="H926" s="47">
        <v>600</v>
      </c>
      <c r="I926" s="39">
        <v>695</v>
      </c>
      <c r="J926" s="39">
        <v>0</v>
      </c>
      <c r="K926" s="40"/>
      <c r="L926" s="40"/>
      <c r="M926" s="40"/>
      <c r="N926" s="40"/>
      <c r="O926" s="40"/>
      <c r="P926" s="40"/>
      <c r="Q926" s="40"/>
      <c r="R926" s="40"/>
      <c r="S926" s="40"/>
      <c r="T926" s="40"/>
    </row>
    <row r="927" spans="1:20" ht="15.75">
      <c r="A927" s="13">
        <v>69367</v>
      </c>
      <c r="B927" s="48">
        <f t="shared" si="5"/>
        <v>30</v>
      </c>
      <c r="C927" s="39">
        <v>122.58</v>
      </c>
      <c r="D927" s="39">
        <v>297.94099999999997</v>
      </c>
      <c r="E927" s="45">
        <v>729.47900000000004</v>
      </c>
      <c r="F927" s="39">
        <v>1150</v>
      </c>
      <c r="G927" s="39">
        <v>100</v>
      </c>
      <c r="H927" s="47">
        <v>600</v>
      </c>
      <c r="I927" s="39">
        <v>695</v>
      </c>
      <c r="J927" s="39">
        <v>50</v>
      </c>
      <c r="K927" s="40"/>
      <c r="L927" s="40"/>
      <c r="M927" s="40"/>
      <c r="N927" s="40"/>
      <c r="O927" s="40"/>
      <c r="P927" s="40"/>
      <c r="Q927" s="40"/>
      <c r="R927" s="40"/>
      <c r="S927" s="40"/>
      <c r="T927" s="40"/>
    </row>
    <row r="928" spans="1:20" ht="15.75">
      <c r="A928" s="13">
        <v>69398</v>
      </c>
      <c r="B928" s="48">
        <f t="shared" si="5"/>
        <v>31</v>
      </c>
      <c r="C928" s="39">
        <v>122.58</v>
      </c>
      <c r="D928" s="39">
        <v>297.94099999999997</v>
      </c>
      <c r="E928" s="45">
        <v>729.47900000000004</v>
      </c>
      <c r="F928" s="39">
        <v>1150</v>
      </c>
      <c r="G928" s="39">
        <v>100</v>
      </c>
      <c r="H928" s="47">
        <v>600</v>
      </c>
      <c r="I928" s="39">
        <v>695</v>
      </c>
      <c r="J928" s="39">
        <v>50</v>
      </c>
      <c r="K928" s="40"/>
      <c r="L928" s="40"/>
      <c r="M928" s="40"/>
      <c r="N928" s="40"/>
      <c r="O928" s="40"/>
      <c r="P928" s="40"/>
      <c r="Q928" s="40"/>
      <c r="R928" s="40"/>
      <c r="S928" s="40"/>
      <c r="T928" s="40"/>
    </row>
    <row r="929" spans="1:20" ht="15.75">
      <c r="A929" s="13">
        <v>69429</v>
      </c>
      <c r="B929" s="48">
        <f t="shared" si="5"/>
        <v>31</v>
      </c>
      <c r="C929" s="39">
        <v>122.58</v>
      </c>
      <c r="D929" s="39">
        <v>297.94099999999997</v>
      </c>
      <c r="E929" s="45">
        <v>729.47900000000004</v>
      </c>
      <c r="F929" s="39">
        <v>1150</v>
      </c>
      <c r="G929" s="39">
        <v>100</v>
      </c>
      <c r="H929" s="47">
        <v>600</v>
      </c>
      <c r="I929" s="39">
        <v>695</v>
      </c>
      <c r="J929" s="39">
        <v>50</v>
      </c>
      <c r="K929" s="40"/>
      <c r="L929" s="40"/>
      <c r="M929" s="40"/>
      <c r="N929" s="40"/>
      <c r="O929" s="40"/>
      <c r="P929" s="40"/>
      <c r="Q929" s="40"/>
      <c r="R929" s="40"/>
      <c r="S929" s="40"/>
      <c r="T929" s="40"/>
    </row>
    <row r="930" spans="1:20" ht="15.75">
      <c r="A930" s="13">
        <v>69457</v>
      </c>
      <c r="B930" s="48">
        <f t="shared" si="5"/>
        <v>28</v>
      </c>
      <c r="C930" s="39">
        <v>122.58</v>
      </c>
      <c r="D930" s="39">
        <v>297.94099999999997</v>
      </c>
      <c r="E930" s="45">
        <v>729.47900000000004</v>
      </c>
      <c r="F930" s="39">
        <v>1150</v>
      </c>
      <c r="G930" s="39">
        <v>100</v>
      </c>
      <c r="H930" s="47">
        <v>600</v>
      </c>
      <c r="I930" s="39">
        <v>695</v>
      </c>
      <c r="J930" s="39">
        <v>50</v>
      </c>
      <c r="K930" s="40"/>
      <c r="L930" s="40"/>
      <c r="M930" s="40"/>
      <c r="N930" s="40"/>
      <c r="O930" s="40"/>
      <c r="P930" s="40"/>
      <c r="Q930" s="40"/>
      <c r="R930" s="40"/>
      <c r="S930" s="40"/>
      <c r="T930" s="40"/>
    </row>
    <row r="931" spans="1:20" ht="15.75">
      <c r="A931" s="13">
        <v>69488</v>
      </c>
      <c r="B931" s="48">
        <f t="shared" si="5"/>
        <v>31</v>
      </c>
      <c r="C931" s="39">
        <v>122.58</v>
      </c>
      <c r="D931" s="39">
        <v>297.94099999999997</v>
      </c>
      <c r="E931" s="45">
        <v>729.47900000000004</v>
      </c>
      <c r="F931" s="39">
        <v>1150</v>
      </c>
      <c r="G931" s="39">
        <v>100</v>
      </c>
      <c r="H931" s="47">
        <v>600</v>
      </c>
      <c r="I931" s="39">
        <v>695</v>
      </c>
      <c r="J931" s="39">
        <v>50</v>
      </c>
      <c r="K931" s="40"/>
      <c r="L931" s="40"/>
      <c r="M931" s="40"/>
      <c r="N931" s="40"/>
      <c r="O931" s="40"/>
      <c r="P931" s="40"/>
      <c r="Q931" s="40"/>
      <c r="R931" s="40"/>
      <c r="S931" s="40"/>
      <c r="T931" s="40"/>
    </row>
    <row r="932" spans="1:20" ht="15.75">
      <c r="A932" s="13">
        <v>69518</v>
      </c>
      <c r="B932" s="48">
        <f t="shared" si="5"/>
        <v>30</v>
      </c>
      <c r="C932" s="39">
        <v>141.29300000000001</v>
      </c>
      <c r="D932" s="39">
        <v>267.99299999999999</v>
      </c>
      <c r="E932" s="45">
        <v>829.71400000000006</v>
      </c>
      <c r="F932" s="39">
        <v>1239</v>
      </c>
      <c r="G932" s="39">
        <v>100</v>
      </c>
      <c r="H932" s="47">
        <v>600</v>
      </c>
      <c r="I932" s="39">
        <v>695</v>
      </c>
      <c r="J932" s="39">
        <v>50</v>
      </c>
      <c r="K932" s="40"/>
      <c r="L932" s="40"/>
      <c r="M932" s="40"/>
      <c r="N932" s="40"/>
      <c r="O932" s="40"/>
      <c r="P932" s="40"/>
      <c r="Q932" s="40"/>
      <c r="R932" s="40"/>
      <c r="S932" s="40"/>
      <c r="T932" s="40"/>
    </row>
    <row r="933" spans="1:20" ht="15.75">
      <c r="A933" s="13">
        <v>69549</v>
      </c>
      <c r="B933" s="48">
        <f t="shared" si="5"/>
        <v>31</v>
      </c>
      <c r="C933" s="39">
        <v>194.20500000000001</v>
      </c>
      <c r="D933" s="39">
        <v>267.46600000000001</v>
      </c>
      <c r="E933" s="45">
        <v>812.32899999999995</v>
      </c>
      <c r="F933" s="39">
        <v>1274</v>
      </c>
      <c r="G933" s="39">
        <v>75</v>
      </c>
      <c r="H933" s="47">
        <v>600</v>
      </c>
      <c r="I933" s="39">
        <v>695</v>
      </c>
      <c r="J933" s="39">
        <v>50</v>
      </c>
      <c r="K933" s="40"/>
      <c r="L933" s="40"/>
      <c r="M933" s="40"/>
      <c r="N933" s="40"/>
      <c r="O933" s="40"/>
      <c r="P933" s="40"/>
      <c r="Q933" s="40"/>
      <c r="R933" s="40"/>
      <c r="S933" s="40"/>
      <c r="T933" s="40"/>
    </row>
    <row r="934" spans="1:20" ht="15.75">
      <c r="A934" s="13">
        <v>69579</v>
      </c>
      <c r="B934" s="48">
        <f t="shared" si="5"/>
        <v>30</v>
      </c>
      <c r="C934" s="39">
        <v>194.20500000000001</v>
      </c>
      <c r="D934" s="39">
        <v>267.46600000000001</v>
      </c>
      <c r="E934" s="45">
        <v>812.32899999999995</v>
      </c>
      <c r="F934" s="39">
        <v>1274</v>
      </c>
      <c r="G934" s="39">
        <v>50</v>
      </c>
      <c r="H934" s="47">
        <v>600</v>
      </c>
      <c r="I934" s="39">
        <v>695</v>
      </c>
      <c r="J934" s="39">
        <v>50</v>
      </c>
      <c r="K934" s="40"/>
      <c r="L934" s="40"/>
      <c r="M934" s="40"/>
      <c r="N934" s="40"/>
      <c r="O934" s="40"/>
      <c r="P934" s="40"/>
      <c r="Q934" s="40"/>
      <c r="R934" s="40"/>
      <c r="S934" s="40"/>
      <c r="T934" s="40"/>
    </row>
    <row r="935" spans="1:20" ht="15.75">
      <c r="A935" s="13">
        <v>69610</v>
      </c>
      <c r="B935" s="48">
        <f t="shared" si="5"/>
        <v>31</v>
      </c>
      <c r="C935" s="39">
        <v>194.20500000000001</v>
      </c>
      <c r="D935" s="39">
        <v>267.46600000000001</v>
      </c>
      <c r="E935" s="45">
        <v>812.32899999999995</v>
      </c>
      <c r="F935" s="39">
        <v>1274</v>
      </c>
      <c r="G935" s="39">
        <v>50</v>
      </c>
      <c r="H935" s="47">
        <v>600</v>
      </c>
      <c r="I935" s="39">
        <v>695</v>
      </c>
      <c r="J935" s="39">
        <v>0</v>
      </c>
      <c r="K935" s="40"/>
      <c r="L935" s="40"/>
      <c r="M935" s="40"/>
      <c r="N935" s="40"/>
      <c r="O935" s="40"/>
      <c r="P935" s="40"/>
      <c r="Q935" s="40"/>
      <c r="R935" s="40"/>
      <c r="S935" s="40"/>
      <c r="T935" s="40"/>
    </row>
    <row r="936" spans="1:20" ht="15.75">
      <c r="A936" s="13">
        <v>69641</v>
      </c>
      <c r="B936" s="48">
        <f t="shared" si="5"/>
        <v>31</v>
      </c>
      <c r="C936" s="39">
        <v>194.20500000000001</v>
      </c>
      <c r="D936" s="39">
        <v>267.46600000000001</v>
      </c>
      <c r="E936" s="45">
        <v>812.32899999999995</v>
      </c>
      <c r="F936" s="39">
        <v>1274</v>
      </c>
      <c r="G936" s="39">
        <v>50</v>
      </c>
      <c r="H936" s="47">
        <v>600</v>
      </c>
      <c r="I936" s="39">
        <v>695</v>
      </c>
      <c r="J936" s="39">
        <v>0</v>
      </c>
      <c r="K936" s="40"/>
      <c r="L936" s="40"/>
      <c r="M936" s="40"/>
      <c r="N936" s="40"/>
      <c r="O936" s="40"/>
      <c r="P936" s="40"/>
      <c r="Q936" s="40"/>
      <c r="R936" s="40"/>
      <c r="S936" s="40"/>
      <c r="T936" s="40"/>
    </row>
    <row r="937" spans="1:20" ht="15.75">
      <c r="A937" s="13">
        <v>69671</v>
      </c>
      <c r="B937" s="48">
        <f t="shared" si="5"/>
        <v>30</v>
      </c>
      <c r="C937" s="39">
        <v>194.20500000000001</v>
      </c>
      <c r="D937" s="39">
        <v>267.46600000000001</v>
      </c>
      <c r="E937" s="45">
        <v>812.32899999999995</v>
      </c>
      <c r="F937" s="39">
        <v>1274</v>
      </c>
      <c r="G937" s="39">
        <v>50</v>
      </c>
      <c r="H937" s="47">
        <v>600</v>
      </c>
      <c r="I937" s="39">
        <v>695</v>
      </c>
      <c r="J937" s="39">
        <v>0</v>
      </c>
      <c r="K937" s="40"/>
      <c r="L937" s="40"/>
      <c r="M937" s="40"/>
      <c r="N937" s="40"/>
      <c r="O937" s="40"/>
      <c r="P937" s="40"/>
      <c r="Q937" s="40"/>
      <c r="R937" s="40"/>
      <c r="S937" s="40"/>
      <c r="T937" s="40"/>
    </row>
    <row r="938" spans="1:20" ht="15.75">
      <c r="A938" s="13">
        <v>69702</v>
      </c>
      <c r="B938" s="48">
        <f t="shared" si="5"/>
        <v>31</v>
      </c>
      <c r="C938" s="39">
        <v>131.881</v>
      </c>
      <c r="D938" s="39">
        <v>277.16699999999997</v>
      </c>
      <c r="E938" s="45">
        <v>829.952</v>
      </c>
      <c r="F938" s="39">
        <v>1239</v>
      </c>
      <c r="G938" s="39">
        <v>75</v>
      </c>
      <c r="H938" s="47">
        <v>600</v>
      </c>
      <c r="I938" s="39">
        <v>695</v>
      </c>
      <c r="J938" s="39">
        <v>0</v>
      </c>
      <c r="K938" s="40"/>
      <c r="L938" s="40"/>
      <c r="M938" s="40"/>
      <c r="N938" s="40"/>
      <c r="O938" s="40"/>
      <c r="P938" s="40"/>
      <c r="Q938" s="40"/>
      <c r="R938" s="40"/>
      <c r="S938" s="40"/>
      <c r="T938" s="40"/>
    </row>
    <row r="939" spans="1:20" ht="15.75">
      <c r="A939" s="13">
        <v>69732</v>
      </c>
      <c r="B939" s="48">
        <f t="shared" si="5"/>
        <v>30</v>
      </c>
      <c r="C939" s="39">
        <v>122.58</v>
      </c>
      <c r="D939" s="39">
        <v>297.94099999999997</v>
      </c>
      <c r="E939" s="45">
        <v>729.47900000000004</v>
      </c>
      <c r="F939" s="39">
        <v>1150</v>
      </c>
      <c r="G939" s="39">
        <v>100</v>
      </c>
      <c r="H939" s="47">
        <v>600</v>
      </c>
      <c r="I939" s="39">
        <v>695</v>
      </c>
      <c r="J939" s="39">
        <v>50</v>
      </c>
      <c r="K939" s="40"/>
      <c r="L939" s="40"/>
      <c r="M939" s="40"/>
      <c r="N939" s="40"/>
      <c r="O939" s="40"/>
      <c r="P939" s="40"/>
      <c r="Q939" s="40"/>
      <c r="R939" s="40"/>
      <c r="S939" s="40"/>
      <c r="T939" s="40"/>
    </row>
    <row r="940" spans="1:20" ht="15.75">
      <c r="A940" s="13">
        <v>69763</v>
      </c>
      <c r="B940" s="48">
        <f t="shared" si="5"/>
        <v>31</v>
      </c>
      <c r="C940" s="39">
        <v>122.58</v>
      </c>
      <c r="D940" s="39">
        <v>297.94099999999997</v>
      </c>
      <c r="E940" s="45">
        <v>729.47900000000004</v>
      </c>
      <c r="F940" s="39">
        <v>1150</v>
      </c>
      <c r="G940" s="39">
        <v>100</v>
      </c>
      <c r="H940" s="47">
        <v>600</v>
      </c>
      <c r="I940" s="39">
        <v>695</v>
      </c>
      <c r="J940" s="39">
        <v>50</v>
      </c>
      <c r="K940" s="40"/>
      <c r="L940" s="40"/>
      <c r="M940" s="40"/>
      <c r="N940" s="40"/>
      <c r="O940" s="40"/>
      <c r="P940" s="40"/>
      <c r="Q940" s="40"/>
      <c r="R940" s="40"/>
      <c r="S940" s="40"/>
      <c r="T940" s="40"/>
    </row>
    <row r="941" spans="1:20" ht="15.75">
      <c r="A941" s="13">
        <v>69794</v>
      </c>
      <c r="B941" s="48">
        <f t="shared" si="5"/>
        <v>31</v>
      </c>
      <c r="C941" s="39">
        <v>122.58</v>
      </c>
      <c r="D941" s="39">
        <v>297.94099999999997</v>
      </c>
      <c r="E941" s="45">
        <v>729.47900000000004</v>
      </c>
      <c r="F941" s="39">
        <v>1150</v>
      </c>
      <c r="G941" s="39">
        <v>100</v>
      </c>
      <c r="H941" s="47">
        <v>600</v>
      </c>
      <c r="I941" s="39">
        <v>695</v>
      </c>
      <c r="J941" s="39">
        <v>50</v>
      </c>
      <c r="K941" s="40"/>
      <c r="L941" s="40"/>
      <c r="M941" s="40"/>
      <c r="N941" s="40"/>
      <c r="O941" s="40"/>
      <c r="P941" s="40"/>
      <c r="Q941" s="40"/>
      <c r="R941" s="40"/>
      <c r="S941" s="40"/>
      <c r="T941" s="40"/>
    </row>
    <row r="942" spans="1:20" ht="15.75">
      <c r="A942" s="13">
        <v>69822</v>
      </c>
      <c r="B942" s="48">
        <f t="shared" si="5"/>
        <v>28</v>
      </c>
      <c r="C942" s="39">
        <v>122.58</v>
      </c>
      <c r="D942" s="39">
        <v>297.94099999999997</v>
      </c>
      <c r="E942" s="45">
        <v>729.47900000000004</v>
      </c>
      <c r="F942" s="39">
        <v>1150</v>
      </c>
      <c r="G942" s="39">
        <v>100</v>
      </c>
      <c r="H942" s="47">
        <v>600</v>
      </c>
      <c r="I942" s="39">
        <v>695</v>
      </c>
      <c r="J942" s="39">
        <v>50</v>
      </c>
      <c r="K942" s="40"/>
      <c r="L942" s="40"/>
      <c r="M942" s="40"/>
      <c r="N942" s="40"/>
      <c r="O942" s="40"/>
      <c r="P942" s="40"/>
      <c r="Q942" s="40"/>
      <c r="R942" s="40"/>
      <c r="S942" s="40"/>
      <c r="T942" s="40"/>
    </row>
    <row r="943" spans="1:20" ht="15.75">
      <c r="A943" s="13">
        <v>69853</v>
      </c>
      <c r="B943" s="48">
        <f t="shared" si="5"/>
        <v>31</v>
      </c>
      <c r="C943" s="39">
        <v>122.58</v>
      </c>
      <c r="D943" s="39">
        <v>297.94099999999997</v>
      </c>
      <c r="E943" s="45">
        <v>729.47900000000004</v>
      </c>
      <c r="F943" s="39">
        <v>1150</v>
      </c>
      <c r="G943" s="39">
        <v>100</v>
      </c>
      <c r="H943" s="47">
        <v>600</v>
      </c>
      <c r="I943" s="39">
        <v>695</v>
      </c>
      <c r="J943" s="39">
        <v>50</v>
      </c>
      <c r="K943" s="40"/>
      <c r="L943" s="40"/>
      <c r="M943" s="40"/>
      <c r="N943" s="40"/>
      <c r="O943" s="40"/>
      <c r="P943" s="40"/>
      <c r="Q943" s="40"/>
      <c r="R943" s="40"/>
      <c r="S943" s="40"/>
      <c r="T943" s="40"/>
    </row>
    <row r="944" spans="1:20" ht="15.75">
      <c r="A944" s="13">
        <v>69883</v>
      </c>
      <c r="B944" s="48">
        <f t="shared" si="5"/>
        <v>30</v>
      </c>
      <c r="C944" s="39">
        <v>141.29300000000001</v>
      </c>
      <c r="D944" s="39">
        <v>267.99299999999999</v>
      </c>
      <c r="E944" s="45">
        <v>829.71400000000006</v>
      </c>
      <c r="F944" s="39">
        <v>1239</v>
      </c>
      <c r="G944" s="39">
        <v>100</v>
      </c>
      <c r="H944" s="47">
        <v>600</v>
      </c>
      <c r="I944" s="39">
        <v>695</v>
      </c>
      <c r="J944" s="39">
        <v>50</v>
      </c>
      <c r="K944" s="40"/>
      <c r="L944" s="40"/>
      <c r="M944" s="40"/>
      <c r="N944" s="40"/>
      <c r="O944" s="40"/>
      <c r="P944" s="40"/>
      <c r="Q944" s="40"/>
      <c r="R944" s="40"/>
      <c r="S944" s="40"/>
      <c r="T944" s="40"/>
    </row>
    <row r="945" spans="1:20" ht="15.75">
      <c r="A945" s="13">
        <v>69914</v>
      </c>
      <c r="B945" s="48">
        <f t="shared" si="5"/>
        <v>31</v>
      </c>
      <c r="C945" s="39">
        <v>194.20500000000001</v>
      </c>
      <c r="D945" s="39">
        <v>267.46600000000001</v>
      </c>
      <c r="E945" s="45">
        <v>812.32899999999995</v>
      </c>
      <c r="F945" s="39">
        <v>1274</v>
      </c>
      <c r="G945" s="39">
        <v>75</v>
      </c>
      <c r="H945" s="47">
        <v>600</v>
      </c>
      <c r="I945" s="39">
        <v>695</v>
      </c>
      <c r="J945" s="39">
        <v>50</v>
      </c>
      <c r="K945" s="40"/>
      <c r="L945" s="40"/>
      <c r="M945" s="40"/>
      <c r="N945" s="40"/>
      <c r="O945" s="40"/>
      <c r="P945" s="40"/>
      <c r="Q945" s="40"/>
      <c r="R945" s="40"/>
      <c r="S945" s="40"/>
      <c r="T945" s="40"/>
    </row>
    <row r="946" spans="1:20" ht="15.75">
      <c r="A946" s="13">
        <v>69944</v>
      </c>
      <c r="B946" s="48">
        <f t="shared" si="5"/>
        <v>30</v>
      </c>
      <c r="C946" s="39">
        <v>194.20500000000001</v>
      </c>
      <c r="D946" s="39">
        <v>267.46600000000001</v>
      </c>
      <c r="E946" s="45">
        <v>812.32899999999995</v>
      </c>
      <c r="F946" s="39">
        <v>1274</v>
      </c>
      <c r="G946" s="39">
        <v>50</v>
      </c>
      <c r="H946" s="47">
        <v>600</v>
      </c>
      <c r="I946" s="39">
        <v>695</v>
      </c>
      <c r="J946" s="39">
        <v>50</v>
      </c>
      <c r="K946" s="40"/>
      <c r="L946" s="40"/>
      <c r="M946" s="40"/>
      <c r="N946" s="40"/>
      <c r="O946" s="40"/>
      <c r="P946" s="40"/>
      <c r="Q946" s="40"/>
      <c r="R946" s="40"/>
      <c r="S946" s="40"/>
      <c r="T946" s="40"/>
    </row>
    <row r="947" spans="1:20" ht="15.75">
      <c r="A947" s="13">
        <v>69975</v>
      </c>
      <c r="B947" s="48">
        <f t="shared" si="5"/>
        <v>31</v>
      </c>
      <c r="C947" s="39">
        <v>194.20500000000001</v>
      </c>
      <c r="D947" s="39">
        <v>267.46600000000001</v>
      </c>
      <c r="E947" s="45">
        <v>812.32899999999995</v>
      </c>
      <c r="F947" s="39">
        <v>1274</v>
      </c>
      <c r="G947" s="39">
        <v>50</v>
      </c>
      <c r="H947" s="47">
        <v>600</v>
      </c>
      <c r="I947" s="39">
        <v>695</v>
      </c>
      <c r="J947" s="39">
        <v>0</v>
      </c>
      <c r="K947" s="40"/>
      <c r="L947" s="40"/>
      <c r="M947" s="40"/>
      <c r="N947" s="40"/>
      <c r="O947" s="40"/>
      <c r="P947" s="40"/>
      <c r="Q947" s="40"/>
      <c r="R947" s="40"/>
      <c r="S947" s="40"/>
      <c r="T947" s="40"/>
    </row>
    <row r="948" spans="1:20" ht="15.75">
      <c r="A948" s="13">
        <v>70006</v>
      </c>
      <c r="B948" s="48">
        <f t="shared" si="5"/>
        <v>31</v>
      </c>
      <c r="C948" s="39">
        <v>194.20500000000001</v>
      </c>
      <c r="D948" s="39">
        <v>267.46600000000001</v>
      </c>
      <c r="E948" s="45">
        <v>812.32899999999995</v>
      </c>
      <c r="F948" s="39">
        <v>1274</v>
      </c>
      <c r="G948" s="39">
        <v>50</v>
      </c>
      <c r="H948" s="47">
        <v>600</v>
      </c>
      <c r="I948" s="39">
        <v>695</v>
      </c>
      <c r="J948" s="39">
        <v>0</v>
      </c>
      <c r="K948" s="40"/>
      <c r="L948" s="40"/>
      <c r="M948" s="40"/>
      <c r="N948" s="40"/>
      <c r="O948" s="40"/>
      <c r="P948" s="40"/>
      <c r="Q948" s="40"/>
      <c r="R948" s="40"/>
      <c r="S948" s="40"/>
      <c r="T948" s="40"/>
    </row>
    <row r="949" spans="1:20" ht="15.75">
      <c r="A949" s="13">
        <v>70036</v>
      </c>
      <c r="B949" s="48">
        <f t="shared" si="5"/>
        <v>30</v>
      </c>
      <c r="C949" s="39">
        <v>194.20500000000001</v>
      </c>
      <c r="D949" s="39">
        <v>267.46600000000001</v>
      </c>
      <c r="E949" s="45">
        <v>812.32899999999995</v>
      </c>
      <c r="F949" s="39">
        <v>1274</v>
      </c>
      <c r="G949" s="39">
        <v>50</v>
      </c>
      <c r="H949" s="47">
        <v>600</v>
      </c>
      <c r="I949" s="39">
        <v>695</v>
      </c>
      <c r="J949" s="39">
        <v>0</v>
      </c>
      <c r="K949" s="40"/>
      <c r="L949" s="40"/>
      <c r="M949" s="40"/>
      <c r="N949" s="40"/>
      <c r="O949" s="40"/>
      <c r="P949" s="40"/>
      <c r="Q949" s="40"/>
      <c r="R949" s="40"/>
      <c r="S949" s="40"/>
      <c r="T949" s="40"/>
    </row>
    <row r="950" spans="1:20" ht="15.75">
      <c r="A950" s="13">
        <v>70067</v>
      </c>
      <c r="B950" s="48">
        <f t="shared" si="5"/>
        <v>31</v>
      </c>
      <c r="C950" s="39">
        <v>131.881</v>
      </c>
      <c r="D950" s="39">
        <v>277.16699999999997</v>
      </c>
      <c r="E950" s="45">
        <v>829.952</v>
      </c>
      <c r="F950" s="39">
        <v>1239</v>
      </c>
      <c r="G950" s="39">
        <v>75</v>
      </c>
      <c r="H950" s="47">
        <v>600</v>
      </c>
      <c r="I950" s="39">
        <v>695</v>
      </c>
      <c r="J950" s="39">
        <v>0</v>
      </c>
      <c r="K950" s="40"/>
      <c r="L950" s="40"/>
      <c r="M950" s="40"/>
      <c r="N950" s="40"/>
      <c r="O950" s="40"/>
      <c r="P950" s="40"/>
      <c r="Q950" s="40"/>
      <c r="R950" s="40"/>
      <c r="S950" s="40"/>
      <c r="T950" s="40"/>
    </row>
    <row r="951" spans="1:20" ht="15.75">
      <c r="A951" s="13">
        <v>70097</v>
      </c>
      <c r="B951" s="48">
        <f t="shared" si="5"/>
        <v>30</v>
      </c>
      <c r="C951" s="39">
        <v>122.58</v>
      </c>
      <c r="D951" s="39">
        <v>297.94099999999997</v>
      </c>
      <c r="E951" s="45">
        <v>729.47900000000004</v>
      </c>
      <c r="F951" s="39">
        <v>1150</v>
      </c>
      <c r="G951" s="39">
        <v>100</v>
      </c>
      <c r="H951" s="47">
        <v>600</v>
      </c>
      <c r="I951" s="39">
        <v>695</v>
      </c>
      <c r="J951" s="39">
        <v>50</v>
      </c>
      <c r="K951" s="40"/>
      <c r="L951" s="40"/>
      <c r="M951" s="40"/>
      <c r="N951" s="40"/>
      <c r="O951" s="40"/>
      <c r="P951" s="40"/>
      <c r="Q951" s="40"/>
      <c r="R951" s="40"/>
      <c r="S951" s="40"/>
      <c r="T951" s="40"/>
    </row>
    <row r="952" spans="1:20" ht="15.75">
      <c r="A952" s="13">
        <v>70128</v>
      </c>
      <c r="B952" s="48">
        <f t="shared" si="5"/>
        <v>31</v>
      </c>
      <c r="C952" s="39">
        <v>122.58</v>
      </c>
      <c r="D952" s="39">
        <v>297.94099999999997</v>
      </c>
      <c r="E952" s="45">
        <v>729.47900000000004</v>
      </c>
      <c r="F952" s="39">
        <v>1150</v>
      </c>
      <c r="G952" s="39">
        <v>100</v>
      </c>
      <c r="H952" s="47">
        <v>600</v>
      </c>
      <c r="I952" s="39">
        <v>695</v>
      </c>
      <c r="J952" s="39">
        <v>50</v>
      </c>
      <c r="K952" s="40"/>
      <c r="L952" s="40"/>
      <c r="M952" s="40"/>
      <c r="N952" s="40"/>
      <c r="O952" s="40"/>
      <c r="P952" s="40"/>
      <c r="Q952" s="40"/>
      <c r="R952" s="40"/>
      <c r="S952" s="40"/>
      <c r="T952" s="40"/>
    </row>
    <row r="953" spans="1:20" ht="15.75">
      <c r="A953" s="13">
        <v>70159</v>
      </c>
      <c r="B953" s="48">
        <f t="shared" si="5"/>
        <v>31</v>
      </c>
      <c r="C953" s="39">
        <v>122.58</v>
      </c>
      <c r="D953" s="39">
        <v>297.94099999999997</v>
      </c>
      <c r="E953" s="45">
        <v>729.47900000000004</v>
      </c>
      <c r="F953" s="39">
        <v>1150</v>
      </c>
      <c r="G953" s="39">
        <v>100</v>
      </c>
      <c r="H953" s="47">
        <v>600</v>
      </c>
      <c r="I953" s="39">
        <v>695</v>
      </c>
      <c r="J953" s="39">
        <v>50</v>
      </c>
      <c r="K953" s="40"/>
      <c r="L953" s="40"/>
      <c r="M953" s="40"/>
      <c r="N953" s="40"/>
      <c r="O953" s="40"/>
      <c r="P953" s="40"/>
      <c r="Q953" s="40"/>
      <c r="R953" s="40"/>
      <c r="S953" s="40"/>
      <c r="T953" s="40"/>
    </row>
    <row r="954" spans="1:20" ht="15.75">
      <c r="A954" s="13">
        <v>70188</v>
      </c>
      <c r="B954" s="48">
        <f t="shared" si="5"/>
        <v>29</v>
      </c>
      <c r="C954" s="39">
        <v>122.58</v>
      </c>
      <c r="D954" s="39">
        <v>297.94099999999997</v>
      </c>
      <c r="E954" s="45">
        <v>729.47900000000004</v>
      </c>
      <c r="F954" s="39">
        <v>1150</v>
      </c>
      <c r="G954" s="39">
        <v>100</v>
      </c>
      <c r="H954" s="47">
        <v>600</v>
      </c>
      <c r="I954" s="39">
        <v>695</v>
      </c>
      <c r="J954" s="39">
        <v>50</v>
      </c>
      <c r="K954" s="40"/>
      <c r="L954" s="40"/>
      <c r="M954" s="40"/>
      <c r="N954" s="40"/>
      <c r="O954" s="40"/>
      <c r="P954" s="40"/>
      <c r="Q954" s="40"/>
      <c r="R954" s="40"/>
      <c r="S954" s="40"/>
      <c r="T954" s="40"/>
    </row>
    <row r="955" spans="1:20" ht="15.75">
      <c r="A955" s="13">
        <v>70219</v>
      </c>
      <c r="B955" s="48">
        <f t="shared" si="5"/>
        <v>31</v>
      </c>
      <c r="C955" s="39">
        <v>122.58</v>
      </c>
      <c r="D955" s="39">
        <v>297.94099999999997</v>
      </c>
      <c r="E955" s="45">
        <v>729.47900000000004</v>
      </c>
      <c r="F955" s="39">
        <v>1150</v>
      </c>
      <c r="G955" s="39">
        <v>100</v>
      </c>
      <c r="H955" s="47">
        <v>600</v>
      </c>
      <c r="I955" s="39">
        <v>695</v>
      </c>
      <c r="J955" s="39">
        <v>50</v>
      </c>
      <c r="K955" s="40"/>
      <c r="L955" s="40"/>
      <c r="M955" s="40"/>
      <c r="N955" s="40"/>
      <c r="O955" s="40"/>
      <c r="P955" s="40"/>
      <c r="Q955" s="40"/>
      <c r="R955" s="40"/>
      <c r="S955" s="40"/>
      <c r="T955" s="40"/>
    </row>
    <row r="956" spans="1:20" ht="15.75">
      <c r="A956" s="13">
        <v>70249</v>
      </c>
      <c r="B956" s="48">
        <f t="shared" si="5"/>
        <v>30</v>
      </c>
      <c r="C956" s="39">
        <v>141.29300000000001</v>
      </c>
      <c r="D956" s="39">
        <v>267.99299999999999</v>
      </c>
      <c r="E956" s="45">
        <v>829.71400000000006</v>
      </c>
      <c r="F956" s="39">
        <v>1239</v>
      </c>
      <c r="G956" s="39">
        <v>100</v>
      </c>
      <c r="H956" s="47">
        <v>600</v>
      </c>
      <c r="I956" s="39">
        <v>695</v>
      </c>
      <c r="J956" s="39">
        <v>50</v>
      </c>
      <c r="K956" s="40"/>
      <c r="L956" s="40"/>
      <c r="M956" s="40"/>
      <c r="N956" s="40"/>
      <c r="O956" s="40"/>
      <c r="P956" s="40"/>
      <c r="Q956" s="40"/>
      <c r="R956" s="40"/>
      <c r="S956" s="40"/>
      <c r="T956" s="40"/>
    </row>
    <row r="957" spans="1:20" ht="15.75">
      <c r="A957" s="13">
        <v>70280</v>
      </c>
      <c r="B957" s="48">
        <f t="shared" si="5"/>
        <v>31</v>
      </c>
      <c r="C957" s="39">
        <v>194.20500000000001</v>
      </c>
      <c r="D957" s="39">
        <v>267.46600000000001</v>
      </c>
      <c r="E957" s="45">
        <v>812.32899999999995</v>
      </c>
      <c r="F957" s="39">
        <v>1274</v>
      </c>
      <c r="G957" s="39">
        <v>75</v>
      </c>
      <c r="H957" s="47">
        <v>600</v>
      </c>
      <c r="I957" s="39">
        <v>695</v>
      </c>
      <c r="J957" s="39">
        <v>50</v>
      </c>
      <c r="K957" s="40"/>
      <c r="L957" s="40"/>
      <c r="M957" s="40"/>
      <c r="N957" s="40"/>
      <c r="O957" s="40"/>
      <c r="P957" s="40"/>
      <c r="Q957" s="40"/>
      <c r="R957" s="40"/>
      <c r="S957" s="40"/>
      <c r="T957" s="40"/>
    </row>
    <row r="958" spans="1:20" ht="15.75">
      <c r="A958" s="13">
        <v>70310</v>
      </c>
      <c r="B958" s="48">
        <f t="shared" si="5"/>
        <v>30</v>
      </c>
      <c r="C958" s="39">
        <v>194.20500000000001</v>
      </c>
      <c r="D958" s="39">
        <v>267.46600000000001</v>
      </c>
      <c r="E958" s="45">
        <v>812.32899999999995</v>
      </c>
      <c r="F958" s="39">
        <v>1274</v>
      </c>
      <c r="G958" s="39">
        <v>50</v>
      </c>
      <c r="H958" s="47">
        <v>600</v>
      </c>
      <c r="I958" s="39">
        <v>695</v>
      </c>
      <c r="J958" s="39">
        <v>50</v>
      </c>
      <c r="K958" s="40"/>
      <c r="L958" s="40"/>
      <c r="M958" s="40"/>
      <c r="N958" s="40"/>
      <c r="O958" s="40"/>
      <c r="P958" s="40"/>
      <c r="Q958" s="40"/>
      <c r="R958" s="40"/>
      <c r="S958" s="40"/>
      <c r="T958" s="40"/>
    </row>
    <row r="959" spans="1:20" ht="15.75">
      <c r="A959" s="13">
        <v>70341</v>
      </c>
      <c r="B959" s="48">
        <f t="shared" si="5"/>
        <v>31</v>
      </c>
      <c r="C959" s="39">
        <v>194.20500000000001</v>
      </c>
      <c r="D959" s="39">
        <v>267.46600000000001</v>
      </c>
      <c r="E959" s="45">
        <v>812.32899999999995</v>
      </c>
      <c r="F959" s="39">
        <v>1274</v>
      </c>
      <c r="G959" s="39">
        <v>50</v>
      </c>
      <c r="H959" s="47">
        <v>600</v>
      </c>
      <c r="I959" s="39">
        <v>695</v>
      </c>
      <c r="J959" s="39">
        <v>0</v>
      </c>
      <c r="K959" s="40"/>
      <c r="L959" s="40"/>
      <c r="M959" s="40"/>
      <c r="N959" s="40"/>
      <c r="O959" s="40"/>
      <c r="P959" s="40"/>
      <c r="Q959" s="40"/>
      <c r="R959" s="40"/>
      <c r="S959" s="40"/>
      <c r="T959" s="40"/>
    </row>
    <row r="960" spans="1:20" ht="15.75">
      <c r="A960" s="13">
        <v>70372</v>
      </c>
      <c r="B960" s="48">
        <f t="shared" si="5"/>
        <v>31</v>
      </c>
      <c r="C960" s="39">
        <v>194.20500000000001</v>
      </c>
      <c r="D960" s="39">
        <v>267.46600000000001</v>
      </c>
      <c r="E960" s="45">
        <v>812.32899999999995</v>
      </c>
      <c r="F960" s="39">
        <v>1274</v>
      </c>
      <c r="G960" s="39">
        <v>50</v>
      </c>
      <c r="H960" s="47">
        <v>600</v>
      </c>
      <c r="I960" s="39">
        <v>695</v>
      </c>
      <c r="J960" s="39">
        <v>0</v>
      </c>
      <c r="K960" s="40"/>
      <c r="L960" s="40"/>
      <c r="M960" s="40"/>
      <c r="N960" s="40"/>
      <c r="O960" s="40"/>
      <c r="P960" s="40"/>
      <c r="Q960" s="40"/>
      <c r="R960" s="40"/>
      <c r="S960" s="40"/>
      <c r="T960" s="40"/>
    </row>
    <row r="961" spans="1:20" ht="15.75">
      <c r="A961" s="13">
        <v>70402</v>
      </c>
      <c r="B961" s="48">
        <f t="shared" si="5"/>
        <v>30</v>
      </c>
      <c r="C961" s="39">
        <v>194.20500000000001</v>
      </c>
      <c r="D961" s="39">
        <v>267.46600000000001</v>
      </c>
      <c r="E961" s="45">
        <v>812.32899999999995</v>
      </c>
      <c r="F961" s="39">
        <v>1274</v>
      </c>
      <c r="G961" s="39">
        <v>50</v>
      </c>
      <c r="H961" s="47">
        <v>600</v>
      </c>
      <c r="I961" s="39">
        <v>695</v>
      </c>
      <c r="J961" s="39">
        <v>0</v>
      </c>
      <c r="K961" s="40"/>
      <c r="L961" s="40"/>
      <c r="M961" s="40"/>
      <c r="N961" s="40"/>
      <c r="O961" s="40"/>
      <c r="P961" s="40"/>
      <c r="Q961" s="40"/>
      <c r="R961" s="40"/>
      <c r="S961" s="40"/>
      <c r="T961" s="40"/>
    </row>
    <row r="962" spans="1:20" ht="15.75">
      <c r="A962" s="13">
        <v>70433</v>
      </c>
      <c r="B962" s="48">
        <f t="shared" si="5"/>
        <v>31</v>
      </c>
      <c r="C962" s="39">
        <v>131.881</v>
      </c>
      <c r="D962" s="39">
        <v>277.16699999999997</v>
      </c>
      <c r="E962" s="45">
        <v>829.952</v>
      </c>
      <c r="F962" s="39">
        <v>1239</v>
      </c>
      <c r="G962" s="39">
        <v>75</v>
      </c>
      <c r="H962" s="47">
        <v>600</v>
      </c>
      <c r="I962" s="39">
        <v>695</v>
      </c>
      <c r="J962" s="39">
        <v>0</v>
      </c>
      <c r="K962" s="40"/>
      <c r="L962" s="40"/>
      <c r="M962" s="40"/>
      <c r="N962" s="40"/>
      <c r="O962" s="40"/>
      <c r="P962" s="40"/>
      <c r="Q962" s="40"/>
      <c r="R962" s="40"/>
      <c r="S962" s="40"/>
      <c r="T962" s="40"/>
    </row>
    <row r="963" spans="1:20" ht="15.75">
      <c r="A963" s="13">
        <v>70463</v>
      </c>
      <c r="B963" s="48">
        <f t="shared" si="5"/>
        <v>30</v>
      </c>
      <c r="C963" s="39">
        <v>122.58</v>
      </c>
      <c r="D963" s="39">
        <v>297.94099999999997</v>
      </c>
      <c r="E963" s="45">
        <v>729.47900000000004</v>
      </c>
      <c r="F963" s="39">
        <v>1150</v>
      </c>
      <c r="G963" s="39">
        <v>100</v>
      </c>
      <c r="H963" s="47">
        <v>600</v>
      </c>
      <c r="I963" s="39">
        <v>695</v>
      </c>
      <c r="J963" s="39">
        <v>50</v>
      </c>
      <c r="K963" s="40"/>
      <c r="L963" s="40"/>
      <c r="M963" s="40"/>
      <c r="N963" s="40"/>
      <c r="O963" s="40"/>
      <c r="P963" s="40"/>
      <c r="Q963" s="40"/>
      <c r="R963" s="40"/>
      <c r="S963" s="40"/>
      <c r="T963" s="40"/>
    </row>
    <row r="964" spans="1:20" ht="15.75">
      <c r="A964" s="13">
        <v>70494</v>
      </c>
      <c r="B964" s="48">
        <f t="shared" si="5"/>
        <v>31</v>
      </c>
      <c r="C964" s="39">
        <v>122.58</v>
      </c>
      <c r="D964" s="39">
        <v>297.94099999999997</v>
      </c>
      <c r="E964" s="45">
        <v>729.47900000000004</v>
      </c>
      <c r="F964" s="39">
        <v>1150</v>
      </c>
      <c r="G964" s="39">
        <v>100</v>
      </c>
      <c r="H964" s="47">
        <v>600</v>
      </c>
      <c r="I964" s="39">
        <v>695</v>
      </c>
      <c r="J964" s="39">
        <v>50</v>
      </c>
      <c r="K964" s="40"/>
      <c r="L964" s="40"/>
      <c r="M964" s="40"/>
      <c r="N964" s="40"/>
      <c r="O964" s="40"/>
      <c r="P964" s="40"/>
      <c r="Q964" s="40"/>
      <c r="R964" s="40"/>
      <c r="S964" s="40"/>
      <c r="T964" s="40"/>
    </row>
    <row r="965" spans="1:20" ht="15.75">
      <c r="A965" s="13">
        <v>70525</v>
      </c>
      <c r="B965" s="48">
        <f t="shared" si="5"/>
        <v>31</v>
      </c>
      <c r="C965" s="39">
        <v>122.58</v>
      </c>
      <c r="D965" s="39">
        <v>297.94099999999997</v>
      </c>
      <c r="E965" s="45">
        <v>729.47900000000004</v>
      </c>
      <c r="F965" s="39">
        <v>1150</v>
      </c>
      <c r="G965" s="39">
        <v>100</v>
      </c>
      <c r="H965" s="47">
        <v>600</v>
      </c>
      <c r="I965" s="39">
        <v>695</v>
      </c>
      <c r="J965" s="39">
        <v>50</v>
      </c>
      <c r="K965" s="40"/>
      <c r="L965" s="40"/>
      <c r="M965" s="40"/>
      <c r="N965" s="40"/>
      <c r="O965" s="40"/>
      <c r="P965" s="40"/>
      <c r="Q965" s="40"/>
      <c r="R965" s="40"/>
      <c r="S965" s="40"/>
      <c r="T965" s="40"/>
    </row>
    <row r="966" spans="1:20" ht="15.75">
      <c r="A966" s="13">
        <v>70553</v>
      </c>
      <c r="B966" s="48">
        <f t="shared" si="5"/>
        <v>28</v>
      </c>
      <c r="C966" s="39">
        <v>122.58</v>
      </c>
      <c r="D966" s="39">
        <v>297.94099999999997</v>
      </c>
      <c r="E966" s="45">
        <v>729.47900000000004</v>
      </c>
      <c r="F966" s="39">
        <v>1150</v>
      </c>
      <c r="G966" s="39">
        <v>100</v>
      </c>
      <c r="H966" s="47">
        <v>600</v>
      </c>
      <c r="I966" s="39">
        <v>695</v>
      </c>
      <c r="J966" s="39">
        <v>50</v>
      </c>
      <c r="K966" s="40"/>
      <c r="L966" s="40"/>
      <c r="M966" s="40"/>
      <c r="N966" s="40"/>
      <c r="O966" s="40"/>
      <c r="P966" s="40"/>
      <c r="Q966" s="40"/>
      <c r="R966" s="40"/>
      <c r="S966" s="40"/>
      <c r="T966" s="40"/>
    </row>
    <row r="967" spans="1:20" ht="15.75">
      <c r="A967" s="13">
        <v>70584</v>
      </c>
      <c r="B967" s="48">
        <f t="shared" si="5"/>
        <v>31</v>
      </c>
      <c r="C967" s="39">
        <v>122.58</v>
      </c>
      <c r="D967" s="39">
        <v>297.94099999999997</v>
      </c>
      <c r="E967" s="45">
        <v>729.47900000000004</v>
      </c>
      <c r="F967" s="39">
        <v>1150</v>
      </c>
      <c r="G967" s="39">
        <v>100</v>
      </c>
      <c r="H967" s="47">
        <v>600</v>
      </c>
      <c r="I967" s="39">
        <v>695</v>
      </c>
      <c r="J967" s="39">
        <v>50</v>
      </c>
      <c r="K967" s="40"/>
      <c r="L967" s="40"/>
      <c r="M967" s="40"/>
      <c r="N967" s="40"/>
      <c r="O967" s="40"/>
      <c r="P967" s="40"/>
      <c r="Q967" s="40"/>
      <c r="R967" s="40"/>
      <c r="S967" s="40"/>
      <c r="T967" s="40"/>
    </row>
    <row r="968" spans="1:20" ht="15.75">
      <c r="A968" s="13">
        <v>70614</v>
      </c>
      <c r="B968" s="48">
        <f t="shared" si="5"/>
        <v>30</v>
      </c>
      <c r="C968" s="39">
        <v>141.29300000000001</v>
      </c>
      <c r="D968" s="39">
        <v>267.99299999999999</v>
      </c>
      <c r="E968" s="45">
        <v>829.71400000000006</v>
      </c>
      <c r="F968" s="39">
        <v>1239</v>
      </c>
      <c r="G968" s="39">
        <v>100</v>
      </c>
      <c r="H968" s="47">
        <v>600</v>
      </c>
      <c r="I968" s="39">
        <v>695</v>
      </c>
      <c r="J968" s="39">
        <v>50</v>
      </c>
      <c r="K968" s="40"/>
      <c r="L968" s="40"/>
      <c r="M968" s="40"/>
      <c r="N968" s="40"/>
      <c r="O968" s="40"/>
      <c r="P968" s="40"/>
      <c r="Q968" s="40"/>
      <c r="R968" s="40"/>
      <c r="S968" s="40"/>
      <c r="T968" s="40"/>
    </row>
    <row r="969" spans="1:20" ht="15.75">
      <c r="A969" s="13">
        <v>70645</v>
      </c>
      <c r="B969" s="48">
        <f t="shared" si="5"/>
        <v>31</v>
      </c>
      <c r="C969" s="39">
        <v>194.20500000000001</v>
      </c>
      <c r="D969" s="39">
        <v>267.46600000000001</v>
      </c>
      <c r="E969" s="45">
        <v>812.32899999999995</v>
      </c>
      <c r="F969" s="39">
        <v>1274</v>
      </c>
      <c r="G969" s="39">
        <v>75</v>
      </c>
      <c r="H969" s="47">
        <v>600</v>
      </c>
      <c r="I969" s="39">
        <v>695</v>
      </c>
      <c r="J969" s="39">
        <v>50</v>
      </c>
      <c r="K969" s="40"/>
      <c r="L969" s="40"/>
      <c r="M969" s="40"/>
      <c r="N969" s="40"/>
      <c r="O969" s="40"/>
      <c r="P969" s="40"/>
      <c r="Q969" s="40"/>
      <c r="R969" s="40"/>
      <c r="S969" s="40"/>
      <c r="T969" s="40"/>
    </row>
    <row r="970" spans="1:20" ht="15.75">
      <c r="A970" s="13">
        <v>70675</v>
      </c>
      <c r="B970" s="48">
        <f t="shared" si="5"/>
        <v>30</v>
      </c>
      <c r="C970" s="39">
        <v>194.20500000000001</v>
      </c>
      <c r="D970" s="39">
        <v>267.46600000000001</v>
      </c>
      <c r="E970" s="45">
        <v>812.32899999999995</v>
      </c>
      <c r="F970" s="39">
        <v>1274</v>
      </c>
      <c r="G970" s="39">
        <v>50</v>
      </c>
      <c r="H970" s="47">
        <v>600</v>
      </c>
      <c r="I970" s="39">
        <v>695</v>
      </c>
      <c r="J970" s="39">
        <v>50</v>
      </c>
      <c r="K970" s="40"/>
      <c r="L970" s="40"/>
      <c r="M970" s="40"/>
      <c r="N970" s="40"/>
      <c r="O970" s="40"/>
      <c r="P970" s="40"/>
      <c r="Q970" s="40"/>
      <c r="R970" s="40"/>
      <c r="S970" s="40"/>
      <c r="T970" s="40"/>
    </row>
    <row r="971" spans="1:20" ht="15.75">
      <c r="A971" s="13">
        <v>70706</v>
      </c>
      <c r="B971" s="48">
        <f t="shared" si="5"/>
        <v>31</v>
      </c>
      <c r="C971" s="39">
        <v>194.20500000000001</v>
      </c>
      <c r="D971" s="39">
        <v>267.46600000000001</v>
      </c>
      <c r="E971" s="45">
        <v>812.32899999999995</v>
      </c>
      <c r="F971" s="39">
        <v>1274</v>
      </c>
      <c r="G971" s="39">
        <v>50</v>
      </c>
      <c r="H971" s="47">
        <v>600</v>
      </c>
      <c r="I971" s="39">
        <v>695</v>
      </c>
      <c r="J971" s="39">
        <v>0</v>
      </c>
      <c r="K971" s="40"/>
      <c r="L971" s="40"/>
      <c r="M971" s="40"/>
      <c r="N971" s="40"/>
      <c r="O971" s="40"/>
      <c r="P971" s="40"/>
      <c r="Q971" s="40"/>
      <c r="R971" s="40"/>
      <c r="S971" s="40"/>
      <c r="T971" s="40"/>
    </row>
    <row r="972" spans="1:20" ht="15.75">
      <c r="A972" s="13">
        <v>70737</v>
      </c>
      <c r="B972" s="48">
        <f t="shared" si="5"/>
        <v>31</v>
      </c>
      <c r="C972" s="39">
        <v>194.20500000000001</v>
      </c>
      <c r="D972" s="39">
        <v>267.46600000000001</v>
      </c>
      <c r="E972" s="45">
        <v>812.32899999999995</v>
      </c>
      <c r="F972" s="39">
        <v>1274</v>
      </c>
      <c r="G972" s="39">
        <v>50</v>
      </c>
      <c r="H972" s="47">
        <v>600</v>
      </c>
      <c r="I972" s="39">
        <v>695</v>
      </c>
      <c r="J972" s="39">
        <v>0</v>
      </c>
      <c r="K972" s="40"/>
      <c r="L972" s="40"/>
      <c r="M972" s="40"/>
      <c r="N972" s="40"/>
      <c r="O972" s="40"/>
      <c r="P972" s="40"/>
      <c r="Q972" s="40"/>
      <c r="R972" s="40"/>
      <c r="S972" s="40"/>
      <c r="T972" s="40"/>
    </row>
    <row r="973" spans="1:20" ht="15.75">
      <c r="A973" s="13">
        <v>70767</v>
      </c>
      <c r="B973" s="48">
        <f t="shared" si="5"/>
        <v>30</v>
      </c>
      <c r="C973" s="39">
        <v>194.20500000000001</v>
      </c>
      <c r="D973" s="39">
        <v>267.46600000000001</v>
      </c>
      <c r="E973" s="45">
        <v>812.32899999999995</v>
      </c>
      <c r="F973" s="39">
        <v>1274</v>
      </c>
      <c r="G973" s="39">
        <v>50</v>
      </c>
      <c r="H973" s="47">
        <v>600</v>
      </c>
      <c r="I973" s="39">
        <v>695</v>
      </c>
      <c r="J973" s="39">
        <v>0</v>
      </c>
      <c r="K973" s="40"/>
      <c r="L973" s="40"/>
      <c r="M973" s="40"/>
      <c r="N973" s="40"/>
      <c r="O973" s="40"/>
      <c r="P973" s="40"/>
      <c r="Q973" s="40"/>
      <c r="R973" s="40"/>
      <c r="S973" s="40"/>
      <c r="T973" s="40"/>
    </row>
    <row r="974" spans="1:20" ht="15.75">
      <c r="A974" s="13">
        <v>70798</v>
      </c>
      <c r="B974" s="48">
        <f t="shared" si="5"/>
        <v>31</v>
      </c>
      <c r="C974" s="39">
        <v>131.881</v>
      </c>
      <c r="D974" s="39">
        <v>277.16699999999997</v>
      </c>
      <c r="E974" s="45">
        <v>829.952</v>
      </c>
      <c r="F974" s="39">
        <v>1239</v>
      </c>
      <c r="G974" s="39">
        <v>75</v>
      </c>
      <c r="H974" s="47">
        <v>600</v>
      </c>
      <c r="I974" s="39">
        <v>695</v>
      </c>
      <c r="J974" s="39">
        <v>0</v>
      </c>
      <c r="K974" s="40"/>
      <c r="L974" s="40"/>
      <c r="M974" s="40"/>
      <c r="N974" s="40"/>
      <c r="O974" s="40"/>
      <c r="P974" s="40"/>
      <c r="Q974" s="40"/>
      <c r="R974" s="40"/>
      <c r="S974" s="40"/>
      <c r="T974" s="40"/>
    </row>
    <row r="975" spans="1:20" ht="15.75">
      <c r="A975" s="13">
        <v>70828</v>
      </c>
      <c r="B975" s="48">
        <f t="shared" si="5"/>
        <v>30</v>
      </c>
      <c r="C975" s="39">
        <v>122.58</v>
      </c>
      <c r="D975" s="39">
        <v>297.94099999999997</v>
      </c>
      <c r="E975" s="45">
        <v>729.47900000000004</v>
      </c>
      <c r="F975" s="39">
        <v>1150</v>
      </c>
      <c r="G975" s="39">
        <v>100</v>
      </c>
      <c r="H975" s="47">
        <v>600</v>
      </c>
      <c r="I975" s="39">
        <v>695</v>
      </c>
      <c r="J975" s="39">
        <v>50</v>
      </c>
      <c r="K975" s="40"/>
      <c r="L975" s="40"/>
      <c r="M975" s="40"/>
      <c r="N975" s="40"/>
      <c r="O975" s="40"/>
      <c r="P975" s="40"/>
      <c r="Q975" s="40"/>
      <c r="R975" s="40"/>
      <c r="S975" s="40"/>
      <c r="T975" s="40"/>
    </row>
    <row r="976" spans="1:20" ht="15.75">
      <c r="A976" s="13">
        <v>70859</v>
      </c>
      <c r="B976" s="48">
        <f t="shared" si="5"/>
        <v>31</v>
      </c>
      <c r="C976" s="39">
        <v>122.58</v>
      </c>
      <c r="D976" s="39">
        <v>297.94099999999997</v>
      </c>
      <c r="E976" s="45">
        <v>729.47900000000004</v>
      </c>
      <c r="F976" s="39">
        <v>1150</v>
      </c>
      <c r="G976" s="39">
        <v>100</v>
      </c>
      <c r="H976" s="47">
        <v>600</v>
      </c>
      <c r="I976" s="39">
        <v>695</v>
      </c>
      <c r="J976" s="39">
        <v>50</v>
      </c>
      <c r="K976" s="40"/>
      <c r="L976" s="40"/>
      <c r="M976" s="40"/>
      <c r="N976" s="40"/>
      <c r="O976" s="40"/>
      <c r="P976" s="40"/>
      <c r="Q976" s="40"/>
      <c r="R976" s="40"/>
      <c r="S976" s="40"/>
      <c r="T976" s="40"/>
    </row>
    <row r="977" spans="1:20" ht="15.75">
      <c r="A977" s="13">
        <v>70890</v>
      </c>
      <c r="B977" s="48">
        <f t="shared" ref="B977:B1040" si="6">EOMONTH(A977,0)-EOMONTH(A977,-1)</f>
        <v>31</v>
      </c>
      <c r="C977" s="39">
        <v>122.58</v>
      </c>
      <c r="D977" s="39">
        <v>297.94099999999997</v>
      </c>
      <c r="E977" s="45">
        <v>729.47900000000004</v>
      </c>
      <c r="F977" s="39">
        <v>1150</v>
      </c>
      <c r="G977" s="39">
        <v>100</v>
      </c>
      <c r="H977" s="47">
        <v>600</v>
      </c>
      <c r="I977" s="39">
        <v>695</v>
      </c>
      <c r="J977" s="39">
        <v>50</v>
      </c>
      <c r="K977" s="40"/>
      <c r="L977" s="40"/>
      <c r="M977" s="40"/>
      <c r="N977" s="40"/>
      <c r="O977" s="40"/>
      <c r="P977" s="40"/>
      <c r="Q977" s="40"/>
      <c r="R977" s="40"/>
      <c r="S977" s="40"/>
      <c r="T977" s="40"/>
    </row>
    <row r="978" spans="1:20" ht="15.75">
      <c r="A978" s="13">
        <v>70918</v>
      </c>
      <c r="B978" s="48">
        <f t="shared" si="6"/>
        <v>28</v>
      </c>
      <c r="C978" s="39">
        <v>122.58</v>
      </c>
      <c r="D978" s="39">
        <v>297.94099999999997</v>
      </c>
      <c r="E978" s="45">
        <v>729.47900000000004</v>
      </c>
      <c r="F978" s="39">
        <v>1150</v>
      </c>
      <c r="G978" s="39">
        <v>100</v>
      </c>
      <c r="H978" s="47">
        <v>600</v>
      </c>
      <c r="I978" s="39">
        <v>695</v>
      </c>
      <c r="J978" s="39">
        <v>50</v>
      </c>
      <c r="K978" s="40"/>
      <c r="L978" s="40"/>
      <c r="M978" s="40"/>
      <c r="N978" s="40"/>
      <c r="O978" s="40"/>
      <c r="P978" s="40"/>
      <c r="Q978" s="40"/>
      <c r="R978" s="40"/>
      <c r="S978" s="40"/>
      <c r="T978" s="40"/>
    </row>
    <row r="979" spans="1:20" ht="15.75">
      <c r="A979" s="13">
        <v>70949</v>
      </c>
      <c r="B979" s="48">
        <f t="shared" si="6"/>
        <v>31</v>
      </c>
      <c r="C979" s="39">
        <v>122.58</v>
      </c>
      <c r="D979" s="39">
        <v>297.94099999999997</v>
      </c>
      <c r="E979" s="45">
        <v>729.47900000000004</v>
      </c>
      <c r="F979" s="39">
        <v>1150</v>
      </c>
      <c r="G979" s="39">
        <v>100</v>
      </c>
      <c r="H979" s="47">
        <v>600</v>
      </c>
      <c r="I979" s="39">
        <v>695</v>
      </c>
      <c r="J979" s="39">
        <v>50</v>
      </c>
      <c r="K979" s="40"/>
      <c r="L979" s="40"/>
      <c r="M979" s="40"/>
      <c r="N979" s="40"/>
      <c r="O979" s="40"/>
      <c r="P979" s="40"/>
      <c r="Q979" s="40"/>
      <c r="R979" s="40"/>
      <c r="S979" s="40"/>
      <c r="T979" s="40"/>
    </row>
    <row r="980" spans="1:20" ht="15.75">
      <c r="A980" s="13">
        <v>70979</v>
      </c>
      <c r="B980" s="48">
        <f t="shared" si="6"/>
        <v>30</v>
      </c>
      <c r="C980" s="39">
        <v>141.29300000000001</v>
      </c>
      <c r="D980" s="39">
        <v>267.99299999999999</v>
      </c>
      <c r="E980" s="45">
        <v>829.71400000000006</v>
      </c>
      <c r="F980" s="39">
        <v>1239</v>
      </c>
      <c r="G980" s="39">
        <v>100</v>
      </c>
      <c r="H980" s="47">
        <v>600</v>
      </c>
      <c r="I980" s="39">
        <v>695</v>
      </c>
      <c r="J980" s="39">
        <v>50</v>
      </c>
      <c r="K980" s="40"/>
      <c r="L980" s="40"/>
      <c r="M980" s="40"/>
      <c r="N980" s="40"/>
      <c r="O980" s="40"/>
      <c r="P980" s="40"/>
      <c r="Q980" s="40"/>
      <c r="R980" s="40"/>
      <c r="S980" s="40"/>
      <c r="T980" s="40"/>
    </row>
    <row r="981" spans="1:20" ht="15.75">
      <c r="A981" s="13">
        <v>71010</v>
      </c>
      <c r="B981" s="48">
        <f t="shared" si="6"/>
        <v>31</v>
      </c>
      <c r="C981" s="39">
        <v>194.20500000000001</v>
      </c>
      <c r="D981" s="39">
        <v>267.46600000000001</v>
      </c>
      <c r="E981" s="45">
        <v>812.32899999999995</v>
      </c>
      <c r="F981" s="39">
        <v>1274</v>
      </c>
      <c r="G981" s="39">
        <v>75</v>
      </c>
      <c r="H981" s="47">
        <v>600</v>
      </c>
      <c r="I981" s="39">
        <v>695</v>
      </c>
      <c r="J981" s="39">
        <v>50</v>
      </c>
      <c r="K981" s="40"/>
      <c r="L981" s="40"/>
      <c r="M981" s="40"/>
      <c r="N981" s="40"/>
      <c r="O981" s="40"/>
      <c r="P981" s="40"/>
      <c r="Q981" s="40"/>
      <c r="R981" s="40"/>
      <c r="S981" s="40"/>
      <c r="T981" s="40"/>
    </row>
    <row r="982" spans="1:20" ht="15.75">
      <c r="A982" s="13">
        <v>71040</v>
      </c>
      <c r="B982" s="48">
        <f t="shared" si="6"/>
        <v>30</v>
      </c>
      <c r="C982" s="39">
        <v>194.20500000000001</v>
      </c>
      <c r="D982" s="39">
        <v>267.46600000000001</v>
      </c>
      <c r="E982" s="45">
        <v>812.32899999999995</v>
      </c>
      <c r="F982" s="39">
        <v>1274</v>
      </c>
      <c r="G982" s="39">
        <v>50</v>
      </c>
      <c r="H982" s="47">
        <v>600</v>
      </c>
      <c r="I982" s="39">
        <v>695</v>
      </c>
      <c r="J982" s="39">
        <v>50</v>
      </c>
      <c r="K982" s="40"/>
      <c r="L982" s="40"/>
      <c r="M982" s="40"/>
      <c r="N982" s="40"/>
      <c r="O982" s="40"/>
      <c r="P982" s="40"/>
      <c r="Q982" s="40"/>
      <c r="R982" s="40"/>
      <c r="S982" s="40"/>
      <c r="T982" s="40"/>
    </row>
    <row r="983" spans="1:20" ht="15.75">
      <c r="A983" s="13">
        <v>71071</v>
      </c>
      <c r="B983" s="48">
        <f t="shared" si="6"/>
        <v>31</v>
      </c>
      <c r="C983" s="39">
        <v>194.20500000000001</v>
      </c>
      <c r="D983" s="39">
        <v>267.46600000000001</v>
      </c>
      <c r="E983" s="45">
        <v>812.32899999999995</v>
      </c>
      <c r="F983" s="39">
        <v>1274</v>
      </c>
      <c r="G983" s="39">
        <v>50</v>
      </c>
      <c r="H983" s="47">
        <v>600</v>
      </c>
      <c r="I983" s="39">
        <v>695</v>
      </c>
      <c r="J983" s="39">
        <v>0</v>
      </c>
      <c r="K983" s="40"/>
      <c r="L983" s="40"/>
      <c r="M983" s="40"/>
      <c r="N983" s="40"/>
      <c r="O983" s="40"/>
      <c r="P983" s="40"/>
      <c r="Q983" s="40"/>
      <c r="R983" s="40"/>
      <c r="S983" s="40"/>
      <c r="T983" s="40"/>
    </row>
    <row r="984" spans="1:20" ht="15.75">
      <c r="A984" s="13">
        <v>71102</v>
      </c>
      <c r="B984" s="48">
        <f t="shared" si="6"/>
        <v>31</v>
      </c>
      <c r="C984" s="39">
        <v>194.20500000000001</v>
      </c>
      <c r="D984" s="39">
        <v>267.46600000000001</v>
      </c>
      <c r="E984" s="45">
        <v>812.32899999999995</v>
      </c>
      <c r="F984" s="39">
        <v>1274</v>
      </c>
      <c r="G984" s="39">
        <v>50</v>
      </c>
      <c r="H984" s="47">
        <v>600</v>
      </c>
      <c r="I984" s="39">
        <v>695</v>
      </c>
      <c r="J984" s="39">
        <v>0</v>
      </c>
      <c r="K984" s="40"/>
      <c r="L984" s="40"/>
      <c r="M984" s="40"/>
      <c r="N984" s="40"/>
      <c r="O984" s="40"/>
      <c r="P984" s="40"/>
      <c r="Q984" s="40"/>
      <c r="R984" s="40"/>
      <c r="S984" s="40"/>
      <c r="T984" s="40"/>
    </row>
    <row r="985" spans="1:20" ht="15.75">
      <c r="A985" s="13">
        <v>71132</v>
      </c>
      <c r="B985" s="48">
        <f t="shared" si="6"/>
        <v>30</v>
      </c>
      <c r="C985" s="39">
        <v>194.20500000000001</v>
      </c>
      <c r="D985" s="39">
        <v>267.46600000000001</v>
      </c>
      <c r="E985" s="45">
        <v>812.32899999999995</v>
      </c>
      <c r="F985" s="39">
        <v>1274</v>
      </c>
      <c r="G985" s="39">
        <v>50</v>
      </c>
      <c r="H985" s="47">
        <v>600</v>
      </c>
      <c r="I985" s="39">
        <v>695</v>
      </c>
      <c r="J985" s="39">
        <v>0</v>
      </c>
      <c r="K985" s="40"/>
      <c r="L985" s="40"/>
      <c r="M985" s="40"/>
      <c r="N985" s="40"/>
      <c r="O985" s="40"/>
      <c r="P985" s="40"/>
      <c r="Q985" s="40"/>
      <c r="R985" s="40"/>
      <c r="S985" s="40"/>
      <c r="T985" s="40"/>
    </row>
    <row r="986" spans="1:20" ht="15.75">
      <c r="A986" s="13">
        <v>71163</v>
      </c>
      <c r="B986" s="48">
        <f t="shared" si="6"/>
        <v>31</v>
      </c>
      <c r="C986" s="39">
        <v>131.881</v>
      </c>
      <c r="D986" s="39">
        <v>277.16699999999997</v>
      </c>
      <c r="E986" s="45">
        <v>829.952</v>
      </c>
      <c r="F986" s="39">
        <v>1239</v>
      </c>
      <c r="G986" s="39">
        <v>75</v>
      </c>
      <c r="H986" s="47">
        <v>600</v>
      </c>
      <c r="I986" s="39">
        <v>695</v>
      </c>
      <c r="J986" s="39">
        <v>0</v>
      </c>
      <c r="K986" s="40"/>
      <c r="L986" s="40"/>
      <c r="M986" s="40"/>
      <c r="N986" s="40"/>
      <c r="O986" s="40"/>
      <c r="P986" s="40"/>
      <c r="Q986" s="40"/>
      <c r="R986" s="40"/>
      <c r="S986" s="40"/>
      <c r="T986" s="40"/>
    </row>
    <row r="987" spans="1:20" ht="15.75">
      <c r="A987" s="13">
        <v>71193</v>
      </c>
      <c r="B987" s="48">
        <f t="shared" si="6"/>
        <v>30</v>
      </c>
      <c r="C987" s="39">
        <v>122.58</v>
      </c>
      <c r="D987" s="39">
        <v>297.94099999999997</v>
      </c>
      <c r="E987" s="45">
        <v>729.47900000000004</v>
      </c>
      <c r="F987" s="39">
        <v>1150</v>
      </c>
      <c r="G987" s="39">
        <v>100</v>
      </c>
      <c r="H987" s="47">
        <v>600</v>
      </c>
      <c r="I987" s="39">
        <v>695</v>
      </c>
      <c r="J987" s="39">
        <v>50</v>
      </c>
      <c r="K987" s="40"/>
      <c r="L987" s="40"/>
      <c r="M987" s="40"/>
      <c r="N987" s="40"/>
      <c r="O987" s="40"/>
      <c r="P987" s="40"/>
      <c r="Q987" s="40"/>
      <c r="R987" s="40"/>
      <c r="S987" s="40"/>
      <c r="T987" s="40"/>
    </row>
    <row r="988" spans="1:20" ht="15.75">
      <c r="A988" s="13">
        <v>71224</v>
      </c>
      <c r="B988" s="48">
        <f t="shared" si="6"/>
        <v>31</v>
      </c>
      <c r="C988" s="39">
        <v>122.58</v>
      </c>
      <c r="D988" s="39">
        <v>297.94099999999997</v>
      </c>
      <c r="E988" s="45">
        <v>729.47900000000004</v>
      </c>
      <c r="F988" s="39">
        <v>1150</v>
      </c>
      <c r="G988" s="39">
        <v>100</v>
      </c>
      <c r="H988" s="47">
        <v>600</v>
      </c>
      <c r="I988" s="39">
        <v>695</v>
      </c>
      <c r="J988" s="39">
        <v>50</v>
      </c>
      <c r="K988" s="40"/>
      <c r="L988" s="40"/>
      <c r="M988" s="40"/>
      <c r="N988" s="40"/>
      <c r="O988" s="40"/>
      <c r="P988" s="40"/>
      <c r="Q988" s="40"/>
      <c r="R988" s="40"/>
      <c r="S988" s="40"/>
      <c r="T988" s="40"/>
    </row>
    <row r="989" spans="1:20" ht="15.75">
      <c r="A989" s="13">
        <v>71255</v>
      </c>
      <c r="B989" s="48">
        <f t="shared" si="6"/>
        <v>31</v>
      </c>
      <c r="C989" s="39">
        <v>122.58</v>
      </c>
      <c r="D989" s="39">
        <v>297.94099999999997</v>
      </c>
      <c r="E989" s="45">
        <v>729.47900000000004</v>
      </c>
      <c r="F989" s="39">
        <v>1150</v>
      </c>
      <c r="G989" s="39">
        <v>100</v>
      </c>
      <c r="H989" s="47">
        <v>600</v>
      </c>
      <c r="I989" s="39">
        <v>695</v>
      </c>
      <c r="J989" s="39">
        <v>50</v>
      </c>
      <c r="K989" s="40"/>
      <c r="L989" s="40"/>
      <c r="M989" s="40"/>
      <c r="N989" s="40"/>
      <c r="O989" s="40"/>
      <c r="P989" s="40"/>
      <c r="Q989" s="40"/>
      <c r="R989" s="40"/>
      <c r="S989" s="40"/>
      <c r="T989" s="40"/>
    </row>
    <row r="990" spans="1:20" ht="15.75">
      <c r="A990" s="13">
        <v>71283</v>
      </c>
      <c r="B990" s="48">
        <f t="shared" si="6"/>
        <v>28</v>
      </c>
      <c r="C990" s="39">
        <v>122.58</v>
      </c>
      <c r="D990" s="39">
        <v>297.94099999999997</v>
      </c>
      <c r="E990" s="45">
        <v>729.47900000000004</v>
      </c>
      <c r="F990" s="39">
        <v>1150</v>
      </c>
      <c r="G990" s="39">
        <v>100</v>
      </c>
      <c r="H990" s="47">
        <v>600</v>
      </c>
      <c r="I990" s="39">
        <v>695</v>
      </c>
      <c r="J990" s="39">
        <v>50</v>
      </c>
      <c r="K990" s="40"/>
      <c r="L990" s="40"/>
      <c r="M990" s="40"/>
      <c r="N990" s="40"/>
      <c r="O990" s="40"/>
      <c r="P990" s="40"/>
      <c r="Q990" s="40"/>
      <c r="R990" s="40"/>
      <c r="S990" s="40"/>
      <c r="T990" s="40"/>
    </row>
    <row r="991" spans="1:20" ht="15.75">
      <c r="A991" s="13">
        <v>71314</v>
      </c>
      <c r="B991" s="48">
        <f t="shared" si="6"/>
        <v>31</v>
      </c>
      <c r="C991" s="39">
        <v>122.58</v>
      </c>
      <c r="D991" s="39">
        <v>297.94099999999997</v>
      </c>
      <c r="E991" s="45">
        <v>729.47900000000004</v>
      </c>
      <c r="F991" s="39">
        <v>1150</v>
      </c>
      <c r="G991" s="39">
        <v>100</v>
      </c>
      <c r="H991" s="47">
        <v>600</v>
      </c>
      <c r="I991" s="39">
        <v>695</v>
      </c>
      <c r="J991" s="39">
        <v>50</v>
      </c>
      <c r="K991" s="40"/>
      <c r="L991" s="40"/>
      <c r="M991" s="40"/>
      <c r="N991" s="40"/>
      <c r="O991" s="40"/>
      <c r="P991" s="40"/>
      <c r="Q991" s="40"/>
      <c r="R991" s="40"/>
      <c r="S991" s="40"/>
      <c r="T991" s="40"/>
    </row>
    <row r="992" spans="1:20" ht="15.75">
      <c r="A992" s="13">
        <v>71344</v>
      </c>
      <c r="B992" s="48">
        <f t="shared" si="6"/>
        <v>30</v>
      </c>
      <c r="C992" s="39">
        <v>141.29300000000001</v>
      </c>
      <c r="D992" s="39">
        <v>267.99299999999999</v>
      </c>
      <c r="E992" s="45">
        <v>829.71400000000006</v>
      </c>
      <c r="F992" s="39">
        <v>1239</v>
      </c>
      <c r="G992" s="39">
        <v>100</v>
      </c>
      <c r="H992" s="47">
        <v>600</v>
      </c>
      <c r="I992" s="39">
        <v>695</v>
      </c>
      <c r="J992" s="39">
        <v>50</v>
      </c>
      <c r="K992" s="40"/>
      <c r="L992" s="40"/>
      <c r="M992" s="40"/>
      <c r="N992" s="40"/>
      <c r="O992" s="40"/>
      <c r="P992" s="40"/>
      <c r="Q992" s="40"/>
      <c r="R992" s="40"/>
      <c r="S992" s="40"/>
      <c r="T992" s="40"/>
    </row>
    <row r="993" spans="1:20" ht="15.75">
      <c r="A993" s="13">
        <v>71375</v>
      </c>
      <c r="B993" s="48">
        <f t="shared" si="6"/>
        <v>31</v>
      </c>
      <c r="C993" s="39">
        <v>194.20500000000001</v>
      </c>
      <c r="D993" s="39">
        <v>267.46600000000001</v>
      </c>
      <c r="E993" s="45">
        <v>812.32899999999995</v>
      </c>
      <c r="F993" s="39">
        <v>1274</v>
      </c>
      <c r="G993" s="39">
        <v>75</v>
      </c>
      <c r="H993" s="47">
        <v>600</v>
      </c>
      <c r="I993" s="39">
        <v>695</v>
      </c>
      <c r="J993" s="39">
        <v>50</v>
      </c>
      <c r="K993" s="40"/>
      <c r="L993" s="40"/>
      <c r="M993" s="40"/>
      <c r="N993" s="40"/>
      <c r="O993" s="40"/>
      <c r="P993" s="40"/>
      <c r="Q993" s="40"/>
      <c r="R993" s="40"/>
      <c r="S993" s="40"/>
      <c r="T993" s="40"/>
    </row>
    <row r="994" spans="1:20" ht="15.75">
      <c r="A994" s="13">
        <v>71405</v>
      </c>
      <c r="B994" s="48">
        <f t="shared" si="6"/>
        <v>30</v>
      </c>
      <c r="C994" s="39">
        <v>194.20500000000001</v>
      </c>
      <c r="D994" s="39">
        <v>267.46600000000001</v>
      </c>
      <c r="E994" s="45">
        <v>812.32899999999995</v>
      </c>
      <c r="F994" s="39">
        <v>1274</v>
      </c>
      <c r="G994" s="39">
        <v>50</v>
      </c>
      <c r="H994" s="47">
        <v>600</v>
      </c>
      <c r="I994" s="39">
        <v>695</v>
      </c>
      <c r="J994" s="39">
        <v>50</v>
      </c>
      <c r="K994" s="40"/>
      <c r="L994" s="40"/>
      <c r="M994" s="40"/>
      <c r="N994" s="40"/>
      <c r="O994" s="40"/>
      <c r="P994" s="40"/>
      <c r="Q994" s="40"/>
      <c r="R994" s="40"/>
      <c r="S994" s="40"/>
      <c r="T994" s="40"/>
    </row>
    <row r="995" spans="1:20" ht="15.75">
      <c r="A995" s="13">
        <v>71436</v>
      </c>
      <c r="B995" s="48">
        <f t="shared" si="6"/>
        <v>31</v>
      </c>
      <c r="C995" s="39">
        <v>194.20500000000001</v>
      </c>
      <c r="D995" s="39">
        <v>267.46600000000001</v>
      </c>
      <c r="E995" s="45">
        <v>812.32899999999995</v>
      </c>
      <c r="F995" s="39">
        <v>1274</v>
      </c>
      <c r="G995" s="39">
        <v>50</v>
      </c>
      <c r="H995" s="47">
        <v>600</v>
      </c>
      <c r="I995" s="39">
        <v>695</v>
      </c>
      <c r="J995" s="39">
        <v>0</v>
      </c>
      <c r="K995" s="40"/>
      <c r="L995" s="40"/>
      <c r="M995" s="40"/>
      <c r="N995" s="40"/>
      <c r="O995" s="40"/>
      <c r="P995" s="40"/>
      <c r="Q995" s="40"/>
      <c r="R995" s="40"/>
      <c r="S995" s="40"/>
      <c r="T995" s="40"/>
    </row>
    <row r="996" spans="1:20" ht="15.75">
      <c r="A996" s="13">
        <v>71467</v>
      </c>
      <c r="B996" s="48">
        <f t="shared" si="6"/>
        <v>31</v>
      </c>
      <c r="C996" s="39">
        <v>194.20500000000001</v>
      </c>
      <c r="D996" s="39">
        <v>267.46600000000001</v>
      </c>
      <c r="E996" s="45">
        <v>812.32899999999995</v>
      </c>
      <c r="F996" s="39">
        <v>1274</v>
      </c>
      <c r="G996" s="39">
        <v>50</v>
      </c>
      <c r="H996" s="47">
        <v>600</v>
      </c>
      <c r="I996" s="39">
        <v>695</v>
      </c>
      <c r="J996" s="39">
        <v>0</v>
      </c>
      <c r="K996" s="40"/>
      <c r="L996" s="40"/>
      <c r="M996" s="40"/>
      <c r="N996" s="40"/>
      <c r="O996" s="40"/>
      <c r="P996" s="40"/>
      <c r="Q996" s="40"/>
      <c r="R996" s="40"/>
      <c r="S996" s="40"/>
      <c r="T996" s="40"/>
    </row>
    <row r="997" spans="1:20" ht="15.75">
      <c r="A997" s="13">
        <v>71497</v>
      </c>
      <c r="B997" s="48">
        <f t="shared" si="6"/>
        <v>30</v>
      </c>
      <c r="C997" s="39">
        <v>194.20500000000001</v>
      </c>
      <c r="D997" s="39">
        <v>267.46600000000001</v>
      </c>
      <c r="E997" s="45">
        <v>812.32899999999995</v>
      </c>
      <c r="F997" s="39">
        <v>1274</v>
      </c>
      <c r="G997" s="39">
        <v>50</v>
      </c>
      <c r="H997" s="47">
        <v>600</v>
      </c>
      <c r="I997" s="39">
        <v>695</v>
      </c>
      <c r="J997" s="39">
        <v>0</v>
      </c>
      <c r="K997" s="40"/>
      <c r="L997" s="40"/>
      <c r="M997" s="40"/>
      <c r="N997" s="40"/>
      <c r="O997" s="40"/>
      <c r="P997" s="40"/>
      <c r="Q997" s="40"/>
      <c r="R997" s="40"/>
      <c r="S997" s="40"/>
      <c r="T997" s="40"/>
    </row>
    <row r="998" spans="1:20" ht="15.75">
      <c r="A998" s="13">
        <v>71528</v>
      </c>
      <c r="B998" s="48">
        <f t="shared" si="6"/>
        <v>31</v>
      </c>
      <c r="C998" s="39">
        <v>131.881</v>
      </c>
      <c r="D998" s="39">
        <v>277.16699999999997</v>
      </c>
      <c r="E998" s="45">
        <v>829.952</v>
      </c>
      <c r="F998" s="39">
        <v>1239</v>
      </c>
      <c r="G998" s="39">
        <v>75</v>
      </c>
      <c r="H998" s="47">
        <v>600</v>
      </c>
      <c r="I998" s="39">
        <v>695</v>
      </c>
      <c r="J998" s="39">
        <v>0</v>
      </c>
      <c r="K998" s="40"/>
      <c r="L998" s="40"/>
      <c r="M998" s="40"/>
      <c r="N998" s="40"/>
      <c r="O998" s="40"/>
      <c r="P998" s="40"/>
      <c r="Q998" s="40"/>
      <c r="R998" s="40"/>
      <c r="S998" s="40"/>
      <c r="T998" s="40"/>
    </row>
    <row r="999" spans="1:20" ht="15.75">
      <c r="A999" s="13">
        <v>71558</v>
      </c>
      <c r="B999" s="48">
        <f t="shared" si="6"/>
        <v>30</v>
      </c>
      <c r="C999" s="39">
        <v>122.58</v>
      </c>
      <c r="D999" s="39">
        <v>297.94099999999997</v>
      </c>
      <c r="E999" s="45">
        <v>729.47900000000004</v>
      </c>
      <c r="F999" s="39">
        <v>1150</v>
      </c>
      <c r="G999" s="39">
        <v>100</v>
      </c>
      <c r="H999" s="47">
        <v>600</v>
      </c>
      <c r="I999" s="39">
        <v>695</v>
      </c>
      <c r="J999" s="39">
        <v>50</v>
      </c>
      <c r="K999" s="40"/>
      <c r="L999" s="40"/>
      <c r="M999" s="40"/>
      <c r="N999" s="40"/>
      <c r="O999" s="40"/>
      <c r="P999" s="40"/>
      <c r="Q999" s="40"/>
      <c r="R999" s="40"/>
      <c r="S999" s="40"/>
      <c r="T999" s="40"/>
    </row>
    <row r="1000" spans="1:20" ht="15.75">
      <c r="A1000" s="13">
        <v>71589</v>
      </c>
      <c r="B1000" s="48">
        <f t="shared" si="6"/>
        <v>31</v>
      </c>
      <c r="C1000" s="39">
        <v>122.58</v>
      </c>
      <c r="D1000" s="39">
        <v>297.94099999999997</v>
      </c>
      <c r="E1000" s="45">
        <v>729.47900000000004</v>
      </c>
      <c r="F1000" s="39">
        <v>1150</v>
      </c>
      <c r="G1000" s="39">
        <v>100</v>
      </c>
      <c r="H1000" s="47">
        <v>600</v>
      </c>
      <c r="I1000" s="39">
        <v>695</v>
      </c>
      <c r="J1000" s="39">
        <v>50</v>
      </c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</row>
    <row r="1001" spans="1:20" ht="15.75">
      <c r="A1001" s="13">
        <v>71620</v>
      </c>
      <c r="B1001" s="48">
        <f t="shared" si="6"/>
        <v>31</v>
      </c>
      <c r="C1001" s="39">
        <v>122.58</v>
      </c>
      <c r="D1001" s="39">
        <v>297.94099999999997</v>
      </c>
      <c r="E1001" s="45">
        <v>729.47900000000004</v>
      </c>
      <c r="F1001" s="39">
        <v>1150</v>
      </c>
      <c r="G1001" s="39">
        <v>100</v>
      </c>
      <c r="H1001" s="47">
        <v>600</v>
      </c>
      <c r="I1001" s="39">
        <v>695</v>
      </c>
      <c r="J1001" s="39">
        <v>50</v>
      </c>
      <c r="K1001" s="40"/>
      <c r="L1001" s="40"/>
      <c r="M1001" s="40"/>
      <c r="N1001" s="40"/>
      <c r="O1001" s="40"/>
      <c r="P1001" s="40"/>
      <c r="Q1001" s="40"/>
      <c r="R1001" s="40"/>
      <c r="S1001" s="40"/>
      <c r="T1001" s="40"/>
    </row>
    <row r="1002" spans="1:20" ht="15.75">
      <c r="A1002" s="13">
        <v>71649</v>
      </c>
      <c r="B1002" s="48">
        <f t="shared" si="6"/>
        <v>29</v>
      </c>
      <c r="C1002" s="39">
        <v>122.58</v>
      </c>
      <c r="D1002" s="39">
        <v>297.94099999999997</v>
      </c>
      <c r="E1002" s="45">
        <v>729.47900000000004</v>
      </c>
      <c r="F1002" s="39">
        <v>1150</v>
      </c>
      <c r="G1002" s="39">
        <v>100</v>
      </c>
      <c r="H1002" s="47">
        <v>600</v>
      </c>
      <c r="I1002" s="39">
        <v>695</v>
      </c>
      <c r="J1002" s="39">
        <v>50</v>
      </c>
      <c r="K1002" s="40"/>
      <c r="L1002" s="40"/>
      <c r="M1002" s="40"/>
      <c r="N1002" s="40"/>
      <c r="O1002" s="40"/>
      <c r="P1002" s="40"/>
      <c r="Q1002" s="40"/>
      <c r="R1002" s="40"/>
      <c r="S1002" s="40"/>
      <c r="T1002" s="40"/>
    </row>
    <row r="1003" spans="1:20" ht="15.75">
      <c r="A1003" s="13">
        <v>71680</v>
      </c>
      <c r="B1003" s="48">
        <f t="shared" si="6"/>
        <v>31</v>
      </c>
      <c r="C1003" s="39">
        <v>122.58</v>
      </c>
      <c r="D1003" s="39">
        <v>297.94099999999997</v>
      </c>
      <c r="E1003" s="45">
        <v>729.47900000000004</v>
      </c>
      <c r="F1003" s="39">
        <v>1150</v>
      </c>
      <c r="G1003" s="39">
        <v>100</v>
      </c>
      <c r="H1003" s="47">
        <v>600</v>
      </c>
      <c r="I1003" s="39">
        <v>695</v>
      </c>
      <c r="J1003" s="39">
        <v>50</v>
      </c>
      <c r="K1003" s="40"/>
      <c r="L1003" s="40"/>
      <c r="M1003" s="40"/>
      <c r="N1003" s="40"/>
      <c r="O1003" s="40"/>
      <c r="P1003" s="40"/>
      <c r="Q1003" s="40"/>
      <c r="R1003" s="40"/>
      <c r="S1003" s="40"/>
      <c r="T1003" s="40"/>
    </row>
    <row r="1004" spans="1:20" ht="15.75">
      <c r="A1004" s="13">
        <v>71710</v>
      </c>
      <c r="B1004" s="48">
        <f t="shared" si="6"/>
        <v>30</v>
      </c>
      <c r="C1004" s="39">
        <v>141.29300000000001</v>
      </c>
      <c r="D1004" s="39">
        <v>267.99299999999999</v>
      </c>
      <c r="E1004" s="45">
        <v>829.71400000000006</v>
      </c>
      <c r="F1004" s="39">
        <v>1239</v>
      </c>
      <c r="G1004" s="39">
        <v>100</v>
      </c>
      <c r="H1004" s="47">
        <v>600</v>
      </c>
      <c r="I1004" s="39">
        <v>695</v>
      </c>
      <c r="J1004" s="39">
        <v>50</v>
      </c>
      <c r="K1004" s="40"/>
      <c r="L1004" s="40"/>
      <c r="M1004" s="40"/>
      <c r="N1004" s="40"/>
      <c r="O1004" s="40"/>
      <c r="P1004" s="40"/>
      <c r="Q1004" s="40"/>
      <c r="R1004" s="40"/>
      <c r="S1004" s="40"/>
      <c r="T1004" s="40"/>
    </row>
    <row r="1005" spans="1:20" ht="15.75">
      <c r="A1005" s="13">
        <v>71741</v>
      </c>
      <c r="B1005" s="48">
        <f t="shared" si="6"/>
        <v>31</v>
      </c>
      <c r="C1005" s="39">
        <v>194.20500000000001</v>
      </c>
      <c r="D1005" s="39">
        <v>267.46600000000001</v>
      </c>
      <c r="E1005" s="45">
        <v>812.32899999999995</v>
      </c>
      <c r="F1005" s="39">
        <v>1274</v>
      </c>
      <c r="G1005" s="39">
        <v>75</v>
      </c>
      <c r="H1005" s="47">
        <v>600</v>
      </c>
      <c r="I1005" s="39">
        <v>695</v>
      </c>
      <c r="J1005" s="39">
        <v>50</v>
      </c>
      <c r="K1005" s="40"/>
      <c r="L1005" s="40"/>
      <c r="M1005" s="40"/>
      <c r="N1005" s="40"/>
      <c r="O1005" s="40"/>
      <c r="P1005" s="40"/>
      <c r="Q1005" s="40"/>
      <c r="R1005" s="40"/>
      <c r="S1005" s="40"/>
      <c r="T1005" s="40"/>
    </row>
    <row r="1006" spans="1:20" ht="15.75">
      <c r="A1006" s="13">
        <v>71771</v>
      </c>
      <c r="B1006" s="48">
        <f t="shared" si="6"/>
        <v>30</v>
      </c>
      <c r="C1006" s="39">
        <v>194.20500000000001</v>
      </c>
      <c r="D1006" s="39">
        <v>267.46600000000001</v>
      </c>
      <c r="E1006" s="45">
        <v>812.32899999999995</v>
      </c>
      <c r="F1006" s="39">
        <v>1274</v>
      </c>
      <c r="G1006" s="39">
        <v>50</v>
      </c>
      <c r="H1006" s="47">
        <v>600</v>
      </c>
      <c r="I1006" s="39">
        <v>695</v>
      </c>
      <c r="J1006" s="39">
        <v>50</v>
      </c>
      <c r="K1006" s="40"/>
      <c r="L1006" s="40"/>
      <c r="M1006" s="40"/>
      <c r="N1006" s="40"/>
      <c r="O1006" s="40"/>
      <c r="P1006" s="40"/>
      <c r="Q1006" s="40"/>
      <c r="R1006" s="40"/>
      <c r="S1006" s="40"/>
      <c r="T1006" s="40"/>
    </row>
    <row r="1007" spans="1:20" ht="15.75">
      <c r="A1007" s="13">
        <v>71802</v>
      </c>
      <c r="B1007" s="48">
        <f t="shared" si="6"/>
        <v>31</v>
      </c>
      <c r="C1007" s="39">
        <v>194.20500000000001</v>
      </c>
      <c r="D1007" s="39">
        <v>267.46600000000001</v>
      </c>
      <c r="E1007" s="45">
        <v>812.32899999999995</v>
      </c>
      <c r="F1007" s="39">
        <v>1274</v>
      </c>
      <c r="G1007" s="39">
        <v>50</v>
      </c>
      <c r="H1007" s="47">
        <v>600</v>
      </c>
      <c r="I1007" s="39">
        <v>695</v>
      </c>
      <c r="J1007" s="39">
        <v>0</v>
      </c>
      <c r="K1007" s="40"/>
      <c r="L1007" s="40"/>
      <c r="M1007" s="40"/>
      <c r="N1007" s="40"/>
      <c r="O1007" s="40"/>
      <c r="P1007" s="40"/>
      <c r="Q1007" s="40"/>
      <c r="R1007" s="40"/>
      <c r="S1007" s="40"/>
      <c r="T1007" s="40"/>
    </row>
    <row r="1008" spans="1:20" ht="15.75">
      <c r="A1008" s="13">
        <v>71833</v>
      </c>
      <c r="B1008" s="48">
        <f t="shared" si="6"/>
        <v>31</v>
      </c>
      <c r="C1008" s="39">
        <v>194.20500000000001</v>
      </c>
      <c r="D1008" s="39">
        <v>267.46600000000001</v>
      </c>
      <c r="E1008" s="45">
        <v>812.32899999999995</v>
      </c>
      <c r="F1008" s="39">
        <v>1274</v>
      </c>
      <c r="G1008" s="39">
        <v>50</v>
      </c>
      <c r="H1008" s="47">
        <v>600</v>
      </c>
      <c r="I1008" s="39">
        <v>695</v>
      </c>
      <c r="J1008" s="39">
        <v>0</v>
      </c>
      <c r="K1008" s="40"/>
      <c r="L1008" s="40"/>
      <c r="M1008" s="40"/>
      <c r="N1008" s="40"/>
      <c r="O1008" s="40"/>
      <c r="P1008" s="40"/>
      <c r="Q1008" s="40"/>
      <c r="R1008" s="40"/>
      <c r="S1008" s="40"/>
      <c r="T1008" s="40"/>
    </row>
    <row r="1009" spans="1:20" ht="15.75">
      <c r="A1009" s="13">
        <v>71863</v>
      </c>
      <c r="B1009" s="48">
        <f t="shared" si="6"/>
        <v>30</v>
      </c>
      <c r="C1009" s="39">
        <v>194.20500000000001</v>
      </c>
      <c r="D1009" s="39">
        <v>267.46600000000001</v>
      </c>
      <c r="E1009" s="45">
        <v>812.32899999999995</v>
      </c>
      <c r="F1009" s="39">
        <v>1274</v>
      </c>
      <c r="G1009" s="39">
        <v>50</v>
      </c>
      <c r="H1009" s="47">
        <v>600</v>
      </c>
      <c r="I1009" s="39">
        <v>695</v>
      </c>
      <c r="J1009" s="39">
        <v>0</v>
      </c>
      <c r="K1009" s="40"/>
      <c r="L1009" s="40"/>
      <c r="M1009" s="40"/>
      <c r="N1009" s="40"/>
      <c r="O1009" s="40"/>
      <c r="P1009" s="40"/>
      <c r="Q1009" s="40"/>
      <c r="R1009" s="40"/>
      <c r="S1009" s="40"/>
      <c r="T1009" s="40"/>
    </row>
    <row r="1010" spans="1:20" ht="15.75">
      <c r="A1010" s="13">
        <v>71894</v>
      </c>
      <c r="B1010" s="48">
        <f t="shared" si="6"/>
        <v>31</v>
      </c>
      <c r="C1010" s="39">
        <v>131.881</v>
      </c>
      <c r="D1010" s="39">
        <v>277.16699999999997</v>
      </c>
      <c r="E1010" s="45">
        <v>829.952</v>
      </c>
      <c r="F1010" s="39">
        <v>1239</v>
      </c>
      <c r="G1010" s="39">
        <v>75</v>
      </c>
      <c r="H1010" s="47">
        <v>600</v>
      </c>
      <c r="I1010" s="39">
        <v>695</v>
      </c>
      <c r="J1010" s="39">
        <v>0</v>
      </c>
      <c r="K1010" s="40"/>
      <c r="L1010" s="40"/>
      <c r="M1010" s="40"/>
      <c r="N1010" s="40"/>
      <c r="O1010" s="40"/>
      <c r="P1010" s="40"/>
      <c r="Q1010" s="40"/>
      <c r="R1010" s="40"/>
      <c r="S1010" s="40"/>
      <c r="T1010" s="40"/>
    </row>
    <row r="1011" spans="1:20" ht="15.75">
      <c r="A1011" s="13">
        <v>71924</v>
      </c>
      <c r="B1011" s="48">
        <f t="shared" si="6"/>
        <v>30</v>
      </c>
      <c r="C1011" s="39">
        <v>122.58</v>
      </c>
      <c r="D1011" s="39">
        <v>297.94099999999997</v>
      </c>
      <c r="E1011" s="45">
        <v>729.47900000000004</v>
      </c>
      <c r="F1011" s="39">
        <v>1150</v>
      </c>
      <c r="G1011" s="39">
        <v>100</v>
      </c>
      <c r="H1011" s="47">
        <v>600</v>
      </c>
      <c r="I1011" s="39">
        <v>695</v>
      </c>
      <c r="J1011" s="39">
        <v>50</v>
      </c>
      <c r="K1011" s="40"/>
      <c r="L1011" s="40"/>
      <c r="M1011" s="40"/>
      <c r="N1011" s="40"/>
      <c r="O1011" s="40"/>
      <c r="P1011" s="40"/>
      <c r="Q1011" s="40"/>
      <c r="R1011" s="40"/>
      <c r="S1011" s="40"/>
      <c r="T1011" s="40"/>
    </row>
    <row r="1012" spans="1:20" ht="15.75">
      <c r="A1012" s="13">
        <v>71955</v>
      </c>
      <c r="B1012" s="48">
        <f t="shared" si="6"/>
        <v>31</v>
      </c>
      <c r="C1012" s="39">
        <v>122.58</v>
      </c>
      <c r="D1012" s="39">
        <v>297.94099999999997</v>
      </c>
      <c r="E1012" s="45">
        <v>729.47900000000004</v>
      </c>
      <c r="F1012" s="39">
        <v>1150</v>
      </c>
      <c r="G1012" s="39">
        <v>100</v>
      </c>
      <c r="H1012" s="47">
        <v>600</v>
      </c>
      <c r="I1012" s="39">
        <v>695</v>
      </c>
      <c r="J1012" s="39">
        <v>50</v>
      </c>
      <c r="K1012" s="40"/>
      <c r="L1012" s="40"/>
      <c r="M1012" s="40"/>
      <c r="N1012" s="40"/>
      <c r="O1012" s="40"/>
      <c r="P1012" s="40"/>
      <c r="Q1012" s="40"/>
      <c r="R1012" s="40"/>
      <c r="S1012" s="40"/>
      <c r="T1012" s="40"/>
    </row>
    <row r="1013" spans="1:20" ht="15.75">
      <c r="A1013" s="13">
        <v>71986</v>
      </c>
      <c r="B1013" s="48">
        <f t="shared" si="6"/>
        <v>31</v>
      </c>
      <c r="C1013" s="39">
        <v>122.58</v>
      </c>
      <c r="D1013" s="39">
        <v>297.94099999999997</v>
      </c>
      <c r="E1013" s="45">
        <v>729.47900000000004</v>
      </c>
      <c r="F1013" s="39">
        <v>1150</v>
      </c>
      <c r="G1013" s="39">
        <v>100</v>
      </c>
      <c r="H1013" s="47">
        <v>600</v>
      </c>
      <c r="I1013" s="39">
        <v>695</v>
      </c>
      <c r="J1013" s="39">
        <v>50</v>
      </c>
      <c r="K1013" s="40"/>
      <c r="L1013" s="40"/>
      <c r="M1013" s="40"/>
      <c r="N1013" s="40"/>
      <c r="O1013" s="40"/>
      <c r="P1013" s="40"/>
      <c r="Q1013" s="40"/>
      <c r="R1013" s="40"/>
      <c r="S1013" s="40"/>
      <c r="T1013" s="40"/>
    </row>
    <row r="1014" spans="1:20" ht="15.75">
      <c r="A1014" s="13">
        <v>72014</v>
      </c>
      <c r="B1014" s="48">
        <f t="shared" si="6"/>
        <v>28</v>
      </c>
      <c r="C1014" s="39">
        <v>122.58</v>
      </c>
      <c r="D1014" s="39">
        <v>297.94099999999997</v>
      </c>
      <c r="E1014" s="45">
        <v>729.47900000000004</v>
      </c>
      <c r="F1014" s="39">
        <v>1150</v>
      </c>
      <c r="G1014" s="39">
        <v>100</v>
      </c>
      <c r="H1014" s="47">
        <v>600</v>
      </c>
      <c r="I1014" s="39">
        <v>695</v>
      </c>
      <c r="J1014" s="39">
        <v>50</v>
      </c>
      <c r="K1014" s="40"/>
      <c r="L1014" s="40"/>
      <c r="M1014" s="40"/>
      <c r="N1014" s="40"/>
      <c r="O1014" s="40"/>
      <c r="P1014" s="40"/>
      <c r="Q1014" s="40"/>
      <c r="R1014" s="40"/>
      <c r="S1014" s="40"/>
      <c r="T1014" s="40"/>
    </row>
    <row r="1015" spans="1:20" ht="15.75">
      <c r="A1015" s="13">
        <v>72045</v>
      </c>
      <c r="B1015" s="48">
        <f t="shared" si="6"/>
        <v>31</v>
      </c>
      <c r="C1015" s="39">
        <v>122.58</v>
      </c>
      <c r="D1015" s="39">
        <v>297.94099999999997</v>
      </c>
      <c r="E1015" s="45">
        <v>729.47900000000004</v>
      </c>
      <c r="F1015" s="39">
        <v>1150</v>
      </c>
      <c r="G1015" s="39">
        <v>100</v>
      </c>
      <c r="H1015" s="47">
        <v>600</v>
      </c>
      <c r="I1015" s="39">
        <v>695</v>
      </c>
      <c r="J1015" s="39">
        <v>50</v>
      </c>
      <c r="K1015" s="40"/>
      <c r="L1015" s="40"/>
      <c r="M1015" s="40"/>
      <c r="N1015" s="40"/>
      <c r="O1015" s="40"/>
      <c r="P1015" s="40"/>
      <c r="Q1015" s="40"/>
      <c r="R1015" s="40"/>
      <c r="S1015" s="40"/>
      <c r="T1015" s="40"/>
    </row>
    <row r="1016" spans="1:20" ht="15.75">
      <c r="A1016" s="13">
        <v>72075</v>
      </c>
      <c r="B1016" s="48">
        <f t="shared" si="6"/>
        <v>30</v>
      </c>
      <c r="C1016" s="39">
        <v>141.29300000000001</v>
      </c>
      <c r="D1016" s="39">
        <v>267.99299999999999</v>
      </c>
      <c r="E1016" s="45">
        <v>829.71400000000006</v>
      </c>
      <c r="F1016" s="39">
        <v>1239</v>
      </c>
      <c r="G1016" s="39">
        <v>100</v>
      </c>
      <c r="H1016" s="47">
        <v>600</v>
      </c>
      <c r="I1016" s="39">
        <v>695</v>
      </c>
      <c r="J1016" s="39">
        <v>50</v>
      </c>
      <c r="K1016" s="40"/>
      <c r="L1016" s="40"/>
      <c r="M1016" s="40"/>
      <c r="N1016" s="40"/>
      <c r="O1016" s="40"/>
      <c r="P1016" s="40"/>
      <c r="Q1016" s="40"/>
      <c r="R1016" s="40"/>
      <c r="S1016" s="40"/>
      <c r="T1016" s="40"/>
    </row>
    <row r="1017" spans="1:20" ht="15.75">
      <c r="A1017" s="13">
        <v>72106</v>
      </c>
      <c r="B1017" s="48">
        <f t="shared" si="6"/>
        <v>31</v>
      </c>
      <c r="C1017" s="39">
        <v>194.20500000000001</v>
      </c>
      <c r="D1017" s="39">
        <v>267.46600000000001</v>
      </c>
      <c r="E1017" s="45">
        <v>812.32899999999995</v>
      </c>
      <c r="F1017" s="39">
        <v>1274</v>
      </c>
      <c r="G1017" s="39">
        <v>75</v>
      </c>
      <c r="H1017" s="47">
        <v>600</v>
      </c>
      <c r="I1017" s="39">
        <v>695</v>
      </c>
      <c r="J1017" s="39">
        <v>50</v>
      </c>
      <c r="K1017" s="40"/>
      <c r="L1017" s="40"/>
      <c r="M1017" s="40"/>
      <c r="N1017" s="40"/>
      <c r="O1017" s="40"/>
      <c r="P1017" s="40"/>
      <c r="Q1017" s="40"/>
      <c r="R1017" s="40"/>
      <c r="S1017" s="40"/>
      <c r="T1017" s="40"/>
    </row>
    <row r="1018" spans="1:20" ht="15.75">
      <c r="A1018" s="13">
        <v>72136</v>
      </c>
      <c r="B1018" s="48">
        <f t="shared" si="6"/>
        <v>30</v>
      </c>
      <c r="C1018" s="39">
        <v>194.20500000000001</v>
      </c>
      <c r="D1018" s="39">
        <v>267.46600000000001</v>
      </c>
      <c r="E1018" s="45">
        <v>812.32899999999995</v>
      </c>
      <c r="F1018" s="39">
        <v>1274</v>
      </c>
      <c r="G1018" s="39">
        <v>50</v>
      </c>
      <c r="H1018" s="47">
        <v>600</v>
      </c>
      <c r="I1018" s="39">
        <v>695</v>
      </c>
      <c r="J1018" s="39">
        <v>50</v>
      </c>
      <c r="K1018" s="40"/>
      <c r="L1018" s="40"/>
      <c r="M1018" s="40"/>
      <c r="N1018" s="40"/>
      <c r="O1018" s="40"/>
      <c r="P1018" s="40"/>
      <c r="Q1018" s="40"/>
      <c r="R1018" s="40"/>
      <c r="S1018" s="40"/>
      <c r="T1018" s="40"/>
    </row>
    <row r="1019" spans="1:20" ht="15.75">
      <c r="A1019" s="13">
        <v>72167</v>
      </c>
      <c r="B1019" s="48">
        <f t="shared" si="6"/>
        <v>31</v>
      </c>
      <c r="C1019" s="39">
        <v>194.20500000000001</v>
      </c>
      <c r="D1019" s="39">
        <v>267.46600000000001</v>
      </c>
      <c r="E1019" s="45">
        <v>812.32899999999995</v>
      </c>
      <c r="F1019" s="39">
        <v>1274</v>
      </c>
      <c r="G1019" s="39">
        <v>50</v>
      </c>
      <c r="H1019" s="47">
        <v>600</v>
      </c>
      <c r="I1019" s="39">
        <v>695</v>
      </c>
      <c r="J1019" s="39">
        <v>0</v>
      </c>
      <c r="K1019" s="40"/>
      <c r="L1019" s="40"/>
      <c r="M1019" s="40"/>
      <c r="N1019" s="40"/>
      <c r="O1019" s="40"/>
      <c r="P1019" s="40"/>
      <c r="Q1019" s="40"/>
      <c r="R1019" s="40"/>
      <c r="S1019" s="40"/>
      <c r="T1019" s="40"/>
    </row>
    <row r="1020" spans="1:20" ht="15.75">
      <c r="A1020" s="13">
        <v>72198</v>
      </c>
      <c r="B1020" s="48">
        <f t="shared" si="6"/>
        <v>31</v>
      </c>
      <c r="C1020" s="39">
        <v>194.20500000000001</v>
      </c>
      <c r="D1020" s="39">
        <v>267.46600000000001</v>
      </c>
      <c r="E1020" s="45">
        <v>812.32899999999995</v>
      </c>
      <c r="F1020" s="39">
        <v>1274</v>
      </c>
      <c r="G1020" s="39">
        <v>50</v>
      </c>
      <c r="H1020" s="47">
        <v>600</v>
      </c>
      <c r="I1020" s="39">
        <v>695</v>
      </c>
      <c r="J1020" s="39">
        <v>0</v>
      </c>
      <c r="K1020" s="40"/>
      <c r="L1020" s="40"/>
      <c r="M1020" s="40"/>
      <c r="N1020" s="40"/>
      <c r="O1020" s="40"/>
      <c r="P1020" s="40"/>
      <c r="Q1020" s="40"/>
      <c r="R1020" s="40"/>
      <c r="S1020" s="40"/>
      <c r="T1020" s="40"/>
    </row>
    <row r="1021" spans="1:20" ht="15.75">
      <c r="A1021" s="13">
        <v>72228</v>
      </c>
      <c r="B1021" s="48">
        <f t="shared" si="6"/>
        <v>30</v>
      </c>
      <c r="C1021" s="39">
        <v>194.20500000000001</v>
      </c>
      <c r="D1021" s="39">
        <v>267.46600000000001</v>
      </c>
      <c r="E1021" s="45">
        <v>812.32899999999995</v>
      </c>
      <c r="F1021" s="39">
        <v>1274</v>
      </c>
      <c r="G1021" s="39">
        <v>50</v>
      </c>
      <c r="H1021" s="47">
        <v>600</v>
      </c>
      <c r="I1021" s="39">
        <v>695</v>
      </c>
      <c r="J1021" s="39">
        <v>0</v>
      </c>
      <c r="K1021" s="40"/>
      <c r="L1021" s="40"/>
      <c r="M1021" s="40"/>
      <c r="N1021" s="40"/>
      <c r="O1021" s="40"/>
      <c r="P1021" s="40"/>
      <c r="Q1021" s="40"/>
      <c r="R1021" s="40"/>
      <c r="S1021" s="40"/>
      <c r="T1021" s="40"/>
    </row>
    <row r="1022" spans="1:20" ht="15.75">
      <c r="A1022" s="13">
        <v>72259</v>
      </c>
      <c r="B1022" s="48">
        <f t="shared" si="6"/>
        <v>31</v>
      </c>
      <c r="C1022" s="39">
        <v>131.881</v>
      </c>
      <c r="D1022" s="39">
        <v>277.16699999999997</v>
      </c>
      <c r="E1022" s="45">
        <v>829.952</v>
      </c>
      <c r="F1022" s="39">
        <v>1239</v>
      </c>
      <c r="G1022" s="39">
        <v>75</v>
      </c>
      <c r="H1022" s="47">
        <v>600</v>
      </c>
      <c r="I1022" s="39">
        <v>695</v>
      </c>
      <c r="J1022" s="39">
        <v>0</v>
      </c>
      <c r="K1022" s="40"/>
      <c r="L1022" s="40"/>
      <c r="M1022" s="40"/>
      <c r="N1022" s="40"/>
      <c r="O1022" s="40"/>
      <c r="P1022" s="40"/>
      <c r="Q1022" s="40"/>
      <c r="R1022" s="40"/>
      <c r="S1022" s="40"/>
      <c r="T1022" s="40"/>
    </row>
    <row r="1023" spans="1:20" ht="15.75">
      <c r="A1023" s="13">
        <v>72289</v>
      </c>
      <c r="B1023" s="48">
        <f t="shared" si="6"/>
        <v>30</v>
      </c>
      <c r="C1023" s="39">
        <v>122.58</v>
      </c>
      <c r="D1023" s="39">
        <v>297.94099999999997</v>
      </c>
      <c r="E1023" s="45">
        <v>729.47900000000004</v>
      </c>
      <c r="F1023" s="39">
        <v>1150</v>
      </c>
      <c r="G1023" s="39">
        <v>100</v>
      </c>
      <c r="H1023" s="47">
        <v>600</v>
      </c>
      <c r="I1023" s="39">
        <v>695</v>
      </c>
      <c r="J1023" s="39">
        <v>50</v>
      </c>
      <c r="K1023" s="40"/>
      <c r="L1023" s="40"/>
      <c r="M1023" s="40"/>
      <c r="N1023" s="40"/>
      <c r="O1023" s="40"/>
      <c r="P1023" s="40"/>
      <c r="Q1023" s="40"/>
      <c r="R1023" s="40"/>
      <c r="S1023" s="40"/>
      <c r="T1023" s="40"/>
    </row>
    <row r="1024" spans="1:20" ht="15.75">
      <c r="A1024" s="13">
        <v>72320</v>
      </c>
      <c r="B1024" s="48">
        <f t="shared" si="6"/>
        <v>31</v>
      </c>
      <c r="C1024" s="39">
        <v>122.58</v>
      </c>
      <c r="D1024" s="39">
        <v>297.94099999999997</v>
      </c>
      <c r="E1024" s="45">
        <v>729.47900000000004</v>
      </c>
      <c r="F1024" s="39">
        <v>1150</v>
      </c>
      <c r="G1024" s="39">
        <v>100</v>
      </c>
      <c r="H1024" s="47">
        <v>600</v>
      </c>
      <c r="I1024" s="39">
        <v>695</v>
      </c>
      <c r="J1024" s="39">
        <v>50</v>
      </c>
      <c r="K1024" s="40"/>
      <c r="L1024" s="40"/>
      <c r="M1024" s="40"/>
      <c r="N1024" s="40"/>
      <c r="O1024" s="40"/>
      <c r="P1024" s="40"/>
      <c r="Q1024" s="40"/>
      <c r="R1024" s="40"/>
      <c r="S1024" s="40"/>
      <c r="T1024" s="40"/>
    </row>
    <row r="1025" spans="1:20" ht="15.75">
      <c r="A1025" s="13">
        <v>72351</v>
      </c>
      <c r="B1025" s="48">
        <f t="shared" si="6"/>
        <v>31</v>
      </c>
      <c r="C1025" s="39">
        <v>122.58</v>
      </c>
      <c r="D1025" s="39">
        <v>297.94099999999997</v>
      </c>
      <c r="E1025" s="45">
        <v>729.47900000000004</v>
      </c>
      <c r="F1025" s="39">
        <v>1150</v>
      </c>
      <c r="G1025" s="39">
        <v>100</v>
      </c>
      <c r="H1025" s="47">
        <v>600</v>
      </c>
      <c r="I1025" s="39">
        <v>695</v>
      </c>
      <c r="J1025" s="39">
        <v>50</v>
      </c>
      <c r="K1025" s="40"/>
      <c r="L1025" s="40"/>
      <c r="M1025" s="40"/>
      <c r="N1025" s="40"/>
      <c r="O1025" s="40"/>
      <c r="P1025" s="40"/>
      <c r="Q1025" s="40"/>
      <c r="R1025" s="40"/>
      <c r="S1025" s="40"/>
      <c r="T1025" s="40"/>
    </row>
    <row r="1026" spans="1:20" ht="15.75">
      <c r="A1026" s="13">
        <v>72379</v>
      </c>
      <c r="B1026" s="48">
        <f t="shared" si="6"/>
        <v>28</v>
      </c>
      <c r="C1026" s="39">
        <v>122.58</v>
      </c>
      <c r="D1026" s="39">
        <v>297.94099999999997</v>
      </c>
      <c r="E1026" s="45">
        <v>729.47900000000004</v>
      </c>
      <c r="F1026" s="39">
        <v>1150</v>
      </c>
      <c r="G1026" s="39">
        <v>100</v>
      </c>
      <c r="H1026" s="47">
        <v>600</v>
      </c>
      <c r="I1026" s="39">
        <v>695</v>
      </c>
      <c r="J1026" s="39">
        <v>50</v>
      </c>
      <c r="K1026" s="40"/>
      <c r="L1026" s="40"/>
      <c r="M1026" s="40"/>
      <c r="N1026" s="40"/>
      <c r="O1026" s="40"/>
      <c r="P1026" s="40"/>
      <c r="Q1026" s="40"/>
      <c r="R1026" s="40"/>
      <c r="S1026" s="40"/>
      <c r="T1026" s="40"/>
    </row>
    <row r="1027" spans="1:20" ht="15.75">
      <c r="A1027" s="13">
        <v>72410</v>
      </c>
      <c r="B1027" s="48">
        <f t="shared" si="6"/>
        <v>31</v>
      </c>
      <c r="C1027" s="39">
        <v>122.58</v>
      </c>
      <c r="D1027" s="39">
        <v>297.94099999999997</v>
      </c>
      <c r="E1027" s="45">
        <v>729.47900000000004</v>
      </c>
      <c r="F1027" s="39">
        <v>1150</v>
      </c>
      <c r="G1027" s="39">
        <v>100</v>
      </c>
      <c r="H1027" s="47">
        <v>600</v>
      </c>
      <c r="I1027" s="39">
        <v>695</v>
      </c>
      <c r="J1027" s="39">
        <v>50</v>
      </c>
      <c r="K1027" s="40"/>
      <c r="L1027" s="40"/>
      <c r="M1027" s="40"/>
      <c r="N1027" s="40"/>
      <c r="O1027" s="40"/>
      <c r="P1027" s="40"/>
      <c r="Q1027" s="40"/>
      <c r="R1027" s="40"/>
      <c r="S1027" s="40"/>
      <c r="T1027" s="40"/>
    </row>
    <row r="1028" spans="1:20" ht="15.75">
      <c r="A1028" s="13">
        <v>72440</v>
      </c>
      <c r="B1028" s="48">
        <f t="shared" si="6"/>
        <v>30</v>
      </c>
      <c r="C1028" s="39">
        <v>141.29300000000001</v>
      </c>
      <c r="D1028" s="39">
        <v>267.99299999999999</v>
      </c>
      <c r="E1028" s="45">
        <v>829.71400000000006</v>
      </c>
      <c r="F1028" s="39">
        <v>1239</v>
      </c>
      <c r="G1028" s="39">
        <v>100</v>
      </c>
      <c r="H1028" s="47">
        <v>600</v>
      </c>
      <c r="I1028" s="39">
        <v>695</v>
      </c>
      <c r="J1028" s="39">
        <v>50</v>
      </c>
      <c r="K1028" s="40"/>
      <c r="L1028" s="40"/>
      <c r="M1028" s="40"/>
      <c r="N1028" s="40"/>
      <c r="O1028" s="40"/>
      <c r="P1028" s="40"/>
      <c r="Q1028" s="40"/>
      <c r="R1028" s="40"/>
      <c r="S1028" s="40"/>
      <c r="T1028" s="40"/>
    </row>
    <row r="1029" spans="1:20" ht="15.75">
      <c r="A1029" s="13">
        <v>72471</v>
      </c>
      <c r="B1029" s="48">
        <f t="shared" si="6"/>
        <v>31</v>
      </c>
      <c r="C1029" s="39">
        <v>194.20500000000001</v>
      </c>
      <c r="D1029" s="39">
        <v>267.46600000000001</v>
      </c>
      <c r="E1029" s="45">
        <v>812.32899999999995</v>
      </c>
      <c r="F1029" s="39">
        <v>1274</v>
      </c>
      <c r="G1029" s="39">
        <v>75</v>
      </c>
      <c r="H1029" s="47">
        <v>600</v>
      </c>
      <c r="I1029" s="39">
        <v>695</v>
      </c>
      <c r="J1029" s="39">
        <v>50</v>
      </c>
      <c r="K1029" s="40"/>
      <c r="L1029" s="40"/>
      <c r="M1029" s="40"/>
      <c r="N1029" s="40"/>
      <c r="O1029" s="40"/>
      <c r="P1029" s="40"/>
      <c r="Q1029" s="40"/>
      <c r="R1029" s="40"/>
      <c r="S1029" s="40"/>
      <c r="T1029" s="40"/>
    </row>
    <row r="1030" spans="1:20" ht="15.75">
      <c r="A1030" s="13">
        <v>72501</v>
      </c>
      <c r="B1030" s="48">
        <f t="shared" si="6"/>
        <v>30</v>
      </c>
      <c r="C1030" s="39">
        <v>194.20500000000001</v>
      </c>
      <c r="D1030" s="39">
        <v>267.46600000000001</v>
      </c>
      <c r="E1030" s="45">
        <v>812.32899999999995</v>
      </c>
      <c r="F1030" s="39">
        <v>1274</v>
      </c>
      <c r="G1030" s="39">
        <v>50</v>
      </c>
      <c r="H1030" s="47">
        <v>600</v>
      </c>
      <c r="I1030" s="39">
        <v>695</v>
      </c>
      <c r="J1030" s="39">
        <v>50</v>
      </c>
      <c r="K1030" s="40"/>
      <c r="L1030" s="40"/>
      <c r="M1030" s="40"/>
      <c r="N1030" s="40"/>
      <c r="O1030" s="40"/>
      <c r="P1030" s="40"/>
      <c r="Q1030" s="40"/>
      <c r="R1030" s="40"/>
      <c r="S1030" s="40"/>
      <c r="T1030" s="40"/>
    </row>
    <row r="1031" spans="1:20" ht="15.75">
      <c r="A1031" s="13">
        <v>72532</v>
      </c>
      <c r="B1031" s="48">
        <f t="shared" si="6"/>
        <v>31</v>
      </c>
      <c r="C1031" s="39">
        <v>194.20500000000001</v>
      </c>
      <c r="D1031" s="39">
        <v>267.46600000000001</v>
      </c>
      <c r="E1031" s="45">
        <v>812.32899999999995</v>
      </c>
      <c r="F1031" s="39">
        <v>1274</v>
      </c>
      <c r="G1031" s="39">
        <v>50</v>
      </c>
      <c r="H1031" s="47">
        <v>600</v>
      </c>
      <c r="I1031" s="39">
        <v>695</v>
      </c>
      <c r="J1031" s="39">
        <v>0</v>
      </c>
      <c r="K1031" s="40"/>
      <c r="L1031" s="40"/>
      <c r="M1031" s="40"/>
      <c r="N1031" s="40"/>
      <c r="O1031" s="40"/>
      <c r="P1031" s="40"/>
      <c r="Q1031" s="40"/>
      <c r="R1031" s="40"/>
      <c r="S1031" s="40"/>
      <c r="T1031" s="40"/>
    </row>
    <row r="1032" spans="1:20" ht="15.75">
      <c r="A1032" s="13">
        <v>72563</v>
      </c>
      <c r="B1032" s="48">
        <f t="shared" si="6"/>
        <v>31</v>
      </c>
      <c r="C1032" s="39">
        <v>194.20500000000001</v>
      </c>
      <c r="D1032" s="39">
        <v>267.46600000000001</v>
      </c>
      <c r="E1032" s="45">
        <v>812.32899999999995</v>
      </c>
      <c r="F1032" s="39">
        <v>1274</v>
      </c>
      <c r="G1032" s="39">
        <v>50</v>
      </c>
      <c r="H1032" s="47">
        <v>600</v>
      </c>
      <c r="I1032" s="39">
        <v>695</v>
      </c>
      <c r="J1032" s="39">
        <v>0</v>
      </c>
      <c r="K1032" s="40"/>
      <c r="L1032" s="40"/>
      <c r="M1032" s="40"/>
      <c r="N1032" s="40"/>
      <c r="O1032" s="40"/>
      <c r="P1032" s="40"/>
      <c r="Q1032" s="40"/>
      <c r="R1032" s="40"/>
      <c r="S1032" s="40"/>
      <c r="T1032" s="40"/>
    </row>
    <row r="1033" spans="1:20" ht="15.75">
      <c r="A1033" s="13">
        <v>72593</v>
      </c>
      <c r="B1033" s="48">
        <f t="shared" si="6"/>
        <v>30</v>
      </c>
      <c r="C1033" s="39">
        <v>194.20500000000001</v>
      </c>
      <c r="D1033" s="39">
        <v>267.46600000000001</v>
      </c>
      <c r="E1033" s="45">
        <v>812.32899999999995</v>
      </c>
      <c r="F1033" s="39">
        <v>1274</v>
      </c>
      <c r="G1033" s="39">
        <v>50</v>
      </c>
      <c r="H1033" s="47">
        <v>600</v>
      </c>
      <c r="I1033" s="39">
        <v>695</v>
      </c>
      <c r="J1033" s="39">
        <v>0</v>
      </c>
      <c r="K1033" s="40"/>
      <c r="L1033" s="40"/>
      <c r="M1033" s="40"/>
      <c r="N1033" s="40"/>
      <c r="O1033" s="40"/>
      <c r="P1033" s="40"/>
      <c r="Q1033" s="40"/>
      <c r="R1033" s="40"/>
      <c r="S1033" s="40"/>
      <c r="T1033" s="40"/>
    </row>
    <row r="1034" spans="1:20" ht="15.75">
      <c r="A1034" s="13">
        <v>72624</v>
      </c>
      <c r="B1034" s="48">
        <f t="shared" si="6"/>
        <v>31</v>
      </c>
      <c r="C1034" s="39">
        <v>131.881</v>
      </c>
      <c r="D1034" s="39">
        <v>277.16699999999997</v>
      </c>
      <c r="E1034" s="45">
        <v>829.952</v>
      </c>
      <c r="F1034" s="39">
        <v>1239</v>
      </c>
      <c r="G1034" s="39">
        <v>75</v>
      </c>
      <c r="H1034" s="47">
        <v>600</v>
      </c>
      <c r="I1034" s="39">
        <v>695</v>
      </c>
      <c r="J1034" s="39">
        <v>0</v>
      </c>
      <c r="K1034" s="40"/>
      <c r="L1034" s="40"/>
      <c r="M1034" s="40"/>
      <c r="N1034" s="40"/>
      <c r="O1034" s="40"/>
      <c r="P1034" s="40"/>
      <c r="Q1034" s="40"/>
      <c r="R1034" s="40"/>
      <c r="S1034" s="40"/>
      <c r="T1034" s="40"/>
    </row>
    <row r="1035" spans="1:20" ht="15.75">
      <c r="A1035" s="13">
        <v>72654</v>
      </c>
      <c r="B1035" s="48">
        <f t="shared" si="6"/>
        <v>30</v>
      </c>
      <c r="C1035" s="39">
        <v>122.58</v>
      </c>
      <c r="D1035" s="39">
        <v>297.94099999999997</v>
      </c>
      <c r="E1035" s="45">
        <v>729.47900000000004</v>
      </c>
      <c r="F1035" s="39">
        <v>1150</v>
      </c>
      <c r="G1035" s="39">
        <v>100</v>
      </c>
      <c r="H1035" s="47">
        <v>600</v>
      </c>
      <c r="I1035" s="39">
        <v>695</v>
      </c>
      <c r="J1035" s="39">
        <v>50</v>
      </c>
      <c r="K1035" s="40"/>
      <c r="L1035" s="40"/>
      <c r="M1035" s="40"/>
      <c r="N1035" s="40"/>
      <c r="O1035" s="40"/>
      <c r="P1035" s="40"/>
      <c r="Q1035" s="40"/>
      <c r="R1035" s="40"/>
      <c r="S1035" s="40"/>
      <c r="T1035" s="40"/>
    </row>
    <row r="1036" spans="1:20" ht="15.75">
      <c r="A1036" s="13">
        <v>72685</v>
      </c>
      <c r="B1036" s="48">
        <f t="shared" si="6"/>
        <v>31</v>
      </c>
      <c r="C1036" s="39">
        <v>122.58</v>
      </c>
      <c r="D1036" s="39">
        <v>297.94099999999997</v>
      </c>
      <c r="E1036" s="45">
        <v>729.47900000000004</v>
      </c>
      <c r="F1036" s="39">
        <v>1150</v>
      </c>
      <c r="G1036" s="39">
        <v>100</v>
      </c>
      <c r="H1036" s="47">
        <v>600</v>
      </c>
      <c r="I1036" s="39">
        <v>695</v>
      </c>
      <c r="J1036" s="39">
        <v>50</v>
      </c>
      <c r="K1036" s="40"/>
      <c r="L1036" s="40"/>
      <c r="M1036" s="40"/>
      <c r="N1036" s="40"/>
      <c r="O1036" s="40"/>
      <c r="P1036" s="40"/>
      <c r="Q1036" s="40"/>
      <c r="R1036" s="40"/>
      <c r="S1036" s="40"/>
      <c r="T1036" s="40"/>
    </row>
    <row r="1037" spans="1:20" ht="15.75">
      <c r="A1037" s="13">
        <v>72716</v>
      </c>
      <c r="B1037" s="48">
        <f t="shared" si="6"/>
        <v>31</v>
      </c>
      <c r="C1037" s="39">
        <v>122.58</v>
      </c>
      <c r="D1037" s="39">
        <v>297.94099999999997</v>
      </c>
      <c r="E1037" s="45">
        <v>729.47900000000004</v>
      </c>
      <c r="F1037" s="39">
        <v>1150</v>
      </c>
      <c r="G1037" s="39">
        <v>100</v>
      </c>
      <c r="H1037" s="47">
        <v>600</v>
      </c>
      <c r="I1037" s="39">
        <v>695</v>
      </c>
      <c r="J1037" s="39">
        <v>50</v>
      </c>
      <c r="K1037" s="40"/>
      <c r="L1037" s="40"/>
      <c r="M1037" s="40"/>
      <c r="N1037" s="40"/>
      <c r="O1037" s="40"/>
      <c r="P1037" s="40"/>
      <c r="Q1037" s="40"/>
      <c r="R1037" s="40"/>
      <c r="S1037" s="40"/>
      <c r="T1037" s="40"/>
    </row>
    <row r="1038" spans="1:20" ht="15.75">
      <c r="A1038" s="13">
        <v>72744</v>
      </c>
      <c r="B1038" s="48">
        <f t="shared" si="6"/>
        <v>28</v>
      </c>
      <c r="C1038" s="39">
        <v>122.58</v>
      </c>
      <c r="D1038" s="39">
        <v>297.94099999999997</v>
      </c>
      <c r="E1038" s="45">
        <v>729.47900000000004</v>
      </c>
      <c r="F1038" s="39">
        <v>1150</v>
      </c>
      <c r="G1038" s="39">
        <v>100</v>
      </c>
      <c r="H1038" s="47">
        <v>600</v>
      </c>
      <c r="I1038" s="39">
        <v>695</v>
      </c>
      <c r="J1038" s="39">
        <v>50</v>
      </c>
      <c r="K1038" s="40"/>
      <c r="L1038" s="40"/>
      <c r="M1038" s="40"/>
      <c r="N1038" s="40"/>
      <c r="O1038" s="40"/>
      <c r="P1038" s="40"/>
      <c r="Q1038" s="40"/>
      <c r="R1038" s="40"/>
      <c r="S1038" s="40"/>
      <c r="T1038" s="40"/>
    </row>
    <row r="1039" spans="1:20" ht="15.75">
      <c r="A1039" s="13">
        <v>72775</v>
      </c>
      <c r="B1039" s="48">
        <f t="shared" si="6"/>
        <v>31</v>
      </c>
      <c r="C1039" s="39">
        <v>122.58</v>
      </c>
      <c r="D1039" s="39">
        <v>297.94099999999997</v>
      </c>
      <c r="E1039" s="45">
        <v>729.47900000000004</v>
      </c>
      <c r="F1039" s="39">
        <v>1150</v>
      </c>
      <c r="G1039" s="39">
        <v>100</v>
      </c>
      <c r="H1039" s="47">
        <v>600</v>
      </c>
      <c r="I1039" s="39">
        <v>695</v>
      </c>
      <c r="J1039" s="39">
        <v>50</v>
      </c>
      <c r="K1039" s="40"/>
      <c r="L1039" s="40"/>
      <c r="M1039" s="40"/>
      <c r="N1039" s="40"/>
      <c r="O1039" s="40"/>
      <c r="P1039" s="40"/>
      <c r="Q1039" s="40"/>
      <c r="R1039" s="40"/>
      <c r="S1039" s="40"/>
      <c r="T1039" s="40"/>
    </row>
    <row r="1040" spans="1:20" ht="15.75">
      <c r="A1040" s="13">
        <v>72805</v>
      </c>
      <c r="B1040" s="48">
        <f t="shared" si="6"/>
        <v>30</v>
      </c>
      <c r="C1040" s="39">
        <v>141.29300000000001</v>
      </c>
      <c r="D1040" s="39">
        <v>267.99299999999999</v>
      </c>
      <c r="E1040" s="45">
        <v>829.71400000000006</v>
      </c>
      <c r="F1040" s="39">
        <v>1239</v>
      </c>
      <c r="G1040" s="39">
        <v>100</v>
      </c>
      <c r="H1040" s="47">
        <v>600</v>
      </c>
      <c r="I1040" s="39">
        <v>695</v>
      </c>
      <c r="J1040" s="39">
        <v>50</v>
      </c>
      <c r="K1040" s="40"/>
      <c r="L1040" s="40"/>
      <c r="M1040" s="40"/>
      <c r="N1040" s="40"/>
      <c r="O1040" s="40"/>
      <c r="P1040" s="40"/>
      <c r="Q1040" s="40"/>
      <c r="R1040" s="40"/>
      <c r="S1040" s="40"/>
      <c r="T1040" s="40"/>
    </row>
    <row r="1041" spans="1:20" ht="15.75">
      <c r="A1041" s="13">
        <v>72836</v>
      </c>
      <c r="B1041" s="48">
        <f t="shared" ref="B1041:B1060" si="7">EOMONTH(A1041,0)-EOMONTH(A1041,-1)</f>
        <v>31</v>
      </c>
      <c r="C1041" s="39">
        <v>194.20500000000001</v>
      </c>
      <c r="D1041" s="39">
        <v>267.46600000000001</v>
      </c>
      <c r="E1041" s="45">
        <v>812.32899999999995</v>
      </c>
      <c r="F1041" s="39">
        <v>1274</v>
      </c>
      <c r="G1041" s="39">
        <v>75</v>
      </c>
      <c r="H1041" s="47">
        <v>600</v>
      </c>
      <c r="I1041" s="39">
        <v>695</v>
      </c>
      <c r="J1041" s="39">
        <v>50</v>
      </c>
      <c r="K1041" s="40"/>
      <c r="L1041" s="40"/>
      <c r="M1041" s="40"/>
      <c r="N1041" s="40"/>
      <c r="O1041" s="40"/>
      <c r="P1041" s="40"/>
      <c r="Q1041" s="40"/>
      <c r="R1041" s="40"/>
      <c r="S1041" s="40"/>
      <c r="T1041" s="40"/>
    </row>
    <row r="1042" spans="1:20" ht="15.75">
      <c r="A1042" s="13">
        <v>72866</v>
      </c>
      <c r="B1042" s="48">
        <f t="shared" si="7"/>
        <v>30</v>
      </c>
      <c r="C1042" s="39">
        <v>194.20500000000001</v>
      </c>
      <c r="D1042" s="39">
        <v>267.46600000000001</v>
      </c>
      <c r="E1042" s="45">
        <v>812.32899999999995</v>
      </c>
      <c r="F1042" s="39">
        <v>1274</v>
      </c>
      <c r="G1042" s="39">
        <v>50</v>
      </c>
      <c r="H1042" s="47">
        <v>600</v>
      </c>
      <c r="I1042" s="39">
        <v>695</v>
      </c>
      <c r="J1042" s="39">
        <v>50</v>
      </c>
      <c r="K1042" s="40"/>
      <c r="L1042" s="40"/>
      <c r="M1042" s="40"/>
      <c r="N1042" s="40"/>
      <c r="O1042" s="40"/>
      <c r="P1042" s="40"/>
      <c r="Q1042" s="40"/>
      <c r="R1042" s="40"/>
      <c r="S1042" s="40"/>
      <c r="T1042" s="40"/>
    </row>
    <row r="1043" spans="1:20" ht="15.75">
      <c r="A1043" s="13">
        <v>72897</v>
      </c>
      <c r="B1043" s="48">
        <f t="shared" si="7"/>
        <v>31</v>
      </c>
      <c r="C1043" s="39">
        <v>194.20500000000001</v>
      </c>
      <c r="D1043" s="39">
        <v>267.46600000000001</v>
      </c>
      <c r="E1043" s="45">
        <v>812.32899999999995</v>
      </c>
      <c r="F1043" s="39">
        <v>1274</v>
      </c>
      <c r="G1043" s="39">
        <v>50</v>
      </c>
      <c r="H1043" s="47">
        <v>600</v>
      </c>
      <c r="I1043" s="39">
        <v>695</v>
      </c>
      <c r="J1043" s="39">
        <v>0</v>
      </c>
      <c r="K1043" s="40"/>
      <c r="L1043" s="40"/>
      <c r="M1043" s="40"/>
      <c r="N1043" s="40"/>
      <c r="O1043" s="40"/>
      <c r="P1043" s="40"/>
      <c r="Q1043" s="40"/>
      <c r="R1043" s="40"/>
      <c r="S1043" s="40"/>
      <c r="T1043" s="40"/>
    </row>
    <row r="1044" spans="1:20" ht="15.75">
      <c r="A1044" s="13">
        <v>72928</v>
      </c>
      <c r="B1044" s="48">
        <f t="shared" si="7"/>
        <v>31</v>
      </c>
      <c r="C1044" s="39">
        <v>194.20500000000001</v>
      </c>
      <c r="D1044" s="39">
        <v>267.46600000000001</v>
      </c>
      <c r="E1044" s="45">
        <v>812.32899999999995</v>
      </c>
      <c r="F1044" s="39">
        <v>1274</v>
      </c>
      <c r="G1044" s="39">
        <v>50</v>
      </c>
      <c r="H1044" s="47">
        <v>600</v>
      </c>
      <c r="I1044" s="39">
        <v>695</v>
      </c>
      <c r="J1044" s="39">
        <v>0</v>
      </c>
      <c r="K1044" s="40"/>
      <c r="L1044" s="40"/>
      <c r="M1044" s="40"/>
      <c r="N1044" s="40"/>
      <c r="O1044" s="40"/>
      <c r="P1044" s="40"/>
      <c r="Q1044" s="40"/>
      <c r="R1044" s="40"/>
      <c r="S1044" s="40"/>
      <c r="T1044" s="40"/>
    </row>
    <row r="1045" spans="1:20" ht="15.75">
      <c r="A1045" s="13">
        <v>72958</v>
      </c>
      <c r="B1045" s="48">
        <f t="shared" si="7"/>
        <v>30</v>
      </c>
      <c r="C1045" s="39">
        <v>194.20500000000001</v>
      </c>
      <c r="D1045" s="39">
        <v>267.46600000000001</v>
      </c>
      <c r="E1045" s="45">
        <v>812.32899999999995</v>
      </c>
      <c r="F1045" s="39">
        <v>1274</v>
      </c>
      <c r="G1045" s="39">
        <v>50</v>
      </c>
      <c r="H1045" s="47">
        <v>600</v>
      </c>
      <c r="I1045" s="39">
        <v>695</v>
      </c>
      <c r="J1045" s="39">
        <v>0</v>
      </c>
      <c r="K1045" s="40"/>
      <c r="L1045" s="40"/>
      <c r="M1045" s="40"/>
      <c r="N1045" s="40"/>
      <c r="O1045" s="40"/>
      <c r="P1045" s="40"/>
      <c r="Q1045" s="40"/>
      <c r="R1045" s="40"/>
      <c r="S1045" s="40"/>
      <c r="T1045" s="40"/>
    </row>
    <row r="1046" spans="1:20" ht="15.75">
      <c r="A1046" s="13">
        <v>72989</v>
      </c>
      <c r="B1046" s="48">
        <f t="shared" si="7"/>
        <v>31</v>
      </c>
      <c r="C1046" s="39">
        <v>131.881</v>
      </c>
      <c r="D1046" s="39">
        <v>277.16699999999997</v>
      </c>
      <c r="E1046" s="45">
        <v>829.952</v>
      </c>
      <c r="F1046" s="39">
        <v>1239</v>
      </c>
      <c r="G1046" s="39">
        <v>75</v>
      </c>
      <c r="H1046" s="47">
        <v>600</v>
      </c>
      <c r="I1046" s="39">
        <v>695</v>
      </c>
      <c r="J1046" s="39">
        <v>0</v>
      </c>
      <c r="K1046" s="40"/>
      <c r="L1046" s="40"/>
      <c r="M1046" s="40"/>
      <c r="N1046" s="40"/>
      <c r="O1046" s="40"/>
      <c r="P1046" s="40"/>
      <c r="Q1046" s="40"/>
      <c r="R1046" s="40"/>
      <c r="S1046" s="40"/>
      <c r="T1046" s="40"/>
    </row>
    <row r="1047" spans="1:20" ht="15.75">
      <c r="A1047" s="13">
        <v>73019</v>
      </c>
      <c r="B1047" s="48">
        <f t="shared" si="7"/>
        <v>30</v>
      </c>
      <c r="C1047" s="39">
        <v>122.58</v>
      </c>
      <c r="D1047" s="39">
        <v>297.94099999999997</v>
      </c>
      <c r="E1047" s="45">
        <v>729.47900000000004</v>
      </c>
      <c r="F1047" s="39">
        <v>1150</v>
      </c>
      <c r="G1047" s="39">
        <v>100</v>
      </c>
      <c r="H1047" s="47">
        <v>600</v>
      </c>
      <c r="I1047" s="39">
        <v>695</v>
      </c>
      <c r="J1047" s="39">
        <v>50</v>
      </c>
      <c r="K1047" s="40"/>
      <c r="L1047" s="40"/>
      <c r="M1047" s="40"/>
      <c r="N1047" s="40"/>
      <c r="O1047" s="40"/>
      <c r="P1047" s="40"/>
      <c r="Q1047" s="40"/>
      <c r="R1047" s="40"/>
      <c r="S1047" s="40"/>
      <c r="T1047" s="40"/>
    </row>
    <row r="1048" spans="1:20" ht="15.75">
      <c r="A1048" s="13">
        <v>73050</v>
      </c>
      <c r="B1048" s="48">
        <f t="shared" si="7"/>
        <v>31</v>
      </c>
      <c r="C1048" s="39">
        <v>122.58</v>
      </c>
      <c r="D1048" s="39">
        <v>297.94099999999997</v>
      </c>
      <c r="E1048" s="45">
        <v>729.47900000000004</v>
      </c>
      <c r="F1048" s="39">
        <v>1150</v>
      </c>
      <c r="G1048" s="39">
        <v>100</v>
      </c>
      <c r="H1048" s="47">
        <v>600</v>
      </c>
      <c r="I1048" s="39">
        <v>695</v>
      </c>
      <c r="J1048" s="39">
        <v>50</v>
      </c>
      <c r="K1048" s="40"/>
      <c r="L1048" s="40"/>
      <c r="M1048" s="40"/>
      <c r="N1048" s="40"/>
      <c r="O1048" s="40"/>
      <c r="P1048" s="40"/>
      <c r="Q1048" s="40"/>
      <c r="R1048" s="40"/>
      <c r="S1048" s="40"/>
      <c r="T1048" s="40"/>
    </row>
    <row r="1049" spans="1:20" ht="15.75">
      <c r="A1049" s="13">
        <v>73081</v>
      </c>
      <c r="B1049" s="48">
        <f t="shared" si="7"/>
        <v>31</v>
      </c>
      <c r="C1049" s="39">
        <v>122.58</v>
      </c>
      <c r="D1049" s="39">
        <v>297.94099999999997</v>
      </c>
      <c r="E1049" s="45">
        <v>729.47900000000004</v>
      </c>
      <c r="F1049" s="39">
        <v>1150</v>
      </c>
      <c r="G1049" s="39">
        <v>100</v>
      </c>
      <c r="H1049" s="47">
        <v>600</v>
      </c>
      <c r="I1049" s="39">
        <v>695</v>
      </c>
      <c r="J1049" s="39">
        <v>50</v>
      </c>
      <c r="K1049" s="40"/>
      <c r="L1049" s="40"/>
      <c r="M1049" s="40"/>
      <c r="N1049" s="40"/>
      <c r="O1049" s="40"/>
      <c r="P1049" s="40"/>
      <c r="Q1049" s="40"/>
      <c r="R1049" s="40"/>
      <c r="S1049" s="40"/>
      <c r="T1049" s="40"/>
    </row>
    <row r="1050" spans="1:20" ht="15.75">
      <c r="A1050" s="13">
        <v>73109</v>
      </c>
      <c r="B1050" s="48">
        <f t="shared" si="7"/>
        <v>28</v>
      </c>
      <c r="C1050" s="39">
        <v>122.58</v>
      </c>
      <c r="D1050" s="39">
        <v>297.94099999999997</v>
      </c>
      <c r="E1050" s="45">
        <v>729.47900000000004</v>
      </c>
      <c r="F1050" s="39">
        <v>1150</v>
      </c>
      <c r="G1050" s="39">
        <v>100</v>
      </c>
      <c r="H1050" s="47">
        <v>600</v>
      </c>
      <c r="I1050" s="39">
        <v>695</v>
      </c>
      <c r="J1050" s="39">
        <v>50</v>
      </c>
      <c r="K1050" s="40"/>
      <c r="L1050" s="40"/>
      <c r="M1050" s="40"/>
      <c r="N1050" s="40"/>
      <c r="O1050" s="40"/>
      <c r="P1050" s="40"/>
      <c r="Q1050" s="40"/>
      <c r="R1050" s="40"/>
      <c r="S1050" s="40"/>
      <c r="T1050" s="40"/>
    </row>
    <row r="1051" spans="1:20" ht="15.75">
      <c r="A1051" s="13">
        <v>73140</v>
      </c>
      <c r="B1051" s="48">
        <f t="shared" si="7"/>
        <v>31</v>
      </c>
      <c r="C1051" s="39">
        <v>122.58</v>
      </c>
      <c r="D1051" s="39">
        <v>297.94099999999997</v>
      </c>
      <c r="E1051" s="45">
        <v>729.47900000000004</v>
      </c>
      <c r="F1051" s="39">
        <v>1150</v>
      </c>
      <c r="G1051" s="39">
        <v>100</v>
      </c>
      <c r="H1051" s="47">
        <v>600</v>
      </c>
      <c r="I1051" s="39">
        <v>695</v>
      </c>
      <c r="J1051" s="39">
        <v>50</v>
      </c>
      <c r="K1051" s="40"/>
      <c r="L1051" s="40"/>
      <c r="M1051" s="40"/>
      <c r="N1051" s="40"/>
      <c r="O1051" s="40"/>
      <c r="P1051" s="40"/>
      <c r="Q1051" s="40"/>
      <c r="R1051" s="40"/>
      <c r="S1051" s="40"/>
      <c r="T1051" s="40"/>
    </row>
    <row r="1052" spans="1:20" ht="15.75">
      <c r="A1052" s="13">
        <v>73170</v>
      </c>
      <c r="B1052" s="48">
        <f t="shared" si="7"/>
        <v>30</v>
      </c>
      <c r="C1052" s="39">
        <v>141.29300000000001</v>
      </c>
      <c r="D1052" s="39">
        <v>267.99299999999999</v>
      </c>
      <c r="E1052" s="45">
        <v>829.71400000000006</v>
      </c>
      <c r="F1052" s="39">
        <v>1239</v>
      </c>
      <c r="G1052" s="39">
        <v>100</v>
      </c>
      <c r="H1052" s="47">
        <v>600</v>
      </c>
      <c r="I1052" s="39">
        <v>695</v>
      </c>
      <c r="J1052" s="39">
        <v>50</v>
      </c>
      <c r="K1052" s="40"/>
      <c r="L1052" s="40"/>
      <c r="M1052" s="40"/>
      <c r="N1052" s="40"/>
      <c r="O1052" s="40"/>
      <c r="P1052" s="40"/>
      <c r="Q1052" s="40"/>
      <c r="R1052" s="40"/>
      <c r="S1052" s="40"/>
      <c r="T1052" s="40"/>
    </row>
    <row r="1053" spans="1:20" ht="15.75">
      <c r="A1053" s="13">
        <v>73201</v>
      </c>
      <c r="B1053" s="48">
        <f t="shared" si="7"/>
        <v>31</v>
      </c>
      <c r="C1053" s="39">
        <v>194.20500000000001</v>
      </c>
      <c r="D1053" s="39">
        <v>267.46600000000001</v>
      </c>
      <c r="E1053" s="45">
        <v>812.32899999999995</v>
      </c>
      <c r="F1053" s="39">
        <v>1274</v>
      </c>
      <c r="G1053" s="39">
        <v>75</v>
      </c>
      <c r="H1053" s="47">
        <v>600</v>
      </c>
      <c r="I1053" s="39">
        <v>695</v>
      </c>
      <c r="J1053" s="39">
        <v>50</v>
      </c>
      <c r="K1053" s="40"/>
      <c r="L1053" s="40"/>
      <c r="M1053" s="40"/>
      <c r="N1053" s="40"/>
      <c r="O1053" s="40"/>
      <c r="P1053" s="40"/>
      <c r="Q1053" s="40"/>
      <c r="R1053" s="40"/>
      <c r="S1053" s="40"/>
      <c r="T1053" s="40"/>
    </row>
    <row r="1054" spans="1:20" ht="15.75">
      <c r="A1054" s="13">
        <v>73231</v>
      </c>
      <c r="B1054" s="48">
        <f t="shared" si="7"/>
        <v>30</v>
      </c>
      <c r="C1054" s="39">
        <v>194.20500000000001</v>
      </c>
      <c r="D1054" s="39">
        <v>267.46600000000001</v>
      </c>
      <c r="E1054" s="45">
        <v>812.32899999999995</v>
      </c>
      <c r="F1054" s="39">
        <v>1274</v>
      </c>
      <c r="G1054" s="39">
        <v>50</v>
      </c>
      <c r="H1054" s="47">
        <v>600</v>
      </c>
      <c r="I1054" s="39">
        <v>695</v>
      </c>
      <c r="J1054" s="39">
        <v>50</v>
      </c>
      <c r="K1054" s="40"/>
      <c r="L1054" s="40"/>
      <c r="M1054" s="40"/>
      <c r="N1054" s="40"/>
      <c r="O1054" s="40"/>
      <c r="P1054" s="40"/>
      <c r="Q1054" s="40"/>
      <c r="R1054" s="40"/>
      <c r="S1054" s="40"/>
      <c r="T1054" s="40"/>
    </row>
    <row r="1055" spans="1:20" ht="15.75">
      <c r="A1055" s="13">
        <v>73262</v>
      </c>
      <c r="B1055" s="48">
        <f t="shared" si="7"/>
        <v>31</v>
      </c>
      <c r="C1055" s="39">
        <v>194.20500000000001</v>
      </c>
      <c r="D1055" s="39">
        <v>267.46600000000001</v>
      </c>
      <c r="E1055" s="45">
        <v>812.32899999999995</v>
      </c>
      <c r="F1055" s="39">
        <v>1274</v>
      </c>
      <c r="G1055" s="39">
        <v>50</v>
      </c>
      <c r="H1055" s="47">
        <v>600</v>
      </c>
      <c r="I1055" s="39">
        <v>695</v>
      </c>
      <c r="J1055" s="39">
        <v>0</v>
      </c>
      <c r="K1055" s="40"/>
      <c r="L1055" s="40"/>
      <c r="M1055" s="40"/>
      <c r="N1055" s="40"/>
      <c r="O1055" s="40"/>
      <c r="P1055" s="40"/>
      <c r="Q1055" s="40"/>
      <c r="R1055" s="40"/>
      <c r="S1055" s="40"/>
      <c r="T1055" s="40"/>
    </row>
    <row r="1056" spans="1:20" ht="15.75">
      <c r="A1056" s="13">
        <v>73293</v>
      </c>
      <c r="B1056" s="48">
        <f t="shared" si="7"/>
        <v>31</v>
      </c>
      <c r="C1056" s="39">
        <v>194.20500000000001</v>
      </c>
      <c r="D1056" s="39">
        <v>267.46600000000001</v>
      </c>
      <c r="E1056" s="45">
        <v>812.32899999999995</v>
      </c>
      <c r="F1056" s="39">
        <v>1274</v>
      </c>
      <c r="G1056" s="39">
        <v>50</v>
      </c>
      <c r="H1056" s="47">
        <v>600</v>
      </c>
      <c r="I1056" s="39">
        <v>695</v>
      </c>
      <c r="J1056" s="39">
        <v>0</v>
      </c>
      <c r="K1056" s="40"/>
      <c r="L1056" s="40"/>
      <c r="M1056" s="40"/>
      <c r="N1056" s="40"/>
      <c r="O1056" s="40"/>
      <c r="P1056" s="40"/>
      <c r="Q1056" s="40"/>
      <c r="R1056" s="40"/>
      <c r="S1056" s="40"/>
      <c r="T1056" s="40"/>
    </row>
    <row r="1057" spans="1:20" ht="15.75">
      <c r="A1057" s="13">
        <v>73323</v>
      </c>
      <c r="B1057" s="48">
        <f t="shared" si="7"/>
        <v>30</v>
      </c>
      <c r="C1057" s="39">
        <v>194.20500000000001</v>
      </c>
      <c r="D1057" s="39">
        <v>267.46600000000001</v>
      </c>
      <c r="E1057" s="45">
        <v>812.32899999999995</v>
      </c>
      <c r="F1057" s="39">
        <v>1274</v>
      </c>
      <c r="G1057" s="39">
        <v>50</v>
      </c>
      <c r="H1057" s="47">
        <v>600</v>
      </c>
      <c r="I1057" s="39">
        <v>695</v>
      </c>
      <c r="J1057" s="39">
        <v>0</v>
      </c>
      <c r="K1057" s="40"/>
      <c r="L1057" s="40"/>
      <c r="M1057" s="40"/>
      <c r="N1057" s="40"/>
      <c r="O1057" s="40"/>
      <c r="P1057" s="40"/>
      <c r="Q1057" s="40"/>
      <c r="R1057" s="40"/>
      <c r="S1057" s="40"/>
      <c r="T1057" s="40"/>
    </row>
    <row r="1058" spans="1:20" ht="15.75">
      <c r="A1058" s="13">
        <v>73354</v>
      </c>
      <c r="B1058" s="48">
        <f t="shared" si="7"/>
        <v>31</v>
      </c>
      <c r="C1058" s="39">
        <v>131.881</v>
      </c>
      <c r="D1058" s="39">
        <v>277.16699999999997</v>
      </c>
      <c r="E1058" s="45">
        <v>829.952</v>
      </c>
      <c r="F1058" s="39">
        <v>1239</v>
      </c>
      <c r="G1058" s="39">
        <v>75</v>
      </c>
      <c r="H1058" s="47">
        <v>600</v>
      </c>
      <c r="I1058" s="39">
        <v>695</v>
      </c>
      <c r="J1058" s="39">
        <v>0</v>
      </c>
      <c r="K1058" s="40"/>
      <c r="L1058" s="40"/>
      <c r="M1058" s="40"/>
      <c r="N1058" s="40"/>
      <c r="O1058" s="40"/>
      <c r="P1058" s="40"/>
      <c r="Q1058" s="40"/>
      <c r="R1058" s="40"/>
      <c r="S1058" s="40"/>
      <c r="T1058" s="40"/>
    </row>
    <row r="1059" spans="1:20" ht="15.75">
      <c r="A1059" s="13">
        <v>73384</v>
      </c>
      <c r="B1059" s="48">
        <f t="shared" si="7"/>
        <v>30</v>
      </c>
      <c r="C1059" s="39">
        <v>122.58</v>
      </c>
      <c r="D1059" s="39">
        <v>297.94099999999997</v>
      </c>
      <c r="E1059" s="45">
        <v>729.47900000000004</v>
      </c>
      <c r="F1059" s="39">
        <v>1150</v>
      </c>
      <c r="G1059" s="39">
        <v>100</v>
      </c>
      <c r="H1059" s="47">
        <v>600</v>
      </c>
      <c r="I1059" s="39">
        <v>695</v>
      </c>
      <c r="J1059" s="39">
        <v>50</v>
      </c>
      <c r="K1059" s="40"/>
      <c r="L1059" s="40"/>
      <c r="M1059" s="40"/>
      <c r="N1059" s="40"/>
      <c r="O1059" s="40"/>
      <c r="P1059" s="40"/>
      <c r="Q1059" s="40"/>
      <c r="R1059" s="40"/>
      <c r="S1059" s="40"/>
      <c r="T1059" s="40"/>
    </row>
    <row r="1060" spans="1:20" ht="15.75">
      <c r="A1060" s="13">
        <v>73415</v>
      </c>
      <c r="B1060" s="48">
        <f t="shared" si="7"/>
        <v>31</v>
      </c>
      <c r="C1060" s="39">
        <v>122.58</v>
      </c>
      <c r="D1060" s="39">
        <v>297.94099999999997</v>
      </c>
      <c r="E1060" s="45">
        <v>729.47900000000004</v>
      </c>
      <c r="F1060" s="39">
        <v>1150</v>
      </c>
      <c r="G1060" s="39">
        <v>100</v>
      </c>
      <c r="H1060" s="47">
        <v>600</v>
      </c>
      <c r="I1060" s="39">
        <v>695</v>
      </c>
      <c r="J1060" s="39">
        <v>50</v>
      </c>
      <c r="K1060" s="40"/>
      <c r="L1060" s="40"/>
      <c r="M1060" s="40"/>
      <c r="N1060" s="40"/>
      <c r="O1060" s="40"/>
      <c r="P1060" s="40"/>
      <c r="Q1060" s="40"/>
      <c r="R1060" s="40"/>
      <c r="S1060" s="40"/>
      <c r="T1060" s="40"/>
    </row>
    <row r="1061" spans="1:20" ht="15">
      <c r="A1061" s="10"/>
      <c r="B1061" s="46"/>
      <c r="C1061" s="39"/>
      <c r="D1061" s="39"/>
      <c r="E1061" s="45"/>
      <c r="F1061" s="39"/>
      <c r="G1061" s="39"/>
      <c r="H1061" s="39"/>
      <c r="I1061" s="39"/>
      <c r="J1061" s="39"/>
      <c r="K1061" s="40"/>
      <c r="L1061" s="40"/>
      <c r="M1061" s="40"/>
      <c r="N1061" s="40"/>
      <c r="O1061" s="40"/>
      <c r="P1061" s="40"/>
      <c r="Q1061" s="40"/>
      <c r="R1061" s="40"/>
      <c r="S1061" s="40"/>
      <c r="T1061" s="40"/>
    </row>
    <row r="1062" spans="1:20" ht="15.75">
      <c r="A1062" s="3">
        <v>2014</v>
      </c>
      <c r="B1062" s="3">
        <f t="shared" ref="B1062:B1093" si="8">DATE(A1062+1,1,1)-DATE(A1062,1,1)</f>
        <v>365</v>
      </c>
      <c r="C1062" s="42">
        <f>AVERAGE(C17:C28)</f>
        <v>154.75825</v>
      </c>
      <c r="D1062" s="42">
        <f>AVERAGE(D17:D28)</f>
        <v>281.0162499999999</v>
      </c>
      <c r="E1062" s="42">
        <f>AVERAGE(E17:E28)</f>
        <v>801.55883333333315</v>
      </c>
      <c r="F1062" s="42">
        <f>AVERAGE(F17:F28)</f>
        <v>1237.3333333333333</v>
      </c>
      <c r="G1062" s="42">
        <f>AVERAGE(G17:G28)</f>
        <v>79.166666666666671</v>
      </c>
      <c r="H1062" s="44"/>
      <c r="I1062" s="42">
        <f>AVERAGE(I17:I28)</f>
        <v>695</v>
      </c>
      <c r="J1062" s="42">
        <f>AVERAGE(J17:J28)</f>
        <v>33.333333333333336</v>
      </c>
      <c r="K1062" s="40"/>
      <c r="L1062" s="40"/>
      <c r="M1062" s="40"/>
      <c r="N1062" s="40"/>
      <c r="O1062" s="40"/>
      <c r="P1062" s="40"/>
      <c r="Q1062" s="40"/>
      <c r="R1062" s="40"/>
      <c r="S1062" s="40"/>
      <c r="T1062" s="40"/>
    </row>
    <row r="1063" spans="1:20" ht="15.75">
      <c r="A1063" s="3">
        <v>2015</v>
      </c>
      <c r="B1063" s="3">
        <f t="shared" si="8"/>
        <v>365</v>
      </c>
      <c r="C1063" s="42">
        <f>AVERAGE(C29:C40)</f>
        <v>154.75825</v>
      </c>
      <c r="D1063" s="42">
        <f>AVERAGE(D29:D40)</f>
        <v>281.0162499999999</v>
      </c>
      <c r="E1063" s="42">
        <f>AVERAGE(E29:E40)</f>
        <v>801.55883333333315</v>
      </c>
      <c r="F1063" s="42">
        <f>AVERAGE(F29:F40)</f>
        <v>1237.3333333333333</v>
      </c>
      <c r="G1063" s="42">
        <f>AVERAGE(G29:G40)</f>
        <v>79.166666666666671</v>
      </c>
      <c r="H1063" s="44"/>
      <c r="I1063" s="42">
        <f>AVERAGE(I29:I40)</f>
        <v>695</v>
      </c>
      <c r="J1063" s="42">
        <f>AVERAGE(J29:J40)</f>
        <v>33.333333333333336</v>
      </c>
      <c r="K1063" s="40"/>
      <c r="L1063" s="40"/>
      <c r="M1063" s="40"/>
      <c r="N1063" s="40"/>
      <c r="O1063" s="40"/>
      <c r="P1063" s="40"/>
      <c r="Q1063" s="40"/>
      <c r="R1063" s="40"/>
      <c r="S1063" s="40"/>
      <c r="T1063" s="40"/>
    </row>
    <row r="1064" spans="1:20" ht="15.75">
      <c r="A1064" s="3">
        <v>2016</v>
      </c>
      <c r="B1064" s="3">
        <f t="shared" si="8"/>
        <v>366</v>
      </c>
      <c r="C1064" s="42">
        <f>AVERAGE(C41:C52)</f>
        <v>154.75825</v>
      </c>
      <c r="D1064" s="42">
        <f>AVERAGE(D41:D52)</f>
        <v>281.0162499999999</v>
      </c>
      <c r="E1064" s="42">
        <f>AVERAGE(E41:E52)</f>
        <v>780.7254999999999</v>
      </c>
      <c r="F1064" s="42">
        <f>AVERAGE(F41:F52)</f>
        <v>1216.5</v>
      </c>
      <c r="G1064" s="42">
        <f>AVERAGE(G41:G52)</f>
        <v>79.166666666666671</v>
      </c>
      <c r="H1064" s="44"/>
      <c r="I1064" s="42">
        <f>AVERAGE(I41:I52)</f>
        <v>695</v>
      </c>
      <c r="J1064" s="42">
        <f>AVERAGE(J41:J52)</f>
        <v>33.333333333333336</v>
      </c>
      <c r="K1064" s="40"/>
      <c r="L1064" s="40"/>
      <c r="M1064" s="40"/>
      <c r="N1064" s="40"/>
      <c r="O1064" s="40"/>
      <c r="P1064" s="40"/>
      <c r="Q1064" s="40"/>
      <c r="R1064" s="40"/>
      <c r="S1064" s="40"/>
      <c r="T1064" s="40"/>
    </row>
    <row r="1065" spans="1:20" ht="15">
      <c r="A1065" s="3">
        <v>2017</v>
      </c>
      <c r="B1065" s="3">
        <f t="shared" si="8"/>
        <v>365</v>
      </c>
      <c r="C1065" s="42">
        <f t="shared" ref="C1065:J1065" si="9">AVERAGE(C53:C64)</f>
        <v>154.75825</v>
      </c>
      <c r="D1065" s="42">
        <f t="shared" si="9"/>
        <v>281.0162499999999</v>
      </c>
      <c r="E1065" s="42">
        <f t="shared" si="9"/>
        <v>780.7254999999999</v>
      </c>
      <c r="F1065" s="42">
        <f t="shared" si="9"/>
        <v>1216.5</v>
      </c>
      <c r="G1065" s="42">
        <f t="shared" si="9"/>
        <v>79.166666666666671</v>
      </c>
      <c r="H1065" s="43">
        <f t="shared" si="9"/>
        <v>400</v>
      </c>
      <c r="I1065" s="42">
        <f t="shared" si="9"/>
        <v>695</v>
      </c>
      <c r="J1065" s="42">
        <f t="shared" si="9"/>
        <v>33.333333333333336</v>
      </c>
      <c r="K1065" s="40"/>
      <c r="L1065" s="40"/>
      <c r="M1065" s="40"/>
      <c r="N1065" s="40"/>
      <c r="O1065" s="40"/>
      <c r="P1065" s="40"/>
      <c r="Q1065" s="40"/>
      <c r="R1065" s="40"/>
      <c r="S1065" s="40"/>
      <c r="T1065" s="40"/>
    </row>
    <row r="1066" spans="1:20" ht="15">
      <c r="A1066" s="3">
        <v>2018</v>
      </c>
      <c r="B1066" s="3">
        <f t="shared" si="8"/>
        <v>365</v>
      </c>
      <c r="C1066" s="42">
        <f t="shared" ref="C1066:J1066" si="10">AVERAGE(C65:C76)</f>
        <v>154.75825</v>
      </c>
      <c r="D1066" s="42">
        <f t="shared" si="10"/>
        <v>281.0162499999999</v>
      </c>
      <c r="E1066" s="42">
        <f t="shared" si="10"/>
        <v>780.7254999999999</v>
      </c>
      <c r="F1066" s="42">
        <f t="shared" si="10"/>
        <v>1216.5</v>
      </c>
      <c r="G1066" s="42">
        <f t="shared" si="10"/>
        <v>79.166666666666671</v>
      </c>
      <c r="H1066" s="43">
        <f t="shared" si="10"/>
        <v>400</v>
      </c>
      <c r="I1066" s="42">
        <f t="shared" si="10"/>
        <v>695</v>
      </c>
      <c r="J1066" s="42">
        <f t="shared" si="10"/>
        <v>33.333333333333336</v>
      </c>
      <c r="K1066" s="40"/>
      <c r="L1066" s="40"/>
      <c r="M1066" s="40"/>
      <c r="N1066" s="40"/>
      <c r="O1066" s="40"/>
      <c r="P1066" s="40"/>
      <c r="Q1066" s="40"/>
      <c r="R1066" s="40"/>
      <c r="S1066" s="40"/>
      <c r="T1066" s="40"/>
    </row>
    <row r="1067" spans="1:20" ht="15">
      <c r="A1067" s="3">
        <v>2019</v>
      </c>
      <c r="B1067" s="3">
        <f t="shared" si="8"/>
        <v>365</v>
      </c>
      <c r="C1067" s="42">
        <f t="shared" ref="C1067:J1067" si="11">AVERAGE(C77:C88)</f>
        <v>154.75825</v>
      </c>
      <c r="D1067" s="42">
        <f t="shared" si="11"/>
        <v>281.0162499999999</v>
      </c>
      <c r="E1067" s="42">
        <f t="shared" si="11"/>
        <v>780.7254999999999</v>
      </c>
      <c r="F1067" s="42">
        <f t="shared" si="11"/>
        <v>1216.5</v>
      </c>
      <c r="G1067" s="42">
        <f t="shared" si="11"/>
        <v>79.166666666666671</v>
      </c>
      <c r="H1067" s="43">
        <f t="shared" si="11"/>
        <v>400</v>
      </c>
      <c r="I1067" s="42">
        <f t="shared" si="11"/>
        <v>695</v>
      </c>
      <c r="J1067" s="42">
        <f t="shared" si="11"/>
        <v>33.333333333333336</v>
      </c>
      <c r="K1067" s="40"/>
      <c r="L1067" s="40"/>
      <c r="M1067" s="40"/>
      <c r="N1067" s="40"/>
      <c r="O1067" s="40"/>
      <c r="P1067" s="40"/>
      <c r="Q1067" s="40"/>
      <c r="R1067" s="40"/>
      <c r="S1067" s="40"/>
      <c r="T1067" s="40"/>
    </row>
    <row r="1068" spans="1:20" ht="15">
      <c r="A1068" s="3">
        <v>2020</v>
      </c>
      <c r="B1068" s="3">
        <f t="shared" si="8"/>
        <v>366</v>
      </c>
      <c r="C1068" s="42">
        <f t="shared" ref="C1068:J1068" si="12">AVERAGE(C89:C100)</f>
        <v>154.75825</v>
      </c>
      <c r="D1068" s="42">
        <f t="shared" si="12"/>
        <v>281.0162499999999</v>
      </c>
      <c r="E1068" s="42">
        <f t="shared" si="12"/>
        <v>780.7254999999999</v>
      </c>
      <c r="F1068" s="42">
        <f t="shared" si="12"/>
        <v>1216.5</v>
      </c>
      <c r="G1068" s="42">
        <f t="shared" si="12"/>
        <v>79.166666666666671</v>
      </c>
      <c r="H1068" s="43">
        <f t="shared" si="12"/>
        <v>533.33333333333337</v>
      </c>
      <c r="I1068" s="42">
        <f t="shared" si="12"/>
        <v>695</v>
      </c>
      <c r="J1068" s="42">
        <f t="shared" si="12"/>
        <v>33.333333333333336</v>
      </c>
      <c r="K1068" s="40"/>
      <c r="L1068" s="40"/>
      <c r="M1068" s="40"/>
      <c r="N1068" s="40"/>
      <c r="O1068" s="40"/>
      <c r="P1068" s="40"/>
      <c r="Q1068" s="40"/>
      <c r="R1068" s="40"/>
      <c r="S1068" s="40"/>
      <c r="T1068" s="40"/>
    </row>
    <row r="1069" spans="1:20" ht="15">
      <c r="A1069" s="3">
        <v>2021</v>
      </c>
      <c r="B1069" s="3">
        <f t="shared" si="8"/>
        <v>365</v>
      </c>
      <c r="C1069" s="42">
        <f t="shared" ref="C1069:J1069" si="13">AVERAGE(C101:C112)</f>
        <v>154.75825</v>
      </c>
      <c r="D1069" s="42">
        <f t="shared" si="13"/>
        <v>281.0162499999999</v>
      </c>
      <c r="E1069" s="42">
        <f t="shared" si="13"/>
        <v>780.7254999999999</v>
      </c>
      <c r="F1069" s="42">
        <f t="shared" si="13"/>
        <v>1216.5</v>
      </c>
      <c r="G1069" s="42">
        <f t="shared" si="13"/>
        <v>79.166666666666671</v>
      </c>
      <c r="H1069" s="43">
        <f t="shared" si="13"/>
        <v>600</v>
      </c>
      <c r="I1069" s="42">
        <f t="shared" si="13"/>
        <v>695</v>
      </c>
      <c r="J1069" s="42">
        <f t="shared" si="13"/>
        <v>33.333333333333336</v>
      </c>
      <c r="K1069" s="40"/>
      <c r="L1069" s="40"/>
      <c r="M1069" s="40"/>
      <c r="N1069" s="40"/>
      <c r="O1069" s="40"/>
      <c r="P1069" s="40"/>
      <c r="Q1069" s="40"/>
      <c r="R1069" s="40"/>
      <c r="S1069" s="40"/>
      <c r="T1069" s="40"/>
    </row>
    <row r="1070" spans="1:20" ht="15">
      <c r="A1070" s="3">
        <v>2022</v>
      </c>
      <c r="B1070" s="3">
        <f t="shared" si="8"/>
        <v>365</v>
      </c>
      <c r="C1070" s="42">
        <f t="shared" ref="C1070:J1070" si="14">AVERAGE(C113:C124)</f>
        <v>154.75825</v>
      </c>
      <c r="D1070" s="42">
        <f t="shared" si="14"/>
        <v>281.0162499999999</v>
      </c>
      <c r="E1070" s="42">
        <f t="shared" si="14"/>
        <v>780.7254999999999</v>
      </c>
      <c r="F1070" s="42">
        <f t="shared" si="14"/>
        <v>1216.5</v>
      </c>
      <c r="G1070" s="42">
        <f t="shared" si="14"/>
        <v>79.166666666666671</v>
      </c>
      <c r="H1070" s="43">
        <f t="shared" si="14"/>
        <v>600</v>
      </c>
      <c r="I1070" s="42">
        <f t="shared" si="14"/>
        <v>695</v>
      </c>
      <c r="J1070" s="42">
        <f t="shared" si="14"/>
        <v>33.333333333333336</v>
      </c>
      <c r="K1070" s="40"/>
      <c r="L1070" s="40"/>
      <c r="M1070" s="40"/>
      <c r="N1070" s="40"/>
      <c r="O1070" s="40"/>
      <c r="P1070" s="40"/>
      <c r="Q1070" s="40"/>
      <c r="R1070" s="40"/>
      <c r="S1070" s="40"/>
      <c r="T1070" s="40"/>
    </row>
    <row r="1071" spans="1:20" ht="15">
      <c r="A1071" s="3">
        <v>2023</v>
      </c>
      <c r="B1071" s="3">
        <f t="shared" si="8"/>
        <v>365</v>
      </c>
      <c r="C1071" s="42">
        <f t="shared" ref="C1071:J1071" si="15">AVERAGE(C125:C136)</f>
        <v>154.75825</v>
      </c>
      <c r="D1071" s="42">
        <f t="shared" si="15"/>
        <v>281.0162499999999</v>
      </c>
      <c r="E1071" s="42">
        <f t="shared" si="15"/>
        <v>780.7254999999999</v>
      </c>
      <c r="F1071" s="42">
        <f t="shared" si="15"/>
        <v>1216.5</v>
      </c>
      <c r="G1071" s="42">
        <f t="shared" si="15"/>
        <v>79.166666666666671</v>
      </c>
      <c r="H1071" s="43">
        <f t="shared" si="15"/>
        <v>600</v>
      </c>
      <c r="I1071" s="42">
        <f t="shared" si="15"/>
        <v>695</v>
      </c>
      <c r="J1071" s="42">
        <f t="shared" si="15"/>
        <v>33.333333333333336</v>
      </c>
      <c r="K1071" s="40"/>
      <c r="L1071" s="40"/>
      <c r="M1071" s="40"/>
      <c r="N1071" s="40"/>
      <c r="O1071" s="40"/>
      <c r="P1071" s="40"/>
      <c r="Q1071" s="40"/>
      <c r="R1071" s="40"/>
      <c r="S1071" s="40"/>
      <c r="T1071" s="40"/>
    </row>
    <row r="1072" spans="1:20" ht="15">
      <c r="A1072" s="3">
        <v>2024</v>
      </c>
      <c r="B1072" s="3">
        <f t="shared" si="8"/>
        <v>366</v>
      </c>
      <c r="C1072" s="42">
        <f t="shared" ref="C1072:J1072" si="16">AVERAGE(C137:C148)</f>
        <v>154.75825</v>
      </c>
      <c r="D1072" s="42">
        <f t="shared" si="16"/>
        <v>281.0162499999999</v>
      </c>
      <c r="E1072" s="42">
        <f t="shared" si="16"/>
        <v>780.7254999999999</v>
      </c>
      <c r="F1072" s="42">
        <f t="shared" si="16"/>
        <v>1216.5</v>
      </c>
      <c r="G1072" s="42">
        <f t="shared" si="16"/>
        <v>79.166666666666671</v>
      </c>
      <c r="H1072" s="43">
        <f t="shared" si="16"/>
        <v>600</v>
      </c>
      <c r="I1072" s="42">
        <f t="shared" si="16"/>
        <v>695</v>
      </c>
      <c r="J1072" s="42">
        <f t="shared" si="16"/>
        <v>33.333333333333336</v>
      </c>
      <c r="K1072" s="40"/>
      <c r="L1072" s="40"/>
      <c r="M1072" s="40"/>
      <c r="N1072" s="40"/>
      <c r="O1072" s="40"/>
      <c r="P1072" s="40"/>
      <c r="Q1072" s="40"/>
      <c r="R1072" s="40"/>
      <c r="S1072" s="40"/>
      <c r="T1072" s="40"/>
    </row>
    <row r="1073" spans="1:20" ht="15">
      <c r="A1073" s="3">
        <v>2025</v>
      </c>
      <c r="B1073" s="3">
        <f t="shared" si="8"/>
        <v>365</v>
      </c>
      <c r="C1073" s="42">
        <f t="shared" ref="C1073:J1073" si="17">AVERAGE(C149:C160)</f>
        <v>154.75825</v>
      </c>
      <c r="D1073" s="42">
        <f t="shared" si="17"/>
        <v>281.0162499999999</v>
      </c>
      <c r="E1073" s="42">
        <f t="shared" si="17"/>
        <v>780.7254999999999</v>
      </c>
      <c r="F1073" s="42">
        <f t="shared" si="17"/>
        <v>1216.5</v>
      </c>
      <c r="G1073" s="42">
        <f t="shared" si="17"/>
        <v>79.166666666666671</v>
      </c>
      <c r="H1073" s="43">
        <f t="shared" si="17"/>
        <v>600</v>
      </c>
      <c r="I1073" s="42">
        <f t="shared" si="17"/>
        <v>695</v>
      </c>
      <c r="J1073" s="42">
        <f t="shared" si="17"/>
        <v>33.333333333333336</v>
      </c>
      <c r="K1073" s="40"/>
      <c r="L1073" s="40"/>
      <c r="M1073" s="40"/>
      <c r="N1073" s="40"/>
      <c r="O1073" s="40"/>
      <c r="P1073" s="40"/>
      <c r="Q1073" s="40"/>
      <c r="R1073" s="40"/>
      <c r="S1073" s="40"/>
      <c r="T1073" s="40"/>
    </row>
    <row r="1074" spans="1:20" ht="15">
      <c r="A1074" s="3">
        <v>2026</v>
      </c>
      <c r="B1074" s="3">
        <f t="shared" si="8"/>
        <v>365</v>
      </c>
      <c r="C1074" s="42">
        <f t="shared" ref="C1074:J1074" si="18">AVERAGE(C161:C172)</f>
        <v>154.75825</v>
      </c>
      <c r="D1074" s="42">
        <f t="shared" si="18"/>
        <v>281.0162499999999</v>
      </c>
      <c r="E1074" s="42">
        <f t="shared" si="18"/>
        <v>780.7254999999999</v>
      </c>
      <c r="F1074" s="42">
        <f t="shared" si="18"/>
        <v>1216.5</v>
      </c>
      <c r="G1074" s="42">
        <f t="shared" si="18"/>
        <v>79.166666666666671</v>
      </c>
      <c r="H1074" s="43">
        <f t="shared" si="18"/>
        <v>600</v>
      </c>
      <c r="I1074" s="42">
        <f t="shared" si="18"/>
        <v>695</v>
      </c>
      <c r="J1074" s="42">
        <f t="shared" si="18"/>
        <v>33.333333333333336</v>
      </c>
      <c r="K1074" s="40"/>
      <c r="L1074" s="40"/>
      <c r="M1074" s="40"/>
      <c r="N1074" s="40"/>
      <c r="O1074" s="40"/>
      <c r="P1074" s="40"/>
      <c r="Q1074" s="40"/>
      <c r="R1074" s="40"/>
      <c r="S1074" s="40"/>
      <c r="T1074" s="40"/>
    </row>
    <row r="1075" spans="1:20" ht="15">
      <c r="A1075" s="3">
        <v>2027</v>
      </c>
      <c r="B1075" s="3">
        <f t="shared" si="8"/>
        <v>365</v>
      </c>
      <c r="C1075" s="42">
        <f t="shared" ref="C1075:J1075" si="19">AVERAGE(C173:C184)</f>
        <v>154.75825</v>
      </c>
      <c r="D1075" s="42">
        <f t="shared" si="19"/>
        <v>281.0162499999999</v>
      </c>
      <c r="E1075" s="42">
        <f t="shared" si="19"/>
        <v>780.7254999999999</v>
      </c>
      <c r="F1075" s="42">
        <f t="shared" si="19"/>
        <v>1216.5</v>
      </c>
      <c r="G1075" s="42">
        <f t="shared" si="19"/>
        <v>79.166666666666671</v>
      </c>
      <c r="H1075" s="43">
        <f t="shared" si="19"/>
        <v>600</v>
      </c>
      <c r="I1075" s="42">
        <f t="shared" si="19"/>
        <v>695</v>
      </c>
      <c r="J1075" s="42">
        <f t="shared" si="19"/>
        <v>33.333333333333336</v>
      </c>
      <c r="K1075" s="40"/>
      <c r="L1075" s="40"/>
      <c r="M1075" s="40"/>
      <c r="N1075" s="40"/>
      <c r="O1075" s="40"/>
      <c r="P1075" s="40"/>
      <c r="Q1075" s="40"/>
      <c r="R1075" s="40"/>
      <c r="S1075" s="40"/>
      <c r="T1075" s="40"/>
    </row>
    <row r="1076" spans="1:20" ht="15">
      <c r="A1076" s="3">
        <v>2028</v>
      </c>
      <c r="B1076" s="3">
        <f t="shared" si="8"/>
        <v>366</v>
      </c>
      <c r="C1076" s="42">
        <f t="shared" ref="C1076:J1076" si="20">AVERAGE(C185:C196)</f>
        <v>154.75825</v>
      </c>
      <c r="D1076" s="42">
        <f t="shared" si="20"/>
        <v>281.0162499999999</v>
      </c>
      <c r="E1076" s="42">
        <f t="shared" si="20"/>
        <v>780.7254999999999</v>
      </c>
      <c r="F1076" s="42">
        <f t="shared" si="20"/>
        <v>1216.5</v>
      </c>
      <c r="G1076" s="42">
        <f t="shared" si="20"/>
        <v>79.166666666666671</v>
      </c>
      <c r="H1076" s="43">
        <f t="shared" si="20"/>
        <v>600</v>
      </c>
      <c r="I1076" s="42">
        <f t="shared" si="20"/>
        <v>695</v>
      </c>
      <c r="J1076" s="42">
        <f t="shared" si="20"/>
        <v>33.333333333333336</v>
      </c>
      <c r="K1076" s="40"/>
      <c r="L1076" s="40"/>
      <c r="M1076" s="40"/>
      <c r="N1076" s="40"/>
      <c r="O1076" s="40"/>
      <c r="P1076" s="40"/>
      <c r="Q1076" s="40"/>
      <c r="R1076" s="40"/>
      <c r="S1076" s="40"/>
      <c r="T1076" s="40"/>
    </row>
    <row r="1077" spans="1:20" ht="15">
      <c r="A1077" s="3">
        <v>2029</v>
      </c>
      <c r="B1077" s="3">
        <f t="shared" si="8"/>
        <v>365</v>
      </c>
      <c r="C1077" s="42">
        <f t="shared" ref="C1077:J1077" si="21">AVERAGE(C197:C208)</f>
        <v>154.75825</v>
      </c>
      <c r="D1077" s="42">
        <f t="shared" si="21"/>
        <v>281.0162499999999</v>
      </c>
      <c r="E1077" s="42">
        <f t="shared" si="21"/>
        <v>780.7254999999999</v>
      </c>
      <c r="F1077" s="42">
        <f t="shared" si="21"/>
        <v>1216.5</v>
      </c>
      <c r="G1077" s="42">
        <f t="shared" si="21"/>
        <v>79.166666666666671</v>
      </c>
      <c r="H1077" s="43">
        <f t="shared" si="21"/>
        <v>600</v>
      </c>
      <c r="I1077" s="42">
        <f t="shared" si="21"/>
        <v>695</v>
      </c>
      <c r="J1077" s="42">
        <f t="shared" si="21"/>
        <v>33.333333333333336</v>
      </c>
      <c r="K1077" s="40"/>
      <c r="L1077" s="40"/>
      <c r="M1077" s="40"/>
      <c r="N1077" s="40"/>
      <c r="O1077" s="40"/>
      <c r="P1077" s="40"/>
      <c r="Q1077" s="40"/>
      <c r="R1077" s="40"/>
      <c r="S1077" s="40"/>
      <c r="T1077" s="40"/>
    </row>
    <row r="1078" spans="1:20" ht="15">
      <c r="A1078" s="3">
        <v>2030</v>
      </c>
      <c r="B1078" s="3">
        <f t="shared" si="8"/>
        <v>365</v>
      </c>
      <c r="C1078" s="42">
        <f t="shared" ref="C1078:J1078" si="22">AVERAGE(C209:C220)</f>
        <v>154.75825</v>
      </c>
      <c r="D1078" s="42">
        <f t="shared" si="22"/>
        <v>281.0162499999999</v>
      </c>
      <c r="E1078" s="42">
        <f t="shared" si="22"/>
        <v>780.7254999999999</v>
      </c>
      <c r="F1078" s="42">
        <f t="shared" si="22"/>
        <v>1216.5</v>
      </c>
      <c r="G1078" s="42">
        <f t="shared" si="22"/>
        <v>79.166666666666671</v>
      </c>
      <c r="H1078" s="43">
        <f t="shared" si="22"/>
        <v>600</v>
      </c>
      <c r="I1078" s="42">
        <f t="shared" si="22"/>
        <v>695</v>
      </c>
      <c r="J1078" s="42">
        <f t="shared" si="22"/>
        <v>33.333333333333336</v>
      </c>
      <c r="K1078" s="40"/>
      <c r="L1078" s="40"/>
      <c r="M1078" s="40"/>
      <c r="N1078" s="40"/>
      <c r="O1078" s="40"/>
      <c r="P1078" s="40"/>
      <c r="Q1078" s="40"/>
      <c r="R1078" s="40"/>
      <c r="S1078" s="40"/>
      <c r="T1078" s="40"/>
    </row>
    <row r="1079" spans="1:20" ht="15">
      <c r="A1079" s="3">
        <v>2031</v>
      </c>
      <c r="B1079" s="3">
        <f t="shared" si="8"/>
        <v>365</v>
      </c>
      <c r="C1079" s="42">
        <f t="shared" ref="C1079:J1079" si="23">AVERAGE(C221:C232)</f>
        <v>154.75825</v>
      </c>
      <c r="D1079" s="42">
        <f t="shared" si="23"/>
        <v>281.0162499999999</v>
      </c>
      <c r="E1079" s="42">
        <f t="shared" si="23"/>
        <v>780.7254999999999</v>
      </c>
      <c r="F1079" s="42">
        <f t="shared" si="23"/>
        <v>1216.5</v>
      </c>
      <c r="G1079" s="42">
        <f t="shared" si="23"/>
        <v>79.166666666666671</v>
      </c>
      <c r="H1079" s="43">
        <f t="shared" si="23"/>
        <v>600</v>
      </c>
      <c r="I1079" s="42">
        <f t="shared" si="23"/>
        <v>695</v>
      </c>
      <c r="J1079" s="42">
        <f t="shared" si="23"/>
        <v>33.333333333333336</v>
      </c>
      <c r="K1079" s="40"/>
      <c r="L1079" s="40"/>
      <c r="M1079" s="40"/>
      <c r="N1079" s="40"/>
      <c r="O1079" s="40"/>
      <c r="P1079" s="40"/>
      <c r="Q1079" s="40"/>
      <c r="R1079" s="40"/>
      <c r="S1079" s="40"/>
      <c r="T1079" s="40"/>
    </row>
    <row r="1080" spans="1:20" ht="15">
      <c r="A1080" s="3">
        <v>2032</v>
      </c>
      <c r="B1080" s="3">
        <f t="shared" si="8"/>
        <v>366</v>
      </c>
      <c r="C1080" s="42">
        <f t="shared" ref="C1080:J1080" si="24">AVERAGE(C233:C244)</f>
        <v>154.75825</v>
      </c>
      <c r="D1080" s="42">
        <f t="shared" si="24"/>
        <v>281.0162499999999</v>
      </c>
      <c r="E1080" s="42">
        <f t="shared" si="24"/>
        <v>780.7254999999999</v>
      </c>
      <c r="F1080" s="42">
        <f t="shared" si="24"/>
        <v>1216.5</v>
      </c>
      <c r="G1080" s="42">
        <f t="shared" si="24"/>
        <v>79.166666666666671</v>
      </c>
      <c r="H1080" s="43">
        <f t="shared" si="24"/>
        <v>600</v>
      </c>
      <c r="I1080" s="42">
        <f t="shared" si="24"/>
        <v>695</v>
      </c>
      <c r="J1080" s="42">
        <f t="shared" si="24"/>
        <v>33.333333333333336</v>
      </c>
      <c r="K1080" s="40"/>
      <c r="L1080" s="40"/>
      <c r="M1080" s="40"/>
      <c r="N1080" s="40"/>
      <c r="O1080" s="40"/>
      <c r="P1080" s="40"/>
      <c r="Q1080" s="40"/>
      <c r="R1080" s="40"/>
      <c r="S1080" s="40"/>
      <c r="T1080" s="40"/>
    </row>
    <row r="1081" spans="1:20" ht="15">
      <c r="A1081" s="3">
        <v>2033</v>
      </c>
      <c r="B1081" s="3">
        <f t="shared" si="8"/>
        <v>365</v>
      </c>
      <c r="C1081" s="42">
        <f t="shared" ref="C1081:J1081" si="25">AVERAGE(C245:C256)</f>
        <v>154.75825</v>
      </c>
      <c r="D1081" s="42">
        <f t="shared" si="25"/>
        <v>281.0162499999999</v>
      </c>
      <c r="E1081" s="42">
        <f t="shared" si="25"/>
        <v>780.7254999999999</v>
      </c>
      <c r="F1081" s="42">
        <f t="shared" si="25"/>
        <v>1216.5</v>
      </c>
      <c r="G1081" s="42">
        <f t="shared" si="25"/>
        <v>79.166666666666671</v>
      </c>
      <c r="H1081" s="43">
        <f t="shared" si="25"/>
        <v>600</v>
      </c>
      <c r="I1081" s="42">
        <f t="shared" si="25"/>
        <v>695</v>
      </c>
      <c r="J1081" s="42">
        <f t="shared" si="25"/>
        <v>33.333333333333336</v>
      </c>
      <c r="K1081" s="40"/>
      <c r="L1081" s="40"/>
      <c r="M1081" s="40"/>
      <c r="N1081" s="40"/>
      <c r="O1081" s="40"/>
      <c r="P1081" s="40"/>
      <c r="Q1081" s="40"/>
      <c r="R1081" s="40"/>
      <c r="S1081" s="40"/>
      <c r="T1081" s="40"/>
    </row>
    <row r="1082" spans="1:20" ht="15">
      <c r="A1082" s="3">
        <v>2034</v>
      </c>
      <c r="B1082" s="3">
        <f t="shared" si="8"/>
        <v>365</v>
      </c>
      <c r="C1082" s="42">
        <f t="shared" ref="C1082:J1082" si="26">AVERAGE(C257:C268)</f>
        <v>154.75825</v>
      </c>
      <c r="D1082" s="42">
        <f t="shared" si="26"/>
        <v>281.0162499999999</v>
      </c>
      <c r="E1082" s="42">
        <f t="shared" si="26"/>
        <v>780.7254999999999</v>
      </c>
      <c r="F1082" s="42">
        <f t="shared" si="26"/>
        <v>1216.5</v>
      </c>
      <c r="G1082" s="42">
        <f t="shared" si="26"/>
        <v>79.166666666666671</v>
      </c>
      <c r="H1082" s="43">
        <f t="shared" si="26"/>
        <v>600</v>
      </c>
      <c r="I1082" s="42">
        <f t="shared" si="26"/>
        <v>695</v>
      </c>
      <c r="J1082" s="42">
        <f t="shared" si="26"/>
        <v>33.333333333333336</v>
      </c>
      <c r="K1082" s="40"/>
      <c r="L1082" s="40"/>
      <c r="M1082" s="40"/>
      <c r="N1082" s="40"/>
      <c r="O1082" s="40"/>
      <c r="P1082" s="40"/>
      <c r="Q1082" s="40"/>
      <c r="R1082" s="40"/>
      <c r="S1082" s="40"/>
      <c r="T1082" s="40"/>
    </row>
    <row r="1083" spans="1:20" ht="15">
      <c r="A1083" s="3">
        <v>2035</v>
      </c>
      <c r="B1083" s="3">
        <f t="shared" si="8"/>
        <v>365</v>
      </c>
      <c r="C1083" s="42">
        <f t="shared" ref="C1083:J1083" si="27">AVERAGE(C269:C280)</f>
        <v>154.75825</v>
      </c>
      <c r="D1083" s="42">
        <f t="shared" si="27"/>
        <v>281.0162499999999</v>
      </c>
      <c r="E1083" s="42">
        <f t="shared" si="27"/>
        <v>780.7254999999999</v>
      </c>
      <c r="F1083" s="42">
        <f t="shared" si="27"/>
        <v>1216.5</v>
      </c>
      <c r="G1083" s="42">
        <f t="shared" si="27"/>
        <v>79.166666666666671</v>
      </c>
      <c r="H1083" s="43">
        <f t="shared" si="27"/>
        <v>600</v>
      </c>
      <c r="I1083" s="42">
        <f t="shared" si="27"/>
        <v>695</v>
      </c>
      <c r="J1083" s="42">
        <f t="shared" si="27"/>
        <v>33.333333333333336</v>
      </c>
      <c r="K1083" s="40"/>
      <c r="L1083" s="40"/>
      <c r="M1083" s="40"/>
      <c r="N1083" s="40"/>
      <c r="O1083" s="40"/>
      <c r="P1083" s="40"/>
      <c r="Q1083" s="40"/>
      <c r="R1083" s="40"/>
      <c r="S1083" s="40"/>
      <c r="T1083" s="40"/>
    </row>
    <row r="1084" spans="1:20" ht="15">
      <c r="A1084" s="3">
        <v>2036</v>
      </c>
      <c r="B1084" s="3">
        <f t="shared" si="8"/>
        <v>366</v>
      </c>
      <c r="C1084" s="42">
        <f t="shared" ref="C1084:J1084" si="28">AVERAGE(C281:C292)</f>
        <v>154.75825</v>
      </c>
      <c r="D1084" s="42">
        <f t="shared" si="28"/>
        <v>281.0162499999999</v>
      </c>
      <c r="E1084" s="42">
        <f t="shared" si="28"/>
        <v>780.7254999999999</v>
      </c>
      <c r="F1084" s="42">
        <f t="shared" si="28"/>
        <v>1216.5</v>
      </c>
      <c r="G1084" s="42">
        <f t="shared" si="28"/>
        <v>79.166666666666671</v>
      </c>
      <c r="H1084" s="43">
        <f t="shared" si="28"/>
        <v>600</v>
      </c>
      <c r="I1084" s="42">
        <f t="shared" si="28"/>
        <v>695</v>
      </c>
      <c r="J1084" s="42">
        <f t="shared" si="28"/>
        <v>33.333333333333336</v>
      </c>
      <c r="K1084" s="40"/>
      <c r="L1084" s="40"/>
      <c r="M1084" s="40"/>
      <c r="N1084" s="40"/>
      <c r="O1084" s="40"/>
      <c r="P1084" s="40"/>
      <c r="Q1084" s="40"/>
      <c r="R1084" s="40"/>
      <c r="S1084" s="40"/>
      <c r="T1084" s="40"/>
    </row>
    <row r="1085" spans="1:20" ht="15">
      <c r="A1085" s="3">
        <v>2037</v>
      </c>
      <c r="B1085" s="3">
        <f t="shared" si="8"/>
        <v>365</v>
      </c>
      <c r="C1085" s="42">
        <f t="shared" ref="C1085:J1085" si="29">AVERAGE(C293:C304)</f>
        <v>154.75825</v>
      </c>
      <c r="D1085" s="42">
        <f t="shared" si="29"/>
        <v>281.0162499999999</v>
      </c>
      <c r="E1085" s="42">
        <f t="shared" si="29"/>
        <v>780.7254999999999</v>
      </c>
      <c r="F1085" s="42">
        <f t="shared" si="29"/>
        <v>1216.5</v>
      </c>
      <c r="G1085" s="42">
        <f t="shared" si="29"/>
        <v>79.166666666666671</v>
      </c>
      <c r="H1085" s="43">
        <f t="shared" si="29"/>
        <v>600</v>
      </c>
      <c r="I1085" s="42">
        <f t="shared" si="29"/>
        <v>695</v>
      </c>
      <c r="J1085" s="42">
        <f t="shared" si="29"/>
        <v>33.333333333333336</v>
      </c>
      <c r="K1085" s="40"/>
      <c r="L1085" s="40"/>
      <c r="M1085" s="40"/>
      <c r="N1085" s="40"/>
      <c r="O1085" s="40"/>
      <c r="P1085" s="40"/>
      <c r="Q1085" s="40"/>
      <c r="R1085" s="40"/>
      <c r="S1085" s="40"/>
      <c r="T1085" s="40"/>
    </row>
    <row r="1086" spans="1:20" ht="15">
      <c r="A1086" s="3">
        <f t="shared" ref="A1086:A1117" si="30">A1085+1</f>
        <v>2038</v>
      </c>
      <c r="B1086" s="3">
        <f t="shared" si="8"/>
        <v>365</v>
      </c>
      <c r="C1086" s="39">
        <f t="shared" ref="C1086:J1086" si="31">AVERAGE(C305:C316)</f>
        <v>154.75825</v>
      </c>
      <c r="D1086" s="39">
        <f t="shared" si="31"/>
        <v>281.0162499999999</v>
      </c>
      <c r="E1086" s="39">
        <f t="shared" si="31"/>
        <v>780.7254999999999</v>
      </c>
      <c r="F1086" s="39">
        <f t="shared" si="31"/>
        <v>1216.5</v>
      </c>
      <c r="G1086" s="39">
        <f t="shared" si="31"/>
        <v>79.166666666666671</v>
      </c>
      <c r="H1086" s="41">
        <f t="shared" si="31"/>
        <v>600</v>
      </c>
      <c r="I1086" s="39">
        <f t="shared" si="31"/>
        <v>695</v>
      </c>
      <c r="J1086" s="39">
        <f t="shared" si="31"/>
        <v>33.333333333333336</v>
      </c>
      <c r="K1086" s="40"/>
      <c r="L1086" s="40"/>
      <c r="M1086" s="40"/>
      <c r="N1086" s="40"/>
      <c r="O1086" s="40"/>
      <c r="P1086" s="40"/>
      <c r="Q1086" s="40"/>
      <c r="R1086" s="40"/>
      <c r="S1086" s="40"/>
      <c r="T1086" s="40"/>
    </row>
    <row r="1087" spans="1:20" ht="15">
      <c r="A1087" s="3">
        <f t="shared" si="30"/>
        <v>2039</v>
      </c>
      <c r="B1087" s="3">
        <f t="shared" si="8"/>
        <v>365</v>
      </c>
      <c r="C1087" s="39">
        <f t="shared" ref="C1087:J1087" si="32">AVERAGE(C317:C328)</f>
        <v>154.75825</v>
      </c>
      <c r="D1087" s="39">
        <f t="shared" si="32"/>
        <v>281.0162499999999</v>
      </c>
      <c r="E1087" s="39">
        <f t="shared" si="32"/>
        <v>780.7254999999999</v>
      </c>
      <c r="F1087" s="39">
        <f t="shared" si="32"/>
        <v>1216.5</v>
      </c>
      <c r="G1087" s="39">
        <f t="shared" si="32"/>
        <v>79.166666666666671</v>
      </c>
      <c r="H1087" s="41">
        <f t="shared" si="32"/>
        <v>600</v>
      </c>
      <c r="I1087" s="39">
        <f t="shared" si="32"/>
        <v>695</v>
      </c>
      <c r="J1087" s="39">
        <f t="shared" si="32"/>
        <v>33.333333333333336</v>
      </c>
      <c r="K1087" s="40"/>
      <c r="L1087" s="40"/>
      <c r="M1087" s="40"/>
      <c r="N1087" s="40"/>
      <c r="O1087" s="40"/>
      <c r="P1087" s="40"/>
      <c r="Q1087" s="40"/>
      <c r="R1087" s="40"/>
      <c r="S1087" s="40"/>
      <c r="T1087" s="40"/>
    </row>
    <row r="1088" spans="1:20" ht="15">
      <c r="A1088" s="3">
        <f t="shared" si="30"/>
        <v>2040</v>
      </c>
      <c r="B1088" s="3">
        <f t="shared" si="8"/>
        <v>366</v>
      </c>
      <c r="C1088" s="39">
        <f t="shared" ref="C1088:J1088" si="33">AVERAGE(C329:C340)</f>
        <v>154.75825</v>
      </c>
      <c r="D1088" s="39">
        <f t="shared" si="33"/>
        <v>281.0162499999999</v>
      </c>
      <c r="E1088" s="39">
        <f t="shared" si="33"/>
        <v>780.7254999999999</v>
      </c>
      <c r="F1088" s="39">
        <f t="shared" si="33"/>
        <v>1216.5</v>
      </c>
      <c r="G1088" s="39">
        <f t="shared" si="33"/>
        <v>79.166666666666671</v>
      </c>
      <c r="H1088" s="41">
        <f t="shared" si="33"/>
        <v>600</v>
      </c>
      <c r="I1088" s="39">
        <f t="shared" si="33"/>
        <v>695</v>
      </c>
      <c r="J1088" s="39">
        <f t="shared" si="33"/>
        <v>33.333333333333336</v>
      </c>
      <c r="K1088" s="40"/>
      <c r="L1088" s="40"/>
      <c r="M1088" s="40"/>
      <c r="N1088" s="40"/>
      <c r="O1088" s="40"/>
      <c r="P1088" s="40"/>
      <c r="Q1088" s="40"/>
      <c r="R1088" s="40"/>
      <c r="S1088" s="40"/>
      <c r="T1088" s="40"/>
    </row>
    <row r="1089" spans="1:20" ht="15">
      <c r="A1089" s="3">
        <f t="shared" si="30"/>
        <v>2041</v>
      </c>
      <c r="B1089" s="3">
        <f t="shared" si="8"/>
        <v>365</v>
      </c>
      <c r="C1089" s="39">
        <f t="shared" ref="C1089:J1089" si="34">AVERAGE(C341:C352)</f>
        <v>154.75825</v>
      </c>
      <c r="D1089" s="39">
        <f t="shared" si="34"/>
        <v>281.0162499999999</v>
      </c>
      <c r="E1089" s="39">
        <f t="shared" si="34"/>
        <v>780.7254999999999</v>
      </c>
      <c r="F1089" s="39">
        <f t="shared" si="34"/>
        <v>1216.5</v>
      </c>
      <c r="G1089" s="39">
        <f t="shared" si="34"/>
        <v>79.166666666666671</v>
      </c>
      <c r="H1089" s="41">
        <f t="shared" si="34"/>
        <v>600</v>
      </c>
      <c r="I1089" s="39">
        <f t="shared" si="34"/>
        <v>695</v>
      </c>
      <c r="J1089" s="39">
        <f t="shared" si="34"/>
        <v>33.333333333333336</v>
      </c>
      <c r="K1089" s="40"/>
      <c r="L1089" s="40"/>
      <c r="M1089" s="40"/>
      <c r="N1089" s="40"/>
      <c r="O1089" s="40"/>
      <c r="P1089" s="40"/>
      <c r="Q1089" s="40"/>
      <c r="R1089" s="40"/>
      <c r="S1089" s="40"/>
      <c r="T1089" s="40"/>
    </row>
    <row r="1090" spans="1:20" ht="15">
      <c r="A1090" s="3">
        <f t="shared" si="30"/>
        <v>2042</v>
      </c>
      <c r="B1090" s="3">
        <f t="shared" si="8"/>
        <v>365</v>
      </c>
      <c r="C1090" s="39">
        <f t="shared" ref="C1090:J1090" si="35">AVERAGE(C353:C364)</f>
        <v>154.75825</v>
      </c>
      <c r="D1090" s="39">
        <f t="shared" si="35"/>
        <v>281.0162499999999</v>
      </c>
      <c r="E1090" s="39">
        <f t="shared" si="35"/>
        <v>780.7254999999999</v>
      </c>
      <c r="F1090" s="39">
        <f t="shared" si="35"/>
        <v>1216.5</v>
      </c>
      <c r="G1090" s="39">
        <f t="shared" si="35"/>
        <v>79.166666666666671</v>
      </c>
      <c r="H1090" s="41">
        <f t="shared" si="35"/>
        <v>600</v>
      </c>
      <c r="I1090" s="39">
        <f t="shared" si="35"/>
        <v>695</v>
      </c>
      <c r="J1090" s="39">
        <f t="shared" si="35"/>
        <v>33.333333333333336</v>
      </c>
      <c r="K1090" s="40"/>
      <c r="L1090" s="40"/>
      <c r="M1090" s="40"/>
      <c r="N1090" s="40"/>
      <c r="O1090" s="40"/>
      <c r="P1090" s="40"/>
      <c r="Q1090" s="40"/>
      <c r="R1090" s="40"/>
      <c r="S1090" s="40"/>
      <c r="T1090" s="40"/>
    </row>
    <row r="1091" spans="1:20" ht="15">
      <c r="A1091" s="3">
        <f t="shared" si="30"/>
        <v>2043</v>
      </c>
      <c r="B1091" s="3">
        <f t="shared" si="8"/>
        <v>365</v>
      </c>
      <c r="C1091" s="39">
        <f t="shared" ref="C1091:J1091" si="36">AVERAGE(C365:C376)</f>
        <v>154.75825</v>
      </c>
      <c r="D1091" s="39">
        <f t="shared" si="36"/>
        <v>281.0162499999999</v>
      </c>
      <c r="E1091" s="39">
        <f t="shared" si="36"/>
        <v>780.7254999999999</v>
      </c>
      <c r="F1091" s="39">
        <f t="shared" si="36"/>
        <v>1216.5</v>
      </c>
      <c r="G1091" s="39">
        <f t="shared" si="36"/>
        <v>79.166666666666671</v>
      </c>
      <c r="H1091" s="41">
        <f t="shared" si="36"/>
        <v>600</v>
      </c>
      <c r="I1091" s="39">
        <f t="shared" si="36"/>
        <v>695</v>
      </c>
      <c r="J1091" s="39">
        <f t="shared" si="36"/>
        <v>33.333333333333336</v>
      </c>
      <c r="K1091" s="40"/>
      <c r="L1091" s="40"/>
      <c r="M1091" s="40"/>
      <c r="N1091" s="40"/>
      <c r="O1091" s="40"/>
      <c r="P1091" s="40"/>
      <c r="Q1091" s="40"/>
      <c r="R1091" s="40"/>
      <c r="S1091" s="40"/>
      <c r="T1091" s="40"/>
    </row>
    <row r="1092" spans="1:20" ht="15">
      <c r="A1092" s="3">
        <f t="shared" si="30"/>
        <v>2044</v>
      </c>
      <c r="B1092" s="3">
        <f t="shared" si="8"/>
        <v>366</v>
      </c>
      <c r="C1092" s="39">
        <f t="shared" ref="C1092:J1092" si="37">AVERAGE(C377:C388)</f>
        <v>154.75825</v>
      </c>
      <c r="D1092" s="39">
        <f t="shared" si="37"/>
        <v>281.0162499999999</v>
      </c>
      <c r="E1092" s="39">
        <f t="shared" si="37"/>
        <v>780.7254999999999</v>
      </c>
      <c r="F1092" s="39">
        <f t="shared" si="37"/>
        <v>1216.5</v>
      </c>
      <c r="G1092" s="39">
        <f t="shared" si="37"/>
        <v>79.166666666666671</v>
      </c>
      <c r="H1092" s="41">
        <f t="shared" si="37"/>
        <v>600</v>
      </c>
      <c r="I1092" s="39">
        <f t="shared" si="37"/>
        <v>695</v>
      </c>
      <c r="J1092" s="39">
        <f t="shared" si="37"/>
        <v>33.333333333333336</v>
      </c>
      <c r="K1092" s="40"/>
      <c r="L1092" s="40"/>
      <c r="M1092" s="40"/>
      <c r="N1092" s="40"/>
      <c r="O1092" s="40"/>
      <c r="P1092" s="40"/>
      <c r="Q1092" s="40"/>
      <c r="R1092" s="40"/>
      <c r="S1092" s="40"/>
      <c r="T1092" s="40"/>
    </row>
    <row r="1093" spans="1:20" ht="15">
      <c r="A1093" s="3">
        <f t="shared" si="30"/>
        <v>2045</v>
      </c>
      <c r="B1093" s="3">
        <f t="shared" si="8"/>
        <v>365</v>
      </c>
      <c r="C1093" s="39">
        <f t="shared" ref="C1093:J1093" si="38">AVERAGE(C389:C400)</f>
        <v>154.75825</v>
      </c>
      <c r="D1093" s="39">
        <f t="shared" si="38"/>
        <v>281.0162499999999</v>
      </c>
      <c r="E1093" s="39">
        <f t="shared" si="38"/>
        <v>780.7254999999999</v>
      </c>
      <c r="F1093" s="39">
        <f t="shared" si="38"/>
        <v>1216.5</v>
      </c>
      <c r="G1093" s="39">
        <f t="shared" si="38"/>
        <v>79.166666666666671</v>
      </c>
      <c r="H1093" s="41">
        <f t="shared" si="38"/>
        <v>600</v>
      </c>
      <c r="I1093" s="39">
        <f t="shared" si="38"/>
        <v>695</v>
      </c>
      <c r="J1093" s="39">
        <f t="shared" si="38"/>
        <v>33.333333333333336</v>
      </c>
      <c r="K1093" s="40"/>
      <c r="L1093" s="40"/>
      <c r="M1093" s="40"/>
      <c r="N1093" s="40"/>
      <c r="O1093" s="40"/>
      <c r="P1093" s="40"/>
      <c r="Q1093" s="40"/>
      <c r="R1093" s="40"/>
      <c r="S1093" s="40"/>
      <c r="T1093" s="40"/>
    </row>
    <row r="1094" spans="1:20" ht="15">
      <c r="A1094" s="3">
        <f t="shared" si="30"/>
        <v>2046</v>
      </c>
      <c r="B1094" s="3">
        <f t="shared" ref="B1094:B1125" si="39">DATE(A1094+1,1,1)-DATE(A1094,1,1)</f>
        <v>365</v>
      </c>
      <c r="C1094" s="39">
        <f t="shared" ref="C1094:J1094" si="40">AVERAGE(C401:C412)</f>
        <v>154.75825</v>
      </c>
      <c r="D1094" s="39">
        <f t="shared" si="40"/>
        <v>281.0162499999999</v>
      </c>
      <c r="E1094" s="39">
        <f t="shared" si="40"/>
        <v>780.7254999999999</v>
      </c>
      <c r="F1094" s="39">
        <f t="shared" si="40"/>
        <v>1216.5</v>
      </c>
      <c r="G1094" s="39">
        <f t="shared" si="40"/>
        <v>79.166666666666671</v>
      </c>
      <c r="H1094" s="41">
        <f t="shared" si="40"/>
        <v>600</v>
      </c>
      <c r="I1094" s="39">
        <f t="shared" si="40"/>
        <v>695</v>
      </c>
      <c r="J1094" s="39">
        <f t="shared" si="40"/>
        <v>33.333333333333336</v>
      </c>
      <c r="K1094" s="40"/>
      <c r="L1094" s="40"/>
      <c r="M1094" s="40"/>
      <c r="N1094" s="40"/>
      <c r="O1094" s="40"/>
      <c r="P1094" s="40"/>
      <c r="Q1094" s="40"/>
      <c r="R1094" s="40"/>
      <c r="S1094" s="40"/>
      <c r="T1094" s="40"/>
    </row>
    <row r="1095" spans="1:20" ht="15">
      <c r="A1095" s="3">
        <f t="shared" si="30"/>
        <v>2047</v>
      </c>
      <c r="B1095" s="3">
        <f t="shared" si="39"/>
        <v>365</v>
      </c>
      <c r="C1095" s="39">
        <f t="shared" ref="C1095:J1095" si="41">AVERAGE(C413:C424)</f>
        <v>154.75825</v>
      </c>
      <c r="D1095" s="39">
        <f t="shared" si="41"/>
        <v>281.0162499999999</v>
      </c>
      <c r="E1095" s="39">
        <f t="shared" si="41"/>
        <v>780.7254999999999</v>
      </c>
      <c r="F1095" s="39">
        <f t="shared" si="41"/>
        <v>1216.5</v>
      </c>
      <c r="G1095" s="39">
        <f t="shared" si="41"/>
        <v>79.166666666666671</v>
      </c>
      <c r="H1095" s="41">
        <f t="shared" si="41"/>
        <v>600</v>
      </c>
      <c r="I1095" s="39">
        <f t="shared" si="41"/>
        <v>695</v>
      </c>
      <c r="J1095" s="39">
        <f t="shared" si="41"/>
        <v>33.333333333333336</v>
      </c>
      <c r="K1095" s="40"/>
      <c r="L1095" s="40"/>
      <c r="M1095" s="40"/>
      <c r="N1095" s="40"/>
      <c r="O1095" s="40"/>
      <c r="P1095" s="40"/>
      <c r="Q1095" s="40"/>
      <c r="R1095" s="40"/>
      <c r="S1095" s="40"/>
      <c r="T1095" s="40"/>
    </row>
    <row r="1096" spans="1:20" ht="15">
      <c r="A1096" s="3">
        <f t="shared" si="30"/>
        <v>2048</v>
      </c>
      <c r="B1096" s="3">
        <f t="shared" si="39"/>
        <v>366</v>
      </c>
      <c r="C1096" s="39">
        <f t="shared" ref="C1096:J1096" si="42">AVERAGE(C425:C436)</f>
        <v>154.75825</v>
      </c>
      <c r="D1096" s="39">
        <f t="shared" si="42"/>
        <v>281.0162499999999</v>
      </c>
      <c r="E1096" s="39">
        <f t="shared" si="42"/>
        <v>780.7254999999999</v>
      </c>
      <c r="F1096" s="39">
        <f t="shared" si="42"/>
        <v>1216.5</v>
      </c>
      <c r="G1096" s="39">
        <f t="shared" si="42"/>
        <v>79.166666666666671</v>
      </c>
      <c r="H1096" s="41">
        <f t="shared" si="42"/>
        <v>600</v>
      </c>
      <c r="I1096" s="39">
        <f t="shared" si="42"/>
        <v>695</v>
      </c>
      <c r="J1096" s="39">
        <f t="shared" si="42"/>
        <v>33.333333333333336</v>
      </c>
      <c r="K1096" s="40"/>
      <c r="L1096" s="40"/>
      <c r="M1096" s="40"/>
      <c r="N1096" s="40"/>
      <c r="O1096" s="40"/>
      <c r="P1096" s="40"/>
      <c r="Q1096" s="40"/>
      <c r="R1096" s="40"/>
      <c r="S1096" s="40"/>
      <c r="T1096" s="40"/>
    </row>
    <row r="1097" spans="1:20" ht="15">
      <c r="A1097" s="3">
        <f t="shared" si="30"/>
        <v>2049</v>
      </c>
      <c r="B1097" s="3">
        <f t="shared" si="39"/>
        <v>365</v>
      </c>
      <c r="C1097" s="39">
        <f t="shared" ref="C1097:J1097" si="43">AVERAGE(C437:C448)</f>
        <v>154.75825</v>
      </c>
      <c r="D1097" s="39">
        <f t="shared" si="43"/>
        <v>281.0162499999999</v>
      </c>
      <c r="E1097" s="39">
        <f t="shared" si="43"/>
        <v>780.7254999999999</v>
      </c>
      <c r="F1097" s="39">
        <f t="shared" si="43"/>
        <v>1216.5</v>
      </c>
      <c r="G1097" s="39">
        <f t="shared" si="43"/>
        <v>79.166666666666671</v>
      </c>
      <c r="H1097" s="41">
        <f t="shared" si="43"/>
        <v>600</v>
      </c>
      <c r="I1097" s="39">
        <f t="shared" si="43"/>
        <v>695</v>
      </c>
      <c r="J1097" s="39">
        <f t="shared" si="43"/>
        <v>33.333333333333336</v>
      </c>
      <c r="K1097" s="40"/>
      <c r="L1097" s="40"/>
      <c r="M1097" s="40"/>
      <c r="N1097" s="40"/>
      <c r="O1097" s="40"/>
      <c r="P1097" s="40"/>
      <c r="Q1097" s="40"/>
      <c r="R1097" s="40"/>
      <c r="S1097" s="40"/>
      <c r="T1097" s="40"/>
    </row>
    <row r="1098" spans="1:20" ht="15">
      <c r="A1098" s="3">
        <f t="shared" si="30"/>
        <v>2050</v>
      </c>
      <c r="B1098" s="3">
        <f t="shared" si="39"/>
        <v>365</v>
      </c>
      <c r="C1098" s="39">
        <f t="shared" ref="C1098:J1098" si="44">AVERAGE(C449:C460)</f>
        <v>154.75825</v>
      </c>
      <c r="D1098" s="39">
        <f t="shared" si="44"/>
        <v>281.0162499999999</v>
      </c>
      <c r="E1098" s="39">
        <f t="shared" si="44"/>
        <v>780.7254999999999</v>
      </c>
      <c r="F1098" s="39">
        <f t="shared" si="44"/>
        <v>1216.5</v>
      </c>
      <c r="G1098" s="39">
        <f t="shared" si="44"/>
        <v>79.166666666666671</v>
      </c>
      <c r="H1098" s="41">
        <f t="shared" si="44"/>
        <v>600</v>
      </c>
      <c r="I1098" s="39">
        <f t="shared" si="44"/>
        <v>695</v>
      </c>
      <c r="J1098" s="39">
        <f t="shared" si="44"/>
        <v>33.333333333333336</v>
      </c>
      <c r="K1098" s="40"/>
      <c r="L1098" s="40"/>
      <c r="M1098" s="40"/>
      <c r="N1098" s="40"/>
      <c r="O1098" s="40"/>
      <c r="P1098" s="40"/>
      <c r="Q1098" s="40"/>
      <c r="R1098" s="40"/>
      <c r="S1098" s="40"/>
      <c r="T1098" s="40"/>
    </row>
    <row r="1099" spans="1:20" ht="15">
      <c r="A1099" s="3">
        <f t="shared" si="30"/>
        <v>2051</v>
      </c>
      <c r="B1099" s="3">
        <f t="shared" si="39"/>
        <v>365</v>
      </c>
      <c r="C1099" s="39">
        <f t="shared" ref="C1099:J1099" si="45">AVERAGE(C461:C472)</f>
        <v>154.75825</v>
      </c>
      <c r="D1099" s="39">
        <f t="shared" si="45"/>
        <v>281.0162499999999</v>
      </c>
      <c r="E1099" s="39">
        <f t="shared" si="45"/>
        <v>780.7254999999999</v>
      </c>
      <c r="F1099" s="39">
        <f t="shared" si="45"/>
        <v>1216.5</v>
      </c>
      <c r="G1099" s="39">
        <f t="shared" si="45"/>
        <v>79.166666666666671</v>
      </c>
      <c r="H1099" s="41">
        <f t="shared" si="45"/>
        <v>600</v>
      </c>
      <c r="I1099" s="39">
        <f t="shared" si="45"/>
        <v>695</v>
      </c>
      <c r="J1099" s="39">
        <f t="shared" si="45"/>
        <v>33.333333333333336</v>
      </c>
      <c r="K1099" s="40"/>
      <c r="L1099" s="40"/>
      <c r="M1099" s="40"/>
      <c r="N1099" s="40"/>
      <c r="O1099" s="40"/>
      <c r="P1099" s="40"/>
      <c r="Q1099" s="40"/>
      <c r="R1099" s="40"/>
      <c r="S1099" s="40"/>
      <c r="T1099" s="40"/>
    </row>
    <row r="1100" spans="1:20" ht="15">
      <c r="A1100" s="3">
        <f t="shared" si="30"/>
        <v>2052</v>
      </c>
      <c r="B1100" s="3">
        <f t="shared" si="39"/>
        <v>366</v>
      </c>
      <c r="C1100" s="39">
        <f t="shared" ref="C1100:J1100" si="46">AVERAGE(C473:C484)</f>
        <v>154.75825</v>
      </c>
      <c r="D1100" s="39">
        <f t="shared" si="46"/>
        <v>281.0162499999999</v>
      </c>
      <c r="E1100" s="39">
        <f t="shared" si="46"/>
        <v>780.7254999999999</v>
      </c>
      <c r="F1100" s="39">
        <f t="shared" si="46"/>
        <v>1216.5</v>
      </c>
      <c r="G1100" s="39">
        <f t="shared" si="46"/>
        <v>79.166666666666671</v>
      </c>
      <c r="H1100" s="41">
        <f t="shared" si="46"/>
        <v>600</v>
      </c>
      <c r="I1100" s="39">
        <f t="shared" si="46"/>
        <v>695</v>
      </c>
      <c r="J1100" s="39">
        <f t="shared" si="46"/>
        <v>33.333333333333336</v>
      </c>
      <c r="K1100" s="40"/>
      <c r="L1100" s="40"/>
      <c r="M1100" s="40"/>
      <c r="N1100" s="40"/>
      <c r="O1100" s="40"/>
      <c r="P1100" s="40"/>
      <c r="Q1100" s="40"/>
      <c r="R1100" s="40"/>
      <c r="S1100" s="40"/>
      <c r="T1100" s="40"/>
    </row>
    <row r="1101" spans="1:20" ht="15">
      <c r="A1101" s="3">
        <f t="shared" si="30"/>
        <v>2053</v>
      </c>
      <c r="B1101" s="3">
        <f t="shared" si="39"/>
        <v>365</v>
      </c>
      <c r="C1101" s="39">
        <f t="shared" ref="C1101:J1101" si="47">AVERAGE(C485:C496)</f>
        <v>154.75825</v>
      </c>
      <c r="D1101" s="39">
        <f t="shared" si="47"/>
        <v>281.0162499999999</v>
      </c>
      <c r="E1101" s="39">
        <f t="shared" si="47"/>
        <v>780.7254999999999</v>
      </c>
      <c r="F1101" s="39">
        <f t="shared" si="47"/>
        <v>1216.5</v>
      </c>
      <c r="G1101" s="39">
        <f t="shared" si="47"/>
        <v>79.166666666666671</v>
      </c>
      <c r="H1101" s="41">
        <f t="shared" si="47"/>
        <v>600</v>
      </c>
      <c r="I1101" s="39">
        <f t="shared" si="47"/>
        <v>695</v>
      </c>
      <c r="J1101" s="39">
        <f t="shared" si="47"/>
        <v>33.333333333333336</v>
      </c>
      <c r="K1101" s="40"/>
      <c r="L1101" s="40"/>
      <c r="M1101" s="40"/>
      <c r="N1101" s="40"/>
      <c r="O1101" s="40"/>
      <c r="P1101" s="40"/>
      <c r="Q1101" s="40"/>
      <c r="R1101" s="40"/>
      <c r="S1101" s="40"/>
      <c r="T1101" s="40"/>
    </row>
    <row r="1102" spans="1:20" ht="15">
      <c r="A1102" s="3">
        <f t="shared" si="30"/>
        <v>2054</v>
      </c>
      <c r="B1102" s="3">
        <f t="shared" si="39"/>
        <v>365</v>
      </c>
      <c r="C1102" s="39">
        <f t="shared" ref="C1102:J1109" si="48">AVERAGE(C497:C508)</f>
        <v>154.75825</v>
      </c>
      <c r="D1102" s="39">
        <f t="shared" si="48"/>
        <v>281.0162499999999</v>
      </c>
      <c r="E1102" s="39">
        <f t="shared" si="48"/>
        <v>780.7254999999999</v>
      </c>
      <c r="F1102" s="39">
        <f t="shared" si="48"/>
        <v>1216.5</v>
      </c>
      <c r="G1102" s="39">
        <f t="shared" si="48"/>
        <v>79.166666666666671</v>
      </c>
      <c r="H1102" s="41">
        <f t="shared" si="48"/>
        <v>600</v>
      </c>
      <c r="I1102" s="39">
        <f t="shared" si="48"/>
        <v>695</v>
      </c>
      <c r="J1102" s="39">
        <f t="shared" si="48"/>
        <v>33.333333333333336</v>
      </c>
      <c r="K1102" s="40"/>
      <c r="L1102" s="40"/>
      <c r="M1102" s="40"/>
      <c r="N1102" s="40"/>
      <c r="O1102" s="40"/>
      <c r="P1102" s="40"/>
      <c r="Q1102" s="40"/>
      <c r="R1102" s="40"/>
      <c r="S1102" s="40"/>
      <c r="T1102" s="40"/>
    </row>
    <row r="1103" spans="1:20" ht="15">
      <c r="A1103" s="3">
        <f t="shared" si="30"/>
        <v>2055</v>
      </c>
      <c r="B1103" s="3">
        <f t="shared" si="39"/>
        <v>365</v>
      </c>
      <c r="C1103" s="39">
        <f t="shared" si="48"/>
        <v>154.75825</v>
      </c>
      <c r="D1103" s="39">
        <f t="shared" si="48"/>
        <v>281.0162499999999</v>
      </c>
      <c r="E1103" s="39">
        <f t="shared" si="48"/>
        <v>780.7254999999999</v>
      </c>
      <c r="F1103" s="39">
        <f t="shared" si="48"/>
        <v>1216.5</v>
      </c>
      <c r="G1103" s="39">
        <f t="shared" si="48"/>
        <v>79.166666666666671</v>
      </c>
      <c r="H1103" s="41">
        <f t="shared" si="48"/>
        <v>600</v>
      </c>
      <c r="I1103" s="39">
        <f t="shared" si="48"/>
        <v>695</v>
      </c>
      <c r="J1103" s="39">
        <f t="shared" si="48"/>
        <v>33.333333333333336</v>
      </c>
      <c r="K1103" s="40"/>
      <c r="L1103" s="40"/>
      <c r="M1103" s="40"/>
      <c r="N1103" s="40"/>
      <c r="O1103" s="40"/>
      <c r="P1103" s="40"/>
      <c r="Q1103" s="40"/>
      <c r="R1103" s="40"/>
      <c r="S1103" s="40"/>
      <c r="T1103" s="40"/>
    </row>
    <row r="1104" spans="1:20" ht="15">
      <c r="A1104" s="3">
        <f t="shared" si="30"/>
        <v>2056</v>
      </c>
      <c r="B1104" s="3">
        <f t="shared" si="39"/>
        <v>366</v>
      </c>
      <c r="C1104" s="39">
        <f t="shared" si="48"/>
        <v>154.75824999999998</v>
      </c>
      <c r="D1104" s="39">
        <f t="shared" si="48"/>
        <v>281.0162499999999</v>
      </c>
      <c r="E1104" s="39">
        <f t="shared" si="48"/>
        <v>780.7254999999999</v>
      </c>
      <c r="F1104" s="39">
        <f t="shared" si="48"/>
        <v>1216.5</v>
      </c>
      <c r="G1104" s="39">
        <f t="shared" si="48"/>
        <v>79.166666666666671</v>
      </c>
      <c r="H1104" s="41">
        <f t="shared" si="48"/>
        <v>600</v>
      </c>
      <c r="I1104" s="39">
        <f t="shared" si="48"/>
        <v>695</v>
      </c>
      <c r="J1104" s="39">
        <f t="shared" si="48"/>
        <v>33.333333333333336</v>
      </c>
      <c r="K1104" s="40"/>
      <c r="L1104" s="40"/>
      <c r="M1104" s="40"/>
      <c r="N1104" s="40"/>
      <c r="O1104" s="40"/>
      <c r="P1104" s="40"/>
      <c r="Q1104" s="40"/>
      <c r="R1104" s="40"/>
      <c r="S1104" s="40"/>
      <c r="T1104" s="40"/>
    </row>
    <row r="1105" spans="1:20" ht="15">
      <c r="A1105" s="3">
        <f t="shared" si="30"/>
        <v>2057</v>
      </c>
      <c r="B1105" s="3">
        <f t="shared" si="39"/>
        <v>365</v>
      </c>
      <c r="C1105" s="39">
        <f t="shared" si="48"/>
        <v>154.75825</v>
      </c>
      <c r="D1105" s="39">
        <f t="shared" si="48"/>
        <v>281.0162499999999</v>
      </c>
      <c r="E1105" s="39">
        <f t="shared" si="48"/>
        <v>780.72550000000001</v>
      </c>
      <c r="F1105" s="39">
        <f t="shared" si="48"/>
        <v>1216.5</v>
      </c>
      <c r="G1105" s="39">
        <f t="shared" si="48"/>
        <v>79.166666666666671</v>
      </c>
      <c r="H1105" s="41">
        <f t="shared" si="48"/>
        <v>600</v>
      </c>
      <c r="I1105" s="39">
        <f t="shared" si="48"/>
        <v>695</v>
      </c>
      <c r="J1105" s="39">
        <f t="shared" si="48"/>
        <v>33.333333333333336</v>
      </c>
      <c r="K1105" s="40"/>
      <c r="L1105" s="40"/>
      <c r="M1105" s="40"/>
      <c r="N1105" s="40"/>
      <c r="O1105" s="40"/>
      <c r="P1105" s="40"/>
      <c r="Q1105" s="40"/>
      <c r="R1105" s="40"/>
      <c r="S1105" s="40"/>
      <c r="T1105" s="40"/>
    </row>
    <row r="1106" spans="1:20" ht="15">
      <c r="A1106" s="3">
        <f t="shared" si="30"/>
        <v>2058</v>
      </c>
      <c r="B1106" s="3">
        <f t="shared" si="39"/>
        <v>365</v>
      </c>
      <c r="C1106" s="39">
        <f t="shared" si="48"/>
        <v>154.75824999999998</v>
      </c>
      <c r="D1106" s="39">
        <f t="shared" si="48"/>
        <v>281.01624999999996</v>
      </c>
      <c r="E1106" s="39">
        <f t="shared" si="48"/>
        <v>780.72550000000001</v>
      </c>
      <c r="F1106" s="39">
        <f t="shared" si="48"/>
        <v>1216.5</v>
      </c>
      <c r="G1106" s="39">
        <f t="shared" si="48"/>
        <v>79.166666666666671</v>
      </c>
      <c r="H1106" s="41">
        <f t="shared" si="48"/>
        <v>600</v>
      </c>
      <c r="I1106" s="39">
        <f t="shared" si="48"/>
        <v>695</v>
      </c>
      <c r="J1106" s="39">
        <f t="shared" si="48"/>
        <v>33.333333333333336</v>
      </c>
      <c r="K1106" s="40"/>
      <c r="L1106" s="40"/>
      <c r="M1106" s="40"/>
      <c r="N1106" s="40"/>
      <c r="O1106" s="40"/>
      <c r="P1106" s="40"/>
      <c r="Q1106" s="40"/>
      <c r="R1106" s="40"/>
      <c r="S1106" s="40"/>
      <c r="T1106" s="40"/>
    </row>
    <row r="1107" spans="1:20" ht="15">
      <c r="A1107" s="3">
        <f t="shared" si="30"/>
        <v>2059</v>
      </c>
      <c r="B1107" s="3">
        <f t="shared" si="39"/>
        <v>365</v>
      </c>
      <c r="C1107" s="39">
        <f t="shared" si="48"/>
        <v>154.75824999999998</v>
      </c>
      <c r="D1107" s="39">
        <f t="shared" si="48"/>
        <v>281.01624999999996</v>
      </c>
      <c r="E1107" s="39">
        <f t="shared" si="48"/>
        <v>780.72550000000012</v>
      </c>
      <c r="F1107" s="39">
        <f t="shared" si="48"/>
        <v>1216.5</v>
      </c>
      <c r="G1107" s="39">
        <f t="shared" si="48"/>
        <v>79.166666666666671</v>
      </c>
      <c r="H1107" s="41">
        <f t="shared" si="48"/>
        <v>600</v>
      </c>
      <c r="I1107" s="39">
        <f t="shared" si="48"/>
        <v>695</v>
      </c>
      <c r="J1107" s="39">
        <f t="shared" si="48"/>
        <v>33.333333333333336</v>
      </c>
      <c r="K1107" s="40"/>
      <c r="L1107" s="40"/>
      <c r="M1107" s="40"/>
      <c r="N1107" s="40"/>
      <c r="O1107" s="40"/>
      <c r="P1107" s="40"/>
      <c r="Q1107" s="40"/>
      <c r="R1107" s="40"/>
      <c r="S1107" s="40"/>
      <c r="T1107" s="40"/>
    </row>
    <row r="1108" spans="1:20" ht="15">
      <c r="A1108" s="3">
        <f t="shared" si="30"/>
        <v>2060</v>
      </c>
      <c r="B1108" s="3">
        <f t="shared" si="39"/>
        <v>366</v>
      </c>
      <c r="C1108" s="39">
        <f t="shared" si="48"/>
        <v>154.75824999999998</v>
      </c>
      <c r="D1108" s="39">
        <f t="shared" si="48"/>
        <v>281.01624999999996</v>
      </c>
      <c r="E1108" s="39">
        <f t="shared" si="48"/>
        <v>780.72550000000012</v>
      </c>
      <c r="F1108" s="39">
        <f t="shared" si="48"/>
        <v>1216.5</v>
      </c>
      <c r="G1108" s="39">
        <f t="shared" si="48"/>
        <v>79.166666666666671</v>
      </c>
      <c r="H1108" s="41">
        <f t="shared" si="48"/>
        <v>600</v>
      </c>
      <c r="I1108" s="39">
        <f t="shared" si="48"/>
        <v>695</v>
      </c>
      <c r="J1108" s="39">
        <f t="shared" si="48"/>
        <v>33.333333333333336</v>
      </c>
      <c r="K1108" s="40"/>
      <c r="L1108" s="40"/>
      <c r="M1108" s="40"/>
      <c r="N1108" s="40"/>
      <c r="O1108" s="40"/>
      <c r="P1108" s="40"/>
      <c r="Q1108" s="40"/>
      <c r="R1108" s="40"/>
      <c r="S1108" s="40"/>
      <c r="T1108" s="40"/>
    </row>
    <row r="1109" spans="1:20" ht="15">
      <c r="A1109" s="3">
        <f t="shared" si="30"/>
        <v>2061</v>
      </c>
      <c r="B1109" s="3">
        <f t="shared" si="39"/>
        <v>365</v>
      </c>
      <c r="C1109" s="39">
        <f t="shared" si="48"/>
        <v>154.75825</v>
      </c>
      <c r="D1109" s="39">
        <f t="shared" si="48"/>
        <v>281.01624999999996</v>
      </c>
      <c r="E1109" s="39">
        <f t="shared" si="48"/>
        <v>780.72550000000001</v>
      </c>
      <c r="F1109" s="39">
        <f t="shared" si="48"/>
        <v>1216.5</v>
      </c>
      <c r="G1109" s="39">
        <f t="shared" si="48"/>
        <v>79.166666666666671</v>
      </c>
      <c r="H1109" s="41">
        <f t="shared" si="48"/>
        <v>600</v>
      </c>
      <c r="I1109" s="39">
        <f t="shared" si="48"/>
        <v>695</v>
      </c>
      <c r="J1109" s="39">
        <f t="shared" si="48"/>
        <v>33.333333333333336</v>
      </c>
      <c r="K1109" s="40"/>
      <c r="L1109" s="40"/>
      <c r="M1109" s="40"/>
      <c r="N1109" s="40"/>
      <c r="O1109" s="40"/>
      <c r="P1109" s="40"/>
      <c r="Q1109" s="40"/>
      <c r="R1109" s="40"/>
      <c r="S1109" s="40"/>
      <c r="T1109" s="40"/>
    </row>
    <row r="1110" spans="1:20" ht="15">
      <c r="A1110" s="3">
        <f t="shared" si="30"/>
        <v>2062</v>
      </c>
      <c r="B1110" s="3">
        <f t="shared" si="39"/>
        <v>365</v>
      </c>
      <c r="C1110" s="39">
        <f t="shared" ref="C1110:J1119" ca="1" si="49">AVERAGE(OFFSET(C$593,($A1110-$A$1110)*12,0,12,1))</f>
        <v>154.75825</v>
      </c>
      <c r="D1110" s="39">
        <f t="shared" ca="1" si="49"/>
        <v>281.0162499999999</v>
      </c>
      <c r="E1110" s="39">
        <f t="shared" ca="1" si="49"/>
        <v>780.7254999999999</v>
      </c>
      <c r="F1110" s="39">
        <f t="shared" ca="1" si="49"/>
        <v>1216.5</v>
      </c>
      <c r="G1110" s="39">
        <f t="shared" ca="1" si="49"/>
        <v>79.166666666666671</v>
      </c>
      <c r="H1110" s="39">
        <f t="shared" ca="1" si="49"/>
        <v>600</v>
      </c>
      <c r="I1110" s="39">
        <f t="shared" ca="1" si="49"/>
        <v>695</v>
      </c>
      <c r="J1110" s="39">
        <f t="shared" ca="1" si="49"/>
        <v>33.333333333333336</v>
      </c>
      <c r="K1110" s="40"/>
      <c r="L1110" s="40"/>
      <c r="M1110" s="40"/>
      <c r="N1110" s="40"/>
      <c r="O1110" s="40"/>
      <c r="P1110" s="40"/>
      <c r="Q1110" s="40"/>
      <c r="R1110" s="40"/>
      <c r="S1110" s="40"/>
      <c r="T1110" s="40"/>
    </row>
    <row r="1111" spans="1:20" ht="15">
      <c r="A1111" s="3">
        <f t="shared" si="30"/>
        <v>2063</v>
      </c>
      <c r="B1111" s="3">
        <f t="shared" si="39"/>
        <v>365</v>
      </c>
      <c r="C1111" s="39">
        <f t="shared" ca="1" si="49"/>
        <v>154.75825</v>
      </c>
      <c r="D1111" s="39">
        <f t="shared" ca="1" si="49"/>
        <v>281.0162499999999</v>
      </c>
      <c r="E1111" s="39">
        <f t="shared" ca="1" si="49"/>
        <v>780.7254999999999</v>
      </c>
      <c r="F1111" s="39">
        <f t="shared" ca="1" si="49"/>
        <v>1216.5</v>
      </c>
      <c r="G1111" s="39">
        <f t="shared" ca="1" si="49"/>
        <v>79.166666666666671</v>
      </c>
      <c r="H1111" s="39">
        <f t="shared" ca="1" si="49"/>
        <v>600</v>
      </c>
      <c r="I1111" s="39">
        <f t="shared" ca="1" si="49"/>
        <v>695</v>
      </c>
      <c r="J1111" s="39">
        <f t="shared" ca="1" si="49"/>
        <v>33.333333333333336</v>
      </c>
      <c r="K1111" s="40"/>
      <c r="L1111" s="40"/>
      <c r="M1111" s="40"/>
      <c r="N1111" s="40"/>
      <c r="O1111" s="40"/>
      <c r="P1111" s="40"/>
      <c r="Q1111" s="40"/>
      <c r="R1111" s="40"/>
      <c r="S1111" s="40"/>
      <c r="T1111" s="40"/>
    </row>
    <row r="1112" spans="1:20" ht="15">
      <c r="A1112" s="3">
        <f t="shared" si="30"/>
        <v>2064</v>
      </c>
      <c r="B1112" s="3">
        <f t="shared" si="39"/>
        <v>366</v>
      </c>
      <c r="C1112" s="39">
        <f t="shared" ca="1" si="49"/>
        <v>154.75825</v>
      </c>
      <c r="D1112" s="39">
        <f t="shared" ca="1" si="49"/>
        <v>281.0162499999999</v>
      </c>
      <c r="E1112" s="39">
        <f t="shared" ca="1" si="49"/>
        <v>780.7254999999999</v>
      </c>
      <c r="F1112" s="39">
        <f t="shared" ca="1" si="49"/>
        <v>1216.5</v>
      </c>
      <c r="G1112" s="39">
        <f t="shared" ca="1" si="49"/>
        <v>79.166666666666671</v>
      </c>
      <c r="H1112" s="39">
        <f t="shared" ca="1" si="49"/>
        <v>600</v>
      </c>
      <c r="I1112" s="39">
        <f t="shared" ca="1" si="49"/>
        <v>695</v>
      </c>
      <c r="J1112" s="39">
        <f t="shared" ca="1" si="49"/>
        <v>33.333333333333336</v>
      </c>
      <c r="K1112" s="40"/>
      <c r="L1112" s="40"/>
      <c r="M1112" s="40"/>
      <c r="N1112" s="40"/>
      <c r="O1112" s="40"/>
      <c r="P1112" s="40"/>
      <c r="Q1112" s="40"/>
      <c r="R1112" s="40"/>
      <c r="S1112" s="40"/>
      <c r="T1112" s="40"/>
    </row>
    <row r="1113" spans="1:20" ht="15">
      <c r="A1113" s="3">
        <f t="shared" si="30"/>
        <v>2065</v>
      </c>
      <c r="B1113" s="3">
        <f t="shared" si="39"/>
        <v>365</v>
      </c>
      <c r="C1113" s="39">
        <f t="shared" ca="1" si="49"/>
        <v>154.75825</v>
      </c>
      <c r="D1113" s="39">
        <f t="shared" ca="1" si="49"/>
        <v>281.0162499999999</v>
      </c>
      <c r="E1113" s="39">
        <f t="shared" ca="1" si="49"/>
        <v>780.7254999999999</v>
      </c>
      <c r="F1113" s="39">
        <f t="shared" ca="1" si="49"/>
        <v>1216.5</v>
      </c>
      <c r="G1113" s="39">
        <f t="shared" ca="1" si="49"/>
        <v>79.166666666666671</v>
      </c>
      <c r="H1113" s="39">
        <f t="shared" ca="1" si="49"/>
        <v>600</v>
      </c>
      <c r="I1113" s="39">
        <f t="shared" ca="1" si="49"/>
        <v>695</v>
      </c>
      <c r="J1113" s="39">
        <f t="shared" ca="1" si="49"/>
        <v>33.333333333333336</v>
      </c>
      <c r="K1113" s="40"/>
      <c r="L1113" s="40"/>
      <c r="M1113" s="40"/>
      <c r="N1113" s="40"/>
      <c r="O1113" s="40"/>
      <c r="P1113" s="40"/>
      <c r="Q1113" s="40"/>
      <c r="R1113" s="40"/>
      <c r="S1113" s="40"/>
      <c r="T1113" s="40"/>
    </row>
    <row r="1114" spans="1:20" ht="15">
      <c r="A1114" s="3">
        <f t="shared" si="30"/>
        <v>2066</v>
      </c>
      <c r="B1114" s="3">
        <f t="shared" si="39"/>
        <v>365</v>
      </c>
      <c r="C1114" s="39">
        <f t="shared" ca="1" si="49"/>
        <v>154.75825</v>
      </c>
      <c r="D1114" s="39">
        <f t="shared" ca="1" si="49"/>
        <v>281.0162499999999</v>
      </c>
      <c r="E1114" s="39">
        <f t="shared" ca="1" si="49"/>
        <v>780.7254999999999</v>
      </c>
      <c r="F1114" s="39">
        <f t="shared" ca="1" si="49"/>
        <v>1216.5</v>
      </c>
      <c r="G1114" s="39">
        <f t="shared" ca="1" si="49"/>
        <v>79.166666666666671</v>
      </c>
      <c r="H1114" s="39">
        <f t="shared" ca="1" si="49"/>
        <v>600</v>
      </c>
      <c r="I1114" s="39">
        <f t="shared" ca="1" si="49"/>
        <v>695</v>
      </c>
      <c r="J1114" s="39">
        <f t="shared" ca="1" si="49"/>
        <v>33.333333333333336</v>
      </c>
      <c r="K1114" s="40"/>
      <c r="L1114" s="40"/>
      <c r="M1114" s="40"/>
      <c r="N1114" s="40"/>
      <c r="O1114" s="40"/>
      <c r="P1114" s="40"/>
      <c r="Q1114" s="40"/>
      <c r="R1114" s="40"/>
      <c r="S1114" s="40"/>
      <c r="T1114" s="40"/>
    </row>
    <row r="1115" spans="1:20" ht="15">
      <c r="A1115" s="3">
        <f t="shared" si="30"/>
        <v>2067</v>
      </c>
      <c r="B1115" s="3">
        <f t="shared" si="39"/>
        <v>365</v>
      </c>
      <c r="C1115" s="39">
        <f t="shared" ca="1" si="49"/>
        <v>154.75825</v>
      </c>
      <c r="D1115" s="39">
        <f t="shared" ca="1" si="49"/>
        <v>281.0162499999999</v>
      </c>
      <c r="E1115" s="39">
        <f t="shared" ca="1" si="49"/>
        <v>780.7254999999999</v>
      </c>
      <c r="F1115" s="39">
        <f t="shared" ca="1" si="49"/>
        <v>1216.5</v>
      </c>
      <c r="G1115" s="39">
        <f t="shared" ca="1" si="49"/>
        <v>79.166666666666671</v>
      </c>
      <c r="H1115" s="39">
        <f t="shared" ca="1" si="49"/>
        <v>600</v>
      </c>
      <c r="I1115" s="39">
        <f t="shared" ca="1" si="49"/>
        <v>695</v>
      </c>
      <c r="J1115" s="39">
        <f t="shared" ca="1" si="49"/>
        <v>33.333333333333336</v>
      </c>
      <c r="K1115" s="40"/>
      <c r="L1115" s="40"/>
      <c r="M1115" s="40"/>
      <c r="N1115" s="40"/>
      <c r="O1115" s="40"/>
      <c r="P1115" s="40"/>
      <c r="Q1115" s="40"/>
      <c r="R1115" s="40"/>
      <c r="S1115" s="40"/>
      <c r="T1115" s="40"/>
    </row>
    <row r="1116" spans="1:20" ht="15">
      <c r="A1116" s="3">
        <f t="shared" si="30"/>
        <v>2068</v>
      </c>
      <c r="B1116" s="3">
        <f t="shared" si="39"/>
        <v>366</v>
      </c>
      <c r="C1116" s="39">
        <f t="shared" ca="1" si="49"/>
        <v>154.75825</v>
      </c>
      <c r="D1116" s="39">
        <f t="shared" ca="1" si="49"/>
        <v>281.0162499999999</v>
      </c>
      <c r="E1116" s="39">
        <f t="shared" ca="1" si="49"/>
        <v>780.7254999999999</v>
      </c>
      <c r="F1116" s="39">
        <f t="shared" ca="1" si="49"/>
        <v>1216.5</v>
      </c>
      <c r="G1116" s="39">
        <f t="shared" ca="1" si="49"/>
        <v>79.166666666666671</v>
      </c>
      <c r="H1116" s="39">
        <f t="shared" ca="1" si="49"/>
        <v>600</v>
      </c>
      <c r="I1116" s="39">
        <f t="shared" ca="1" si="49"/>
        <v>695</v>
      </c>
      <c r="J1116" s="39">
        <f t="shared" ca="1" si="49"/>
        <v>33.333333333333336</v>
      </c>
      <c r="K1116" s="40"/>
      <c r="L1116" s="40"/>
      <c r="M1116" s="40"/>
      <c r="N1116" s="40"/>
      <c r="O1116" s="40"/>
      <c r="P1116" s="40"/>
      <c r="Q1116" s="40"/>
      <c r="R1116" s="40"/>
      <c r="S1116" s="40"/>
      <c r="T1116" s="40"/>
    </row>
    <row r="1117" spans="1:20" ht="15">
      <c r="A1117" s="3">
        <f t="shared" si="30"/>
        <v>2069</v>
      </c>
      <c r="B1117" s="3">
        <f t="shared" si="39"/>
        <v>365</v>
      </c>
      <c r="C1117" s="39">
        <f t="shared" ca="1" si="49"/>
        <v>154.75825</v>
      </c>
      <c r="D1117" s="39">
        <f t="shared" ca="1" si="49"/>
        <v>281.0162499999999</v>
      </c>
      <c r="E1117" s="39">
        <f t="shared" ca="1" si="49"/>
        <v>780.7254999999999</v>
      </c>
      <c r="F1117" s="39">
        <f t="shared" ca="1" si="49"/>
        <v>1216.5</v>
      </c>
      <c r="G1117" s="39">
        <f t="shared" ca="1" si="49"/>
        <v>79.166666666666671</v>
      </c>
      <c r="H1117" s="39">
        <f t="shared" ca="1" si="49"/>
        <v>600</v>
      </c>
      <c r="I1117" s="39">
        <f t="shared" ca="1" si="49"/>
        <v>695</v>
      </c>
      <c r="J1117" s="39">
        <f t="shared" ca="1" si="49"/>
        <v>33.333333333333336</v>
      </c>
      <c r="K1117" s="40"/>
      <c r="L1117" s="40"/>
      <c r="M1117" s="40"/>
      <c r="N1117" s="40"/>
      <c r="O1117" s="40"/>
      <c r="P1117" s="40"/>
      <c r="Q1117" s="40"/>
      <c r="R1117" s="40"/>
      <c r="S1117" s="40"/>
      <c r="T1117" s="40"/>
    </row>
    <row r="1118" spans="1:20" ht="15">
      <c r="A1118" s="3">
        <f t="shared" ref="A1118:A1148" si="50">A1117+1</f>
        <v>2070</v>
      </c>
      <c r="B1118" s="3">
        <f t="shared" si="39"/>
        <v>365</v>
      </c>
      <c r="C1118" s="39">
        <f t="shared" ca="1" si="49"/>
        <v>154.75825</v>
      </c>
      <c r="D1118" s="39">
        <f t="shared" ca="1" si="49"/>
        <v>281.0162499999999</v>
      </c>
      <c r="E1118" s="39">
        <f t="shared" ca="1" si="49"/>
        <v>780.7254999999999</v>
      </c>
      <c r="F1118" s="39">
        <f t="shared" ca="1" si="49"/>
        <v>1216.5</v>
      </c>
      <c r="G1118" s="39">
        <f t="shared" ca="1" si="49"/>
        <v>79.166666666666671</v>
      </c>
      <c r="H1118" s="39">
        <f t="shared" ca="1" si="49"/>
        <v>600</v>
      </c>
      <c r="I1118" s="39">
        <f t="shared" ca="1" si="49"/>
        <v>695</v>
      </c>
      <c r="J1118" s="39">
        <f t="shared" ca="1" si="49"/>
        <v>33.333333333333336</v>
      </c>
      <c r="K1118" s="40"/>
      <c r="L1118" s="40"/>
      <c r="M1118" s="40"/>
      <c r="N1118" s="40"/>
      <c r="O1118" s="40"/>
      <c r="P1118" s="40"/>
      <c r="Q1118" s="40"/>
      <c r="R1118" s="40"/>
      <c r="S1118" s="40"/>
      <c r="T1118" s="40"/>
    </row>
    <row r="1119" spans="1:20" ht="15">
      <c r="A1119" s="3">
        <f t="shared" si="50"/>
        <v>2071</v>
      </c>
      <c r="B1119" s="3">
        <f t="shared" si="39"/>
        <v>365</v>
      </c>
      <c r="C1119" s="39">
        <f t="shared" ca="1" si="49"/>
        <v>154.75825</v>
      </c>
      <c r="D1119" s="39">
        <f t="shared" ca="1" si="49"/>
        <v>281.0162499999999</v>
      </c>
      <c r="E1119" s="39">
        <f t="shared" ca="1" si="49"/>
        <v>780.7254999999999</v>
      </c>
      <c r="F1119" s="39">
        <f t="shared" ca="1" si="49"/>
        <v>1216.5</v>
      </c>
      <c r="G1119" s="39">
        <f t="shared" ca="1" si="49"/>
        <v>79.166666666666671</v>
      </c>
      <c r="H1119" s="39">
        <f t="shared" ca="1" si="49"/>
        <v>600</v>
      </c>
      <c r="I1119" s="39">
        <f t="shared" ca="1" si="49"/>
        <v>695</v>
      </c>
      <c r="J1119" s="39">
        <f t="shared" ca="1" si="49"/>
        <v>33.333333333333336</v>
      </c>
      <c r="K1119" s="40"/>
      <c r="L1119" s="40"/>
      <c r="M1119" s="40"/>
      <c r="N1119" s="40"/>
      <c r="O1119" s="40"/>
      <c r="P1119" s="40"/>
      <c r="Q1119" s="40"/>
      <c r="R1119" s="40"/>
      <c r="S1119" s="40"/>
      <c r="T1119" s="40"/>
    </row>
    <row r="1120" spans="1:20" ht="15">
      <c r="A1120" s="3">
        <f t="shared" si="50"/>
        <v>2072</v>
      </c>
      <c r="B1120" s="3">
        <f t="shared" si="39"/>
        <v>366</v>
      </c>
      <c r="C1120" s="39">
        <f t="shared" ref="C1120:J1129" ca="1" si="51">AVERAGE(OFFSET(C$593,($A1120-$A$1110)*12,0,12,1))</f>
        <v>154.75825</v>
      </c>
      <c r="D1120" s="39">
        <f t="shared" ca="1" si="51"/>
        <v>281.0162499999999</v>
      </c>
      <c r="E1120" s="39">
        <f t="shared" ca="1" si="51"/>
        <v>780.7254999999999</v>
      </c>
      <c r="F1120" s="39">
        <f t="shared" ca="1" si="51"/>
        <v>1216.5</v>
      </c>
      <c r="G1120" s="39">
        <f t="shared" ca="1" si="51"/>
        <v>79.166666666666671</v>
      </c>
      <c r="H1120" s="39">
        <f t="shared" ca="1" si="51"/>
        <v>600</v>
      </c>
      <c r="I1120" s="39">
        <f t="shared" ca="1" si="51"/>
        <v>695</v>
      </c>
      <c r="J1120" s="39">
        <f t="shared" ca="1" si="51"/>
        <v>33.333333333333336</v>
      </c>
      <c r="K1120" s="40"/>
      <c r="L1120" s="40"/>
      <c r="M1120" s="40"/>
      <c r="N1120" s="40"/>
      <c r="O1120" s="40"/>
      <c r="P1120" s="40"/>
      <c r="Q1120" s="40"/>
      <c r="R1120" s="40"/>
      <c r="S1120" s="40"/>
      <c r="T1120" s="40"/>
    </row>
    <row r="1121" spans="1:20" ht="15">
      <c r="A1121" s="3">
        <f t="shared" si="50"/>
        <v>2073</v>
      </c>
      <c r="B1121" s="3">
        <f t="shared" si="39"/>
        <v>365</v>
      </c>
      <c r="C1121" s="39">
        <f t="shared" ca="1" si="51"/>
        <v>154.75825</v>
      </c>
      <c r="D1121" s="39">
        <f t="shared" ca="1" si="51"/>
        <v>281.0162499999999</v>
      </c>
      <c r="E1121" s="39">
        <f t="shared" ca="1" si="51"/>
        <v>780.7254999999999</v>
      </c>
      <c r="F1121" s="39">
        <f t="shared" ca="1" si="51"/>
        <v>1216.5</v>
      </c>
      <c r="G1121" s="39">
        <f t="shared" ca="1" si="51"/>
        <v>79.166666666666671</v>
      </c>
      <c r="H1121" s="39">
        <f t="shared" ca="1" si="51"/>
        <v>600</v>
      </c>
      <c r="I1121" s="39">
        <f t="shared" ca="1" si="51"/>
        <v>695</v>
      </c>
      <c r="J1121" s="39">
        <f t="shared" ca="1" si="51"/>
        <v>33.333333333333336</v>
      </c>
      <c r="K1121" s="40"/>
      <c r="L1121" s="40"/>
      <c r="M1121" s="40"/>
      <c r="N1121" s="40"/>
      <c r="O1121" s="40"/>
      <c r="P1121" s="40"/>
      <c r="Q1121" s="40"/>
      <c r="R1121" s="40"/>
      <c r="S1121" s="40"/>
      <c r="T1121" s="40"/>
    </row>
    <row r="1122" spans="1:20" ht="15">
      <c r="A1122" s="3">
        <f t="shared" si="50"/>
        <v>2074</v>
      </c>
      <c r="B1122" s="3">
        <f t="shared" si="39"/>
        <v>365</v>
      </c>
      <c r="C1122" s="39">
        <f t="shared" ca="1" si="51"/>
        <v>154.75825</v>
      </c>
      <c r="D1122" s="39">
        <f t="shared" ca="1" si="51"/>
        <v>281.0162499999999</v>
      </c>
      <c r="E1122" s="39">
        <f t="shared" ca="1" si="51"/>
        <v>780.7254999999999</v>
      </c>
      <c r="F1122" s="39">
        <f t="shared" ca="1" si="51"/>
        <v>1216.5</v>
      </c>
      <c r="G1122" s="39">
        <f t="shared" ca="1" si="51"/>
        <v>79.166666666666671</v>
      </c>
      <c r="H1122" s="39">
        <f t="shared" ca="1" si="51"/>
        <v>600</v>
      </c>
      <c r="I1122" s="39">
        <f t="shared" ca="1" si="51"/>
        <v>695</v>
      </c>
      <c r="J1122" s="39">
        <f t="shared" ca="1" si="51"/>
        <v>33.333333333333336</v>
      </c>
      <c r="K1122" s="40"/>
      <c r="L1122" s="40"/>
      <c r="M1122" s="40"/>
      <c r="N1122" s="40"/>
      <c r="O1122" s="40"/>
      <c r="P1122" s="40"/>
      <c r="Q1122" s="40"/>
      <c r="R1122" s="40"/>
      <c r="S1122" s="40"/>
      <c r="T1122" s="40"/>
    </row>
    <row r="1123" spans="1:20" ht="15">
      <c r="A1123" s="3">
        <f t="shared" si="50"/>
        <v>2075</v>
      </c>
      <c r="B1123" s="3">
        <f t="shared" si="39"/>
        <v>365</v>
      </c>
      <c r="C1123" s="39">
        <f t="shared" ca="1" si="51"/>
        <v>154.75825</v>
      </c>
      <c r="D1123" s="39">
        <f t="shared" ca="1" si="51"/>
        <v>281.0162499999999</v>
      </c>
      <c r="E1123" s="39">
        <f t="shared" ca="1" si="51"/>
        <v>780.7254999999999</v>
      </c>
      <c r="F1123" s="39">
        <f t="shared" ca="1" si="51"/>
        <v>1216.5</v>
      </c>
      <c r="G1123" s="39">
        <f t="shared" ca="1" si="51"/>
        <v>79.166666666666671</v>
      </c>
      <c r="H1123" s="39">
        <f t="shared" ca="1" si="51"/>
        <v>600</v>
      </c>
      <c r="I1123" s="39">
        <f t="shared" ca="1" si="51"/>
        <v>695</v>
      </c>
      <c r="J1123" s="39">
        <f t="shared" ca="1" si="51"/>
        <v>33.333333333333336</v>
      </c>
      <c r="K1123" s="40"/>
      <c r="L1123" s="40"/>
      <c r="M1123" s="40"/>
      <c r="N1123" s="40"/>
      <c r="O1123" s="40"/>
      <c r="P1123" s="40"/>
      <c r="Q1123" s="40"/>
      <c r="R1123" s="40"/>
      <c r="S1123" s="40"/>
      <c r="T1123" s="40"/>
    </row>
    <row r="1124" spans="1:20" ht="15">
      <c r="A1124" s="3">
        <f t="shared" si="50"/>
        <v>2076</v>
      </c>
      <c r="B1124" s="3">
        <f t="shared" si="39"/>
        <v>366</v>
      </c>
      <c r="C1124" s="39">
        <f t="shared" ca="1" si="51"/>
        <v>154.75825</v>
      </c>
      <c r="D1124" s="39">
        <f t="shared" ca="1" si="51"/>
        <v>281.0162499999999</v>
      </c>
      <c r="E1124" s="39">
        <f t="shared" ca="1" si="51"/>
        <v>780.7254999999999</v>
      </c>
      <c r="F1124" s="39">
        <f t="shared" ca="1" si="51"/>
        <v>1216.5</v>
      </c>
      <c r="G1124" s="39">
        <f t="shared" ca="1" si="51"/>
        <v>79.166666666666671</v>
      </c>
      <c r="H1124" s="39">
        <f t="shared" ca="1" si="51"/>
        <v>600</v>
      </c>
      <c r="I1124" s="39">
        <f t="shared" ca="1" si="51"/>
        <v>695</v>
      </c>
      <c r="J1124" s="39">
        <f t="shared" ca="1" si="51"/>
        <v>33.333333333333336</v>
      </c>
      <c r="K1124" s="40"/>
      <c r="L1124" s="40"/>
      <c r="M1124" s="40"/>
      <c r="N1124" s="40"/>
      <c r="O1124" s="40"/>
      <c r="P1124" s="40"/>
      <c r="Q1124" s="40"/>
      <c r="R1124" s="40"/>
      <c r="S1124" s="40"/>
      <c r="T1124" s="40"/>
    </row>
    <row r="1125" spans="1:20" ht="15">
      <c r="A1125" s="3">
        <f t="shared" si="50"/>
        <v>2077</v>
      </c>
      <c r="B1125" s="3">
        <f t="shared" si="39"/>
        <v>365</v>
      </c>
      <c r="C1125" s="39">
        <f t="shared" ca="1" si="51"/>
        <v>154.75825</v>
      </c>
      <c r="D1125" s="39">
        <f t="shared" ca="1" si="51"/>
        <v>281.0162499999999</v>
      </c>
      <c r="E1125" s="39">
        <f t="shared" ca="1" si="51"/>
        <v>780.7254999999999</v>
      </c>
      <c r="F1125" s="39">
        <f t="shared" ca="1" si="51"/>
        <v>1216.5</v>
      </c>
      <c r="G1125" s="39">
        <f t="shared" ca="1" si="51"/>
        <v>79.166666666666671</v>
      </c>
      <c r="H1125" s="39">
        <f t="shared" ca="1" si="51"/>
        <v>600</v>
      </c>
      <c r="I1125" s="39">
        <f t="shared" ca="1" si="51"/>
        <v>695</v>
      </c>
      <c r="J1125" s="39">
        <f t="shared" ca="1" si="51"/>
        <v>33.333333333333336</v>
      </c>
      <c r="K1125" s="40"/>
      <c r="L1125" s="40"/>
      <c r="M1125" s="40"/>
      <c r="N1125" s="40"/>
      <c r="O1125" s="40"/>
      <c r="P1125" s="40"/>
      <c r="Q1125" s="40"/>
      <c r="R1125" s="40"/>
      <c r="S1125" s="40"/>
      <c r="T1125" s="40"/>
    </row>
    <row r="1126" spans="1:20" ht="15">
      <c r="A1126" s="3">
        <f t="shared" si="50"/>
        <v>2078</v>
      </c>
      <c r="B1126" s="3">
        <f t="shared" ref="B1126:B1148" si="52">DATE(A1126+1,1,1)-DATE(A1126,1,1)</f>
        <v>365</v>
      </c>
      <c r="C1126" s="39">
        <f t="shared" ca="1" si="51"/>
        <v>154.75825</v>
      </c>
      <c r="D1126" s="39">
        <f t="shared" ca="1" si="51"/>
        <v>281.0162499999999</v>
      </c>
      <c r="E1126" s="39">
        <f t="shared" ca="1" si="51"/>
        <v>780.7254999999999</v>
      </c>
      <c r="F1126" s="39">
        <f t="shared" ca="1" si="51"/>
        <v>1216.5</v>
      </c>
      <c r="G1126" s="39">
        <f t="shared" ca="1" si="51"/>
        <v>79.166666666666671</v>
      </c>
      <c r="H1126" s="39">
        <f t="shared" ca="1" si="51"/>
        <v>600</v>
      </c>
      <c r="I1126" s="39">
        <f t="shared" ca="1" si="51"/>
        <v>695</v>
      </c>
      <c r="J1126" s="39">
        <f t="shared" ca="1" si="51"/>
        <v>33.333333333333336</v>
      </c>
      <c r="K1126" s="40"/>
      <c r="L1126" s="40"/>
      <c r="M1126" s="40"/>
      <c r="N1126" s="40"/>
      <c r="O1126" s="40"/>
      <c r="P1126" s="40"/>
      <c r="Q1126" s="40"/>
      <c r="R1126" s="40"/>
      <c r="S1126" s="40"/>
      <c r="T1126" s="40"/>
    </row>
    <row r="1127" spans="1:20" ht="15">
      <c r="A1127" s="3">
        <f t="shared" si="50"/>
        <v>2079</v>
      </c>
      <c r="B1127" s="3">
        <f t="shared" si="52"/>
        <v>365</v>
      </c>
      <c r="C1127" s="39">
        <f t="shared" ca="1" si="51"/>
        <v>154.75825</v>
      </c>
      <c r="D1127" s="39">
        <f t="shared" ca="1" si="51"/>
        <v>281.0162499999999</v>
      </c>
      <c r="E1127" s="39">
        <f t="shared" ca="1" si="51"/>
        <v>780.7254999999999</v>
      </c>
      <c r="F1127" s="39">
        <f t="shared" ca="1" si="51"/>
        <v>1216.5</v>
      </c>
      <c r="G1127" s="39">
        <f t="shared" ca="1" si="51"/>
        <v>79.166666666666671</v>
      </c>
      <c r="H1127" s="39">
        <f t="shared" ca="1" si="51"/>
        <v>600</v>
      </c>
      <c r="I1127" s="39">
        <f t="shared" ca="1" si="51"/>
        <v>695</v>
      </c>
      <c r="J1127" s="39">
        <f t="shared" ca="1" si="51"/>
        <v>33.333333333333336</v>
      </c>
      <c r="K1127" s="40"/>
      <c r="L1127" s="40"/>
      <c r="M1127" s="40"/>
      <c r="N1127" s="40"/>
      <c r="O1127" s="40"/>
      <c r="P1127" s="40"/>
      <c r="Q1127" s="40"/>
      <c r="R1127" s="40"/>
      <c r="S1127" s="40"/>
      <c r="T1127" s="40"/>
    </row>
    <row r="1128" spans="1:20" ht="15">
      <c r="A1128" s="3">
        <f t="shared" si="50"/>
        <v>2080</v>
      </c>
      <c r="B1128" s="3">
        <f t="shared" si="52"/>
        <v>366</v>
      </c>
      <c r="C1128" s="39">
        <f t="shared" ca="1" si="51"/>
        <v>154.75825</v>
      </c>
      <c r="D1128" s="39">
        <f t="shared" ca="1" si="51"/>
        <v>281.0162499999999</v>
      </c>
      <c r="E1128" s="39">
        <f t="shared" ca="1" si="51"/>
        <v>780.7254999999999</v>
      </c>
      <c r="F1128" s="39">
        <f t="shared" ca="1" si="51"/>
        <v>1216.5</v>
      </c>
      <c r="G1128" s="39">
        <f t="shared" ca="1" si="51"/>
        <v>79.166666666666671</v>
      </c>
      <c r="H1128" s="39">
        <f t="shared" ca="1" si="51"/>
        <v>600</v>
      </c>
      <c r="I1128" s="39">
        <f t="shared" ca="1" si="51"/>
        <v>695</v>
      </c>
      <c r="J1128" s="39">
        <f t="shared" ca="1" si="51"/>
        <v>33.333333333333336</v>
      </c>
      <c r="K1128" s="40"/>
      <c r="L1128" s="40"/>
      <c r="M1128" s="40"/>
      <c r="N1128" s="40"/>
      <c r="O1128" s="40"/>
      <c r="P1128" s="40"/>
      <c r="Q1128" s="40"/>
      <c r="R1128" s="40"/>
      <c r="S1128" s="40"/>
      <c r="T1128" s="40"/>
    </row>
    <row r="1129" spans="1:20" ht="15">
      <c r="A1129" s="3">
        <f t="shared" si="50"/>
        <v>2081</v>
      </c>
      <c r="B1129" s="3">
        <f t="shared" si="52"/>
        <v>365</v>
      </c>
      <c r="C1129" s="39">
        <f t="shared" ca="1" si="51"/>
        <v>154.75825</v>
      </c>
      <c r="D1129" s="39">
        <f t="shared" ca="1" si="51"/>
        <v>281.0162499999999</v>
      </c>
      <c r="E1129" s="39">
        <f t="shared" ca="1" si="51"/>
        <v>780.7254999999999</v>
      </c>
      <c r="F1129" s="39">
        <f t="shared" ca="1" si="51"/>
        <v>1216.5</v>
      </c>
      <c r="G1129" s="39">
        <f t="shared" ca="1" si="51"/>
        <v>79.166666666666671</v>
      </c>
      <c r="H1129" s="39">
        <f t="shared" ca="1" si="51"/>
        <v>600</v>
      </c>
      <c r="I1129" s="39">
        <f t="shared" ca="1" si="51"/>
        <v>695</v>
      </c>
      <c r="J1129" s="39">
        <f t="shared" ca="1" si="51"/>
        <v>33.333333333333336</v>
      </c>
      <c r="K1129" s="40"/>
      <c r="L1129" s="40"/>
      <c r="M1129" s="40"/>
      <c r="N1129" s="40"/>
      <c r="O1129" s="40"/>
      <c r="P1129" s="40"/>
      <c r="Q1129" s="40"/>
      <c r="R1129" s="40"/>
      <c r="S1129" s="40"/>
      <c r="T1129" s="40"/>
    </row>
    <row r="1130" spans="1:20" ht="15">
      <c r="A1130" s="3">
        <f t="shared" si="50"/>
        <v>2082</v>
      </c>
      <c r="B1130" s="3">
        <f t="shared" si="52"/>
        <v>365</v>
      </c>
      <c r="C1130" s="39">
        <f t="shared" ref="C1130:J1139" ca="1" si="53">AVERAGE(OFFSET(C$593,($A1130-$A$1110)*12,0,12,1))</f>
        <v>154.75825</v>
      </c>
      <c r="D1130" s="39">
        <f t="shared" ca="1" si="53"/>
        <v>281.0162499999999</v>
      </c>
      <c r="E1130" s="39">
        <f t="shared" ca="1" si="53"/>
        <v>780.7254999999999</v>
      </c>
      <c r="F1130" s="39">
        <f t="shared" ca="1" si="53"/>
        <v>1216.5</v>
      </c>
      <c r="G1130" s="39">
        <f t="shared" ca="1" si="53"/>
        <v>79.166666666666671</v>
      </c>
      <c r="H1130" s="39">
        <f t="shared" ca="1" si="53"/>
        <v>600</v>
      </c>
      <c r="I1130" s="39">
        <f t="shared" ca="1" si="53"/>
        <v>695</v>
      </c>
      <c r="J1130" s="39">
        <f t="shared" ca="1" si="53"/>
        <v>33.333333333333336</v>
      </c>
      <c r="K1130" s="40"/>
      <c r="L1130" s="40"/>
      <c r="M1130" s="40"/>
      <c r="N1130" s="40"/>
      <c r="O1130" s="40"/>
      <c r="P1130" s="40"/>
      <c r="Q1130" s="40"/>
      <c r="R1130" s="40"/>
      <c r="S1130" s="40"/>
      <c r="T1130" s="40"/>
    </row>
    <row r="1131" spans="1:20" ht="15">
      <c r="A1131" s="3">
        <f t="shared" si="50"/>
        <v>2083</v>
      </c>
      <c r="B1131" s="3">
        <f t="shared" si="52"/>
        <v>365</v>
      </c>
      <c r="C1131" s="39">
        <f t="shared" ca="1" si="53"/>
        <v>154.75825</v>
      </c>
      <c r="D1131" s="39">
        <f t="shared" ca="1" si="53"/>
        <v>281.0162499999999</v>
      </c>
      <c r="E1131" s="39">
        <f t="shared" ca="1" si="53"/>
        <v>780.7254999999999</v>
      </c>
      <c r="F1131" s="39">
        <f t="shared" ca="1" si="53"/>
        <v>1216.5</v>
      </c>
      <c r="G1131" s="39">
        <f t="shared" ca="1" si="53"/>
        <v>79.166666666666671</v>
      </c>
      <c r="H1131" s="39">
        <f t="shared" ca="1" si="53"/>
        <v>600</v>
      </c>
      <c r="I1131" s="39">
        <f t="shared" ca="1" si="53"/>
        <v>695</v>
      </c>
      <c r="J1131" s="39">
        <f t="shared" ca="1" si="53"/>
        <v>33.333333333333336</v>
      </c>
      <c r="K1131" s="40"/>
      <c r="L1131" s="40"/>
      <c r="M1131" s="40"/>
      <c r="N1131" s="40"/>
      <c r="O1131" s="40"/>
      <c r="P1131" s="40"/>
      <c r="Q1131" s="40"/>
      <c r="R1131" s="40"/>
      <c r="S1131" s="40"/>
      <c r="T1131" s="40"/>
    </row>
    <row r="1132" spans="1:20" ht="15">
      <c r="A1132" s="3">
        <f t="shared" si="50"/>
        <v>2084</v>
      </c>
      <c r="B1132" s="3">
        <f t="shared" si="52"/>
        <v>366</v>
      </c>
      <c r="C1132" s="39">
        <f t="shared" ca="1" si="53"/>
        <v>154.75825</v>
      </c>
      <c r="D1132" s="39">
        <f t="shared" ca="1" si="53"/>
        <v>281.0162499999999</v>
      </c>
      <c r="E1132" s="39">
        <f t="shared" ca="1" si="53"/>
        <v>780.7254999999999</v>
      </c>
      <c r="F1132" s="39">
        <f t="shared" ca="1" si="53"/>
        <v>1216.5</v>
      </c>
      <c r="G1132" s="39">
        <f t="shared" ca="1" si="53"/>
        <v>79.166666666666671</v>
      </c>
      <c r="H1132" s="39">
        <f t="shared" ca="1" si="53"/>
        <v>600</v>
      </c>
      <c r="I1132" s="39">
        <f t="shared" ca="1" si="53"/>
        <v>695</v>
      </c>
      <c r="J1132" s="39">
        <f t="shared" ca="1" si="53"/>
        <v>33.333333333333336</v>
      </c>
      <c r="K1132" s="40"/>
      <c r="L1132" s="40"/>
      <c r="M1132" s="40"/>
      <c r="N1132" s="40"/>
      <c r="O1132" s="40"/>
      <c r="P1132" s="40"/>
      <c r="Q1132" s="40"/>
      <c r="R1132" s="40"/>
      <c r="S1132" s="40"/>
      <c r="T1132" s="40"/>
    </row>
    <row r="1133" spans="1:20" ht="15">
      <c r="A1133" s="3">
        <f t="shared" si="50"/>
        <v>2085</v>
      </c>
      <c r="B1133" s="3">
        <f t="shared" si="52"/>
        <v>365</v>
      </c>
      <c r="C1133" s="39">
        <f t="shared" ca="1" si="53"/>
        <v>154.75825</v>
      </c>
      <c r="D1133" s="39">
        <f t="shared" ca="1" si="53"/>
        <v>281.0162499999999</v>
      </c>
      <c r="E1133" s="39">
        <f t="shared" ca="1" si="53"/>
        <v>780.7254999999999</v>
      </c>
      <c r="F1133" s="39">
        <f t="shared" ca="1" si="53"/>
        <v>1216.5</v>
      </c>
      <c r="G1133" s="39">
        <f t="shared" ca="1" si="53"/>
        <v>79.166666666666671</v>
      </c>
      <c r="H1133" s="39">
        <f t="shared" ca="1" si="53"/>
        <v>600</v>
      </c>
      <c r="I1133" s="39">
        <f t="shared" ca="1" si="53"/>
        <v>695</v>
      </c>
      <c r="J1133" s="39">
        <f t="shared" ca="1" si="53"/>
        <v>33.333333333333336</v>
      </c>
      <c r="K1133" s="40"/>
      <c r="L1133" s="40"/>
      <c r="M1133" s="40"/>
      <c r="N1133" s="40"/>
      <c r="O1133" s="40"/>
      <c r="P1133" s="40"/>
      <c r="Q1133" s="40"/>
      <c r="R1133" s="40"/>
      <c r="S1133" s="40"/>
      <c r="T1133" s="40"/>
    </row>
    <row r="1134" spans="1:20" ht="15">
      <c r="A1134" s="3">
        <f t="shared" si="50"/>
        <v>2086</v>
      </c>
      <c r="B1134" s="3">
        <f t="shared" si="52"/>
        <v>365</v>
      </c>
      <c r="C1134" s="39">
        <f t="shared" ca="1" si="53"/>
        <v>154.75825</v>
      </c>
      <c r="D1134" s="39">
        <f t="shared" ca="1" si="53"/>
        <v>281.0162499999999</v>
      </c>
      <c r="E1134" s="39">
        <f t="shared" ca="1" si="53"/>
        <v>780.7254999999999</v>
      </c>
      <c r="F1134" s="39">
        <f t="shared" ca="1" si="53"/>
        <v>1216.5</v>
      </c>
      <c r="G1134" s="39">
        <f t="shared" ca="1" si="53"/>
        <v>79.166666666666671</v>
      </c>
      <c r="H1134" s="39">
        <f t="shared" ca="1" si="53"/>
        <v>600</v>
      </c>
      <c r="I1134" s="39">
        <f t="shared" ca="1" si="53"/>
        <v>695</v>
      </c>
      <c r="J1134" s="39">
        <f t="shared" ca="1" si="53"/>
        <v>33.333333333333336</v>
      </c>
      <c r="K1134" s="40"/>
      <c r="L1134" s="40"/>
      <c r="M1134" s="40"/>
      <c r="N1134" s="40"/>
      <c r="O1134" s="40"/>
      <c r="P1134" s="40"/>
      <c r="Q1134" s="40"/>
      <c r="R1134" s="40"/>
      <c r="S1134" s="40"/>
      <c r="T1134" s="40"/>
    </row>
    <row r="1135" spans="1:20" ht="15">
      <c r="A1135" s="3">
        <f t="shared" si="50"/>
        <v>2087</v>
      </c>
      <c r="B1135" s="3">
        <f t="shared" si="52"/>
        <v>365</v>
      </c>
      <c r="C1135" s="39">
        <f t="shared" ca="1" si="53"/>
        <v>154.75825</v>
      </c>
      <c r="D1135" s="39">
        <f t="shared" ca="1" si="53"/>
        <v>281.0162499999999</v>
      </c>
      <c r="E1135" s="39">
        <f t="shared" ca="1" si="53"/>
        <v>780.7254999999999</v>
      </c>
      <c r="F1135" s="39">
        <f t="shared" ca="1" si="53"/>
        <v>1216.5</v>
      </c>
      <c r="G1135" s="39">
        <f t="shared" ca="1" si="53"/>
        <v>79.166666666666671</v>
      </c>
      <c r="H1135" s="39">
        <f t="shared" ca="1" si="53"/>
        <v>600</v>
      </c>
      <c r="I1135" s="39">
        <f t="shared" ca="1" si="53"/>
        <v>695</v>
      </c>
      <c r="J1135" s="39">
        <f t="shared" ca="1" si="53"/>
        <v>33.333333333333336</v>
      </c>
      <c r="K1135" s="40"/>
      <c r="L1135" s="40"/>
      <c r="M1135" s="40"/>
      <c r="N1135" s="40"/>
      <c r="O1135" s="40"/>
      <c r="P1135" s="40"/>
      <c r="Q1135" s="40"/>
      <c r="R1135" s="40"/>
      <c r="S1135" s="40"/>
      <c r="T1135" s="40"/>
    </row>
    <row r="1136" spans="1:20" ht="15">
      <c r="A1136" s="3">
        <f t="shared" si="50"/>
        <v>2088</v>
      </c>
      <c r="B1136" s="3">
        <f t="shared" si="52"/>
        <v>366</v>
      </c>
      <c r="C1136" s="39">
        <f t="shared" ca="1" si="53"/>
        <v>154.75825</v>
      </c>
      <c r="D1136" s="39">
        <f t="shared" ca="1" si="53"/>
        <v>281.0162499999999</v>
      </c>
      <c r="E1136" s="39">
        <f t="shared" ca="1" si="53"/>
        <v>780.7254999999999</v>
      </c>
      <c r="F1136" s="39">
        <f t="shared" ca="1" si="53"/>
        <v>1216.5</v>
      </c>
      <c r="G1136" s="39">
        <f t="shared" ca="1" si="53"/>
        <v>79.166666666666671</v>
      </c>
      <c r="H1136" s="39">
        <f t="shared" ca="1" si="53"/>
        <v>600</v>
      </c>
      <c r="I1136" s="39">
        <f t="shared" ca="1" si="53"/>
        <v>695</v>
      </c>
      <c r="J1136" s="39">
        <f t="shared" ca="1" si="53"/>
        <v>33.333333333333336</v>
      </c>
      <c r="K1136" s="40"/>
      <c r="L1136" s="40"/>
      <c r="M1136" s="40"/>
      <c r="N1136" s="40"/>
      <c r="O1136" s="40"/>
      <c r="P1136" s="40"/>
      <c r="Q1136" s="40"/>
      <c r="R1136" s="40"/>
      <c r="S1136" s="40"/>
      <c r="T1136" s="40"/>
    </row>
    <row r="1137" spans="1:20" ht="15">
      <c r="A1137" s="3">
        <f t="shared" si="50"/>
        <v>2089</v>
      </c>
      <c r="B1137" s="3">
        <f t="shared" si="52"/>
        <v>365</v>
      </c>
      <c r="C1137" s="39">
        <f t="shared" ca="1" si="53"/>
        <v>154.75825</v>
      </c>
      <c r="D1137" s="39">
        <f t="shared" ca="1" si="53"/>
        <v>281.0162499999999</v>
      </c>
      <c r="E1137" s="39">
        <f t="shared" ca="1" si="53"/>
        <v>780.7254999999999</v>
      </c>
      <c r="F1137" s="39">
        <f t="shared" ca="1" si="53"/>
        <v>1216.5</v>
      </c>
      <c r="G1137" s="39">
        <f t="shared" ca="1" si="53"/>
        <v>79.166666666666671</v>
      </c>
      <c r="H1137" s="39">
        <f t="shared" ca="1" si="53"/>
        <v>600</v>
      </c>
      <c r="I1137" s="39">
        <f t="shared" ca="1" si="53"/>
        <v>695</v>
      </c>
      <c r="J1137" s="39">
        <f t="shared" ca="1" si="53"/>
        <v>33.333333333333336</v>
      </c>
      <c r="K1137" s="40"/>
      <c r="L1137" s="40"/>
      <c r="M1137" s="40"/>
      <c r="N1137" s="40"/>
      <c r="O1137" s="40"/>
      <c r="P1137" s="40"/>
      <c r="Q1137" s="40"/>
      <c r="R1137" s="40"/>
      <c r="S1137" s="40"/>
      <c r="T1137" s="40"/>
    </row>
    <row r="1138" spans="1:20" ht="15">
      <c r="A1138" s="3">
        <f t="shared" si="50"/>
        <v>2090</v>
      </c>
      <c r="B1138" s="3">
        <f t="shared" si="52"/>
        <v>365</v>
      </c>
      <c r="C1138" s="39">
        <f t="shared" ca="1" si="53"/>
        <v>154.75825</v>
      </c>
      <c r="D1138" s="39">
        <f t="shared" ca="1" si="53"/>
        <v>281.0162499999999</v>
      </c>
      <c r="E1138" s="39">
        <f t="shared" ca="1" si="53"/>
        <v>780.7254999999999</v>
      </c>
      <c r="F1138" s="39">
        <f t="shared" ca="1" si="53"/>
        <v>1216.5</v>
      </c>
      <c r="G1138" s="39">
        <f t="shared" ca="1" si="53"/>
        <v>79.166666666666671</v>
      </c>
      <c r="H1138" s="39">
        <f t="shared" ca="1" si="53"/>
        <v>600</v>
      </c>
      <c r="I1138" s="39">
        <f t="shared" ca="1" si="53"/>
        <v>695</v>
      </c>
      <c r="J1138" s="39">
        <f t="shared" ca="1" si="53"/>
        <v>33.333333333333336</v>
      </c>
      <c r="K1138" s="40"/>
      <c r="L1138" s="40"/>
      <c r="M1138" s="40"/>
      <c r="N1138" s="40"/>
      <c r="O1138" s="40"/>
      <c r="P1138" s="40"/>
      <c r="Q1138" s="40"/>
      <c r="R1138" s="40"/>
      <c r="S1138" s="40"/>
      <c r="T1138" s="40"/>
    </row>
    <row r="1139" spans="1:20" ht="15">
      <c r="A1139" s="3">
        <f t="shared" si="50"/>
        <v>2091</v>
      </c>
      <c r="B1139" s="3">
        <f t="shared" si="52"/>
        <v>365</v>
      </c>
      <c r="C1139" s="39">
        <f t="shared" ca="1" si="53"/>
        <v>154.75825</v>
      </c>
      <c r="D1139" s="39">
        <f t="shared" ca="1" si="53"/>
        <v>281.0162499999999</v>
      </c>
      <c r="E1139" s="39">
        <f t="shared" ca="1" si="53"/>
        <v>780.7254999999999</v>
      </c>
      <c r="F1139" s="39">
        <f t="shared" ca="1" si="53"/>
        <v>1216.5</v>
      </c>
      <c r="G1139" s="39">
        <f t="shared" ca="1" si="53"/>
        <v>79.166666666666671</v>
      </c>
      <c r="H1139" s="39">
        <f t="shared" ca="1" si="53"/>
        <v>600</v>
      </c>
      <c r="I1139" s="39">
        <f t="shared" ca="1" si="53"/>
        <v>695</v>
      </c>
      <c r="J1139" s="39">
        <f t="shared" ca="1" si="53"/>
        <v>33.333333333333336</v>
      </c>
    </row>
    <row r="1140" spans="1:20" ht="15">
      <c r="A1140" s="3">
        <f t="shared" si="50"/>
        <v>2092</v>
      </c>
      <c r="B1140" s="3">
        <f t="shared" si="52"/>
        <v>366</v>
      </c>
      <c r="C1140" s="39">
        <f t="shared" ref="C1140:J1148" ca="1" si="54">AVERAGE(OFFSET(C$593,($A1140-$A$1110)*12,0,12,1))</f>
        <v>154.75825</v>
      </c>
      <c r="D1140" s="39">
        <f t="shared" ca="1" si="54"/>
        <v>281.0162499999999</v>
      </c>
      <c r="E1140" s="39">
        <f t="shared" ca="1" si="54"/>
        <v>780.7254999999999</v>
      </c>
      <c r="F1140" s="39">
        <f t="shared" ca="1" si="54"/>
        <v>1216.5</v>
      </c>
      <c r="G1140" s="39">
        <f t="shared" ca="1" si="54"/>
        <v>79.166666666666671</v>
      </c>
      <c r="H1140" s="39">
        <f t="shared" ca="1" si="54"/>
        <v>600</v>
      </c>
      <c r="I1140" s="39">
        <f t="shared" ca="1" si="54"/>
        <v>695</v>
      </c>
      <c r="J1140" s="39">
        <f t="shared" ca="1" si="54"/>
        <v>33.333333333333336</v>
      </c>
    </row>
    <row r="1141" spans="1:20" ht="15">
      <c r="A1141" s="3">
        <f t="shared" si="50"/>
        <v>2093</v>
      </c>
      <c r="B1141" s="3">
        <f t="shared" si="52"/>
        <v>365</v>
      </c>
      <c r="C1141" s="39">
        <f t="shared" ca="1" si="54"/>
        <v>154.75825</v>
      </c>
      <c r="D1141" s="39">
        <f t="shared" ca="1" si="54"/>
        <v>281.0162499999999</v>
      </c>
      <c r="E1141" s="39">
        <f t="shared" ca="1" si="54"/>
        <v>780.7254999999999</v>
      </c>
      <c r="F1141" s="39">
        <f t="shared" ca="1" si="54"/>
        <v>1216.5</v>
      </c>
      <c r="G1141" s="39">
        <f t="shared" ca="1" si="54"/>
        <v>79.166666666666671</v>
      </c>
      <c r="H1141" s="39">
        <f t="shared" ca="1" si="54"/>
        <v>600</v>
      </c>
      <c r="I1141" s="39">
        <f t="shared" ca="1" si="54"/>
        <v>695</v>
      </c>
      <c r="J1141" s="39">
        <f t="shared" ca="1" si="54"/>
        <v>33.333333333333336</v>
      </c>
    </row>
    <row r="1142" spans="1:20" ht="15">
      <c r="A1142" s="3">
        <f t="shared" si="50"/>
        <v>2094</v>
      </c>
      <c r="B1142" s="3">
        <f t="shared" si="52"/>
        <v>365</v>
      </c>
      <c r="C1142" s="39">
        <f t="shared" ca="1" si="54"/>
        <v>154.75825</v>
      </c>
      <c r="D1142" s="39">
        <f t="shared" ca="1" si="54"/>
        <v>281.0162499999999</v>
      </c>
      <c r="E1142" s="39">
        <f t="shared" ca="1" si="54"/>
        <v>780.7254999999999</v>
      </c>
      <c r="F1142" s="39">
        <f t="shared" ca="1" si="54"/>
        <v>1216.5</v>
      </c>
      <c r="G1142" s="39">
        <f t="shared" ca="1" si="54"/>
        <v>79.166666666666671</v>
      </c>
      <c r="H1142" s="39">
        <f t="shared" ca="1" si="54"/>
        <v>600</v>
      </c>
      <c r="I1142" s="39">
        <f t="shared" ca="1" si="54"/>
        <v>695</v>
      </c>
      <c r="J1142" s="39">
        <f t="shared" ca="1" si="54"/>
        <v>33.333333333333336</v>
      </c>
    </row>
    <row r="1143" spans="1:20" ht="15">
      <c r="A1143" s="3">
        <f t="shared" si="50"/>
        <v>2095</v>
      </c>
      <c r="B1143" s="3">
        <f t="shared" si="52"/>
        <v>365</v>
      </c>
      <c r="C1143" s="39">
        <f t="shared" ca="1" si="54"/>
        <v>154.75825</v>
      </c>
      <c r="D1143" s="39">
        <f t="shared" ca="1" si="54"/>
        <v>281.0162499999999</v>
      </c>
      <c r="E1143" s="39">
        <f t="shared" ca="1" si="54"/>
        <v>780.7254999999999</v>
      </c>
      <c r="F1143" s="39">
        <f t="shared" ca="1" si="54"/>
        <v>1216.5</v>
      </c>
      <c r="G1143" s="39">
        <f t="shared" ca="1" si="54"/>
        <v>79.166666666666671</v>
      </c>
      <c r="H1143" s="39">
        <f t="shared" ca="1" si="54"/>
        <v>600</v>
      </c>
      <c r="I1143" s="39">
        <f t="shared" ca="1" si="54"/>
        <v>695</v>
      </c>
      <c r="J1143" s="39">
        <f t="shared" ca="1" si="54"/>
        <v>33.333333333333336</v>
      </c>
    </row>
    <row r="1144" spans="1:20" ht="15">
      <c r="A1144" s="3">
        <f t="shared" si="50"/>
        <v>2096</v>
      </c>
      <c r="B1144" s="3">
        <f t="shared" si="52"/>
        <v>366</v>
      </c>
      <c r="C1144" s="39">
        <f t="shared" ca="1" si="54"/>
        <v>154.75825</v>
      </c>
      <c r="D1144" s="39">
        <f t="shared" ca="1" si="54"/>
        <v>281.0162499999999</v>
      </c>
      <c r="E1144" s="39">
        <f t="shared" ca="1" si="54"/>
        <v>780.7254999999999</v>
      </c>
      <c r="F1144" s="39">
        <f t="shared" ca="1" si="54"/>
        <v>1216.5</v>
      </c>
      <c r="G1144" s="39">
        <f t="shared" ca="1" si="54"/>
        <v>79.166666666666671</v>
      </c>
      <c r="H1144" s="39">
        <f t="shared" ca="1" si="54"/>
        <v>600</v>
      </c>
      <c r="I1144" s="39">
        <f t="shared" ca="1" si="54"/>
        <v>695</v>
      </c>
      <c r="J1144" s="39">
        <f t="shared" ca="1" si="54"/>
        <v>33.333333333333336</v>
      </c>
    </row>
    <row r="1145" spans="1:20" ht="15">
      <c r="A1145" s="3">
        <f t="shared" si="50"/>
        <v>2097</v>
      </c>
      <c r="B1145" s="3">
        <f t="shared" si="52"/>
        <v>365</v>
      </c>
      <c r="C1145" s="39">
        <f t="shared" ca="1" si="54"/>
        <v>154.75825</v>
      </c>
      <c r="D1145" s="39">
        <f t="shared" ca="1" si="54"/>
        <v>281.0162499999999</v>
      </c>
      <c r="E1145" s="39">
        <f t="shared" ca="1" si="54"/>
        <v>780.7254999999999</v>
      </c>
      <c r="F1145" s="39">
        <f t="shared" ca="1" si="54"/>
        <v>1216.5</v>
      </c>
      <c r="G1145" s="39">
        <f t="shared" ca="1" si="54"/>
        <v>79.166666666666671</v>
      </c>
      <c r="H1145" s="39">
        <f t="shared" ca="1" si="54"/>
        <v>600</v>
      </c>
      <c r="I1145" s="39">
        <f t="shared" ca="1" si="54"/>
        <v>695</v>
      </c>
      <c r="J1145" s="39">
        <f t="shared" ca="1" si="54"/>
        <v>33.333333333333336</v>
      </c>
    </row>
    <row r="1146" spans="1:20" ht="15">
      <c r="A1146" s="3">
        <f t="shared" si="50"/>
        <v>2098</v>
      </c>
      <c r="B1146" s="3">
        <f t="shared" si="52"/>
        <v>365</v>
      </c>
      <c r="C1146" s="39">
        <f t="shared" ca="1" si="54"/>
        <v>154.75825</v>
      </c>
      <c r="D1146" s="39">
        <f t="shared" ca="1" si="54"/>
        <v>281.0162499999999</v>
      </c>
      <c r="E1146" s="39">
        <f t="shared" ca="1" si="54"/>
        <v>780.7254999999999</v>
      </c>
      <c r="F1146" s="39">
        <f t="shared" ca="1" si="54"/>
        <v>1216.5</v>
      </c>
      <c r="G1146" s="39">
        <f t="shared" ca="1" si="54"/>
        <v>79.166666666666671</v>
      </c>
      <c r="H1146" s="39">
        <f t="shared" ca="1" si="54"/>
        <v>600</v>
      </c>
      <c r="I1146" s="39">
        <f t="shared" ca="1" si="54"/>
        <v>695</v>
      </c>
      <c r="J1146" s="39">
        <f t="shared" ca="1" si="54"/>
        <v>33.333333333333336</v>
      </c>
    </row>
    <row r="1147" spans="1:20" ht="15">
      <c r="A1147" s="3">
        <f t="shared" si="50"/>
        <v>2099</v>
      </c>
      <c r="B1147" s="3">
        <f t="shared" si="52"/>
        <v>365</v>
      </c>
      <c r="C1147" s="39">
        <f t="shared" ca="1" si="54"/>
        <v>154.75825</v>
      </c>
      <c r="D1147" s="39">
        <f t="shared" ca="1" si="54"/>
        <v>281.0162499999999</v>
      </c>
      <c r="E1147" s="39">
        <f t="shared" ca="1" si="54"/>
        <v>780.7254999999999</v>
      </c>
      <c r="F1147" s="39">
        <f t="shared" ca="1" si="54"/>
        <v>1216.5</v>
      </c>
      <c r="G1147" s="39">
        <f t="shared" ca="1" si="54"/>
        <v>79.166666666666671</v>
      </c>
      <c r="H1147" s="39">
        <f t="shared" ca="1" si="54"/>
        <v>600</v>
      </c>
      <c r="I1147" s="39">
        <f t="shared" ca="1" si="54"/>
        <v>695</v>
      </c>
      <c r="J1147" s="39">
        <f t="shared" ca="1" si="54"/>
        <v>33.333333333333336</v>
      </c>
    </row>
    <row r="1148" spans="1:20" ht="15">
      <c r="A1148" s="3">
        <f t="shared" si="50"/>
        <v>2100</v>
      </c>
      <c r="B1148" s="3">
        <f t="shared" si="52"/>
        <v>365</v>
      </c>
      <c r="C1148" s="39">
        <f t="shared" ca="1" si="54"/>
        <v>154.75825</v>
      </c>
      <c r="D1148" s="39">
        <f t="shared" ca="1" si="54"/>
        <v>281.0162499999999</v>
      </c>
      <c r="E1148" s="39">
        <f t="shared" ca="1" si="54"/>
        <v>780.7254999999999</v>
      </c>
      <c r="F1148" s="39">
        <f t="shared" ca="1" si="54"/>
        <v>1216.5</v>
      </c>
      <c r="G1148" s="39">
        <f t="shared" ca="1" si="54"/>
        <v>79.166666666666671</v>
      </c>
      <c r="H1148" s="39">
        <f t="shared" ca="1" si="54"/>
        <v>600</v>
      </c>
      <c r="I1148" s="39">
        <f t="shared" ca="1" si="54"/>
        <v>695</v>
      </c>
      <c r="J1148" s="39">
        <f t="shared" ca="1" si="54"/>
        <v>33.333333333333336</v>
      </c>
    </row>
    <row r="1149" spans="1:20">
      <c r="A1149" s="36"/>
      <c r="B1149" s="36"/>
      <c r="C1149" s="38"/>
      <c r="D1149" s="38"/>
      <c r="E1149" s="38"/>
      <c r="F1149" s="38"/>
      <c r="G1149" s="38"/>
    </row>
    <row r="1150" spans="1:20">
      <c r="A1150" s="36"/>
      <c r="B1150" s="36"/>
    </row>
    <row r="1151" spans="1:20">
      <c r="A1151" s="36"/>
      <c r="B1151" s="36"/>
    </row>
    <row r="1152" spans="1:20">
      <c r="A1152" s="36"/>
      <c r="B1152" s="36"/>
    </row>
    <row r="1153" spans="1:2">
      <c r="A1153" s="36"/>
      <c r="B1153" s="36"/>
    </row>
    <row r="1154" spans="1:2">
      <c r="A1154" s="36"/>
      <c r="B1154" s="36"/>
    </row>
    <row r="1155" spans="1:2">
      <c r="A1155" s="36"/>
      <c r="B1155" s="36"/>
    </row>
    <row r="1156" spans="1:2">
      <c r="A1156" s="36"/>
      <c r="B1156" s="36"/>
    </row>
    <row r="1157" spans="1:2">
      <c r="A1157" s="36"/>
      <c r="B1157" s="36"/>
    </row>
    <row r="1158" spans="1:2">
      <c r="A1158" s="36"/>
      <c r="B1158" s="36"/>
    </row>
    <row r="1159" spans="1:2">
      <c r="A1159" s="36"/>
      <c r="B1159" s="36"/>
    </row>
    <row r="1160" spans="1:2">
      <c r="A1160" s="36"/>
      <c r="B1160" s="36"/>
    </row>
    <row r="1161" spans="1:2">
      <c r="A1161" s="36"/>
      <c r="B1161" s="36"/>
    </row>
    <row r="1162" spans="1:2">
      <c r="A1162" s="36"/>
      <c r="B1162" s="36"/>
    </row>
    <row r="1163" spans="1:2">
      <c r="A1163" s="36"/>
      <c r="B1163" s="36"/>
    </row>
    <row r="1164" spans="1:2">
      <c r="A1164" s="36"/>
      <c r="B1164" s="36"/>
    </row>
    <row r="1165" spans="1:2">
      <c r="A1165" s="36"/>
      <c r="B1165" s="36"/>
    </row>
    <row r="1166" spans="1:2">
      <c r="A1166" s="36"/>
      <c r="B1166" s="36"/>
    </row>
    <row r="1167" spans="1:2">
      <c r="A1167" s="36"/>
      <c r="B1167" s="36"/>
    </row>
    <row r="1168" spans="1:2">
      <c r="A1168" s="36"/>
      <c r="B1168" s="36"/>
    </row>
  </sheetData>
  <mergeCells count="1">
    <mergeCell ref="C14:E14"/>
  </mergeCells>
  <pageMargins left="0.25" right="0.25" top="0.5" bottom="0.5" header="0.25" footer="0.25"/>
  <pageSetup scale="75" orientation="portrait" horizontalDpi="1200" verticalDpi="1200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G1168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7.109375" defaultRowHeight="12.75"/>
  <cols>
    <col min="1" max="1" width="7.5546875" style="37" bestFit="1" customWidth="1"/>
    <col min="2" max="2" width="10" style="37" customWidth="1"/>
    <col min="3" max="3" width="12" style="37" customWidth="1"/>
    <col min="4" max="4" width="12.109375" style="37" bestFit="1" customWidth="1"/>
    <col min="5" max="5" width="8.44140625" style="37" bestFit="1" customWidth="1"/>
    <col min="6" max="16384" width="7.109375" style="36"/>
  </cols>
  <sheetData>
    <row r="1" spans="1:7" ht="15.75">
      <c r="A1" s="88" t="s">
        <v>64</v>
      </c>
    </row>
    <row r="2" spans="1:7" ht="15.75">
      <c r="A2" s="88" t="s">
        <v>65</v>
      </c>
    </row>
    <row r="3" spans="1:7" ht="15.75">
      <c r="A3" s="88" t="s">
        <v>66</v>
      </c>
    </row>
    <row r="4" spans="1:7" ht="15.75">
      <c r="A4" s="88" t="s">
        <v>67</v>
      </c>
    </row>
    <row r="5" spans="1:7" ht="15.75">
      <c r="A5" s="88" t="s">
        <v>69</v>
      </c>
    </row>
    <row r="6" spans="1:7" ht="15.75">
      <c r="A6" s="88" t="s">
        <v>71</v>
      </c>
    </row>
    <row r="8" spans="1:7" ht="20.25">
      <c r="A8" s="35" t="s">
        <v>43</v>
      </c>
    </row>
    <row r="9" spans="1:7" ht="15" customHeight="1">
      <c r="A9" s="61" t="s">
        <v>25</v>
      </c>
    </row>
    <row r="10" spans="1:7" ht="15" customHeight="1">
      <c r="A10" s="66"/>
      <c r="F10" s="64"/>
      <c r="G10" s="64"/>
    </row>
    <row r="11" spans="1:7" ht="15" customHeight="1">
      <c r="A11" s="66"/>
      <c r="B11" s="65"/>
      <c r="C11" s="65"/>
      <c r="D11" s="65"/>
      <c r="E11" s="65"/>
      <c r="F11" s="64"/>
      <c r="G11" s="64"/>
    </row>
    <row r="12" spans="1:7" ht="15" customHeight="1"/>
    <row r="13" spans="1:7" ht="15" customHeight="1">
      <c r="B13" s="63" t="s">
        <v>24</v>
      </c>
      <c r="C13" s="62">
        <f>1-0.263</f>
        <v>0.73699999999999999</v>
      </c>
      <c r="D13" s="63" t="s">
        <v>23</v>
      </c>
      <c r="E13" s="62">
        <f>1+0.263</f>
        <v>1.2629999999999999</v>
      </c>
    </row>
    <row r="14" spans="1:7" ht="15" customHeight="1">
      <c r="A14" s="61"/>
      <c r="B14" s="91" t="s">
        <v>42</v>
      </c>
      <c r="C14" s="91"/>
      <c r="D14" s="60" t="s">
        <v>41</v>
      </c>
      <c r="E14" s="55"/>
    </row>
    <row r="15" spans="1:7" s="58" customFormat="1" ht="63">
      <c r="B15" s="59" t="s">
        <v>40</v>
      </c>
      <c r="C15" s="59" t="s">
        <v>39</v>
      </c>
      <c r="D15" s="59" t="s">
        <v>38</v>
      </c>
      <c r="E15" s="27" t="s">
        <v>37</v>
      </c>
    </row>
    <row r="16" spans="1:7" s="58" customFormat="1" ht="21" customHeight="1">
      <c r="A16" s="24" t="s">
        <v>2</v>
      </c>
      <c r="B16" s="50" t="s">
        <v>1</v>
      </c>
      <c r="C16" s="50" t="s">
        <v>1</v>
      </c>
      <c r="D16" s="50" t="s">
        <v>1</v>
      </c>
      <c r="E16" s="24" t="s">
        <v>36</v>
      </c>
    </row>
    <row r="17" spans="1:5" ht="15">
      <c r="A17" s="13">
        <v>41640</v>
      </c>
      <c r="B17" s="4">
        <v>16.436064253071699</v>
      </c>
      <c r="C17" s="4">
        <v>16.288836342915499</v>
      </c>
      <c r="D17" s="4">
        <v>24.229497427101201</v>
      </c>
      <c r="E17" s="4">
        <v>98.77</v>
      </c>
    </row>
    <row r="18" spans="1:5" ht="15">
      <c r="A18" s="13">
        <v>41671</v>
      </c>
      <c r="B18" s="4">
        <v>17.464204878071701</v>
      </c>
      <c r="C18" s="4">
        <v>17.316976967915501</v>
      </c>
      <c r="D18" s="4">
        <v>24.359056260720401</v>
      </c>
      <c r="E18" s="4">
        <v>94.99</v>
      </c>
    </row>
    <row r="19" spans="1:5" ht="15">
      <c r="A19" s="13">
        <v>41699</v>
      </c>
      <c r="B19" s="4">
        <v>17.5704548780717</v>
      </c>
      <c r="C19" s="4">
        <v>17.4232269679155</v>
      </c>
      <c r="D19" s="4">
        <v>23.297155060034299</v>
      </c>
      <c r="E19" s="4">
        <v>102.92</v>
      </c>
    </row>
    <row r="20" spans="1:5" ht="15">
      <c r="A20" s="13">
        <v>41730</v>
      </c>
      <c r="B20" s="4">
        <v>16.605954878071699</v>
      </c>
      <c r="C20" s="4">
        <v>16.458726967915499</v>
      </c>
      <c r="D20" s="4">
        <v>22.8128799313894</v>
      </c>
      <c r="E20" s="4">
        <v>99.43</v>
      </c>
    </row>
    <row r="21" spans="1:5" ht="15">
      <c r="A21" s="13">
        <v>41760</v>
      </c>
      <c r="B21" s="4">
        <v>16.420773787848599</v>
      </c>
      <c r="C21" s="4">
        <v>16.273553600348599</v>
      </c>
      <c r="D21" s="4">
        <v>23.1277790737564</v>
      </c>
      <c r="E21" s="4">
        <v>102.13</v>
      </c>
    </row>
    <row r="22" spans="1:5" ht="15">
      <c r="A22" s="13">
        <v>41791</v>
      </c>
      <c r="B22" s="4">
        <v>16.224492537848601</v>
      </c>
      <c r="C22" s="4">
        <v>16.077272350348601</v>
      </c>
      <c r="D22" s="4">
        <v>23.109257289879899</v>
      </c>
      <c r="E22" s="4">
        <v>102.44</v>
      </c>
    </row>
    <row r="23" spans="1:5" ht="15">
      <c r="A23" s="13">
        <v>41821</v>
      </c>
      <c r="B23" s="4">
        <f>16 * CHOOSE(CONTROL!$C$9, $C$13, 100%, $E$13) + CHOOSE(CONTROL!$C$28, 0.0226, 0)</f>
        <v>16.022600000000001</v>
      </c>
      <c r="C23" s="4">
        <f>15.6367 * CHOOSE(CONTROL!$C$9, $C$13, 100%, $E$13) + CHOOSE(CONTROL!$C$28, 0.0226, 0)</f>
        <v>15.6593</v>
      </c>
      <c r="D23" s="4">
        <f>23.2538 * CHOOSE(CONTROL!$C$9, $C$13, 100%, $E$13) + CHOOSE(CONTROL!$C$28, 0.0021, 0)</f>
        <v>23.255899999999997</v>
      </c>
      <c r="E23" s="4">
        <f>107.26 * CHOOSE(CONTROL!$C$9, $C$13, 100%, $E$13) + CHOOSE(CONTROL!$C$28, 0.0021, 0)</f>
        <v>107.2621</v>
      </c>
    </row>
    <row r="24" spans="1:5" ht="15">
      <c r="A24" s="13">
        <v>41852</v>
      </c>
      <c r="B24" s="4">
        <f>15.1181 * CHOOSE(CONTROL!$C$9, $C$13, 100%, $E$13) + CHOOSE(CONTROL!$C$28, 0.0226, 0)</f>
        <v>15.140700000000001</v>
      </c>
      <c r="C24" s="4">
        <f>14.7548 * CHOOSE(CONTROL!$C$9, $C$13, 100%, $E$13) + CHOOSE(CONTROL!$C$28, 0.0226, 0)</f>
        <v>14.7774</v>
      </c>
      <c r="D24" s="4">
        <f>22.6472 * CHOOSE(CONTROL!$C$9, $C$13, 100%, $E$13) + CHOOSE(CONTROL!$C$28, 0.0021, 0)</f>
        <v>22.6493</v>
      </c>
      <c r="E24" s="4">
        <f>104.42 * CHOOSE(CONTROL!$C$9, $C$13, 100%, $E$13) + CHOOSE(CONTROL!$C$28, 0.0021, 0)</f>
        <v>104.4221</v>
      </c>
    </row>
    <row r="25" spans="1:5" ht="15">
      <c r="A25" s="13">
        <v>41883</v>
      </c>
      <c r="B25" s="4">
        <f>14.8465 * CHOOSE(CONTROL!$C$9, $C$13, 100%, $E$13) + CHOOSE(CONTROL!$C$28, 0.0226, 0)</f>
        <v>14.869100000000001</v>
      </c>
      <c r="C25" s="4">
        <f>14.4832 * CHOOSE(CONTROL!$C$9, $C$13, 100%, $E$13) + CHOOSE(CONTROL!$C$28, 0.0226, 0)</f>
        <v>14.505800000000001</v>
      </c>
      <c r="D25" s="4">
        <f>22.4332 * CHOOSE(CONTROL!$C$9, $C$13, 100%, $E$13) + CHOOSE(CONTROL!$C$28, 0.0021, 0)</f>
        <v>22.435299999999998</v>
      </c>
      <c r="E25" s="4">
        <f>96.07 * CHOOSE(CONTROL!$C$9, $C$13, 100%, $E$13) + CHOOSE(CONTROL!$C$28, 0.0021, 0)</f>
        <v>96.072099999999992</v>
      </c>
    </row>
    <row r="26" spans="1:5" ht="15">
      <c r="A26" s="13">
        <v>41913</v>
      </c>
      <c r="B26" s="4">
        <f>12.9487 * CHOOSE(CONTROL!$C$9, $C$13, 100%, $E$13) + CHOOSE(CONTROL!$C$28, 0.0226, 0)</f>
        <v>12.971300000000001</v>
      </c>
      <c r="C26" s="4">
        <f>12.5855 * CHOOSE(CONTROL!$C$9, $C$13, 100%, $E$13) + CHOOSE(CONTROL!$C$28, 0.0226, 0)</f>
        <v>12.6081</v>
      </c>
      <c r="D26" s="4">
        <f>20.9225 * CHOOSE(CONTROL!$C$9, $C$13, 100%, $E$13) + CHOOSE(CONTROL!$C$28, 0.0021, 0)</f>
        <v>20.924599999999998</v>
      </c>
      <c r="E26" s="4">
        <f>91.52 * CHOOSE(CONTROL!$C$9, $C$13, 100%, $E$13) + CHOOSE(CONTROL!$C$28, 0.0021, 0)</f>
        <v>91.522099999999995</v>
      </c>
    </row>
    <row r="27" spans="1:5" ht="15">
      <c r="A27" s="13">
        <v>41944</v>
      </c>
      <c r="B27" s="4">
        <f>11.6019 * CHOOSE(CONTROL!$C$9, $C$13, 100%, $E$13) + CHOOSE(CONTROL!$C$28, 0.0226, 0)</f>
        <v>11.624500000000001</v>
      </c>
      <c r="C27" s="4">
        <f>11.2386 * CHOOSE(CONTROL!$C$9, $C$13, 100%, $E$13) + CHOOSE(CONTROL!$C$28, 0.0226, 0)</f>
        <v>11.261200000000001</v>
      </c>
      <c r="D27" s="4">
        <f>19.9665 * CHOOSE(CONTROL!$C$9, $C$13, 100%, $E$13) + CHOOSE(CONTROL!$C$28, 0.0021, 0)</f>
        <v>19.968599999999999</v>
      </c>
      <c r="E27" s="4">
        <f>82.75 * CHOOSE(CONTROL!$C$9, $C$13, 100%, $E$13) + CHOOSE(CONTROL!$C$28, 0.0021, 0)</f>
        <v>82.752099999999999</v>
      </c>
    </row>
    <row r="28" spans="1:5" ht="15">
      <c r="A28" s="13">
        <v>41974</v>
      </c>
      <c r="B28" s="4">
        <f>9.2466 * CHOOSE(CONTROL!$C$9, $C$13, 100%, $E$13) + CHOOSE(CONTROL!$C$28, 0.0226, 0)</f>
        <v>9.2692000000000014</v>
      </c>
      <c r="C28" s="4">
        <f>8.8833 * CHOOSE(CONTROL!$C$9, $C$13, 100%, $E$13) + CHOOSE(CONTROL!$C$28, 0.0226, 0)</f>
        <v>8.9059000000000008</v>
      </c>
      <c r="D28" s="4">
        <f>19.1164 * CHOOSE(CONTROL!$C$9, $C$13, 100%, $E$13) + CHOOSE(CONTROL!$C$28, 0.0021, 0)</f>
        <v>19.118499999999997</v>
      </c>
      <c r="E28" s="4">
        <f>75.58 * CHOOSE(CONTROL!$C$9, $C$13, 100%, $E$13) + CHOOSE(CONTROL!$C$28, 0.0021, 0)</f>
        <v>75.582099999999997</v>
      </c>
    </row>
    <row r="29" spans="1:5" ht="15">
      <c r="A29" s="13">
        <v>42005</v>
      </c>
      <c r="B29" s="4">
        <f>8.1662 * CHOOSE(CONTROL!$C$9, $C$13, 100%, $E$13) + CHOOSE(CONTROL!$C$28, 0.0226, 0)</f>
        <v>8.1888000000000005</v>
      </c>
      <c r="C29" s="4">
        <f>7.803 * CHOOSE(CONTROL!$C$9, $C$13, 100%, $E$13) + CHOOSE(CONTROL!$C$28, 0.0226, 0)</f>
        <v>7.8255999999999997</v>
      </c>
      <c r="D29" s="4">
        <f>15.1549 * CHOOSE(CONTROL!$C$9, $C$13, 100%, $E$13) + CHOOSE(CONTROL!$C$28, 0.0021, 0)</f>
        <v>15.157</v>
      </c>
      <c r="E29" s="4">
        <f>56.52 * CHOOSE(CONTROL!$C$9, $C$13, 100%, $E$13) + CHOOSE(CONTROL!$C$28, 0.0021, 0)</f>
        <v>56.522100000000002</v>
      </c>
    </row>
    <row r="30" spans="1:5" ht="15">
      <c r="A30" s="13">
        <v>42036</v>
      </c>
      <c r="B30" s="4">
        <f>7.9375 * CHOOSE(CONTROL!$C$9, $C$13, 100%, $E$13) + CHOOSE(CONTROL!$C$28, 0.0226, 0)</f>
        <v>7.9600999999999997</v>
      </c>
      <c r="C30" s="4">
        <f>7.5742 * CHOOSE(CONTROL!$C$9, $C$13, 100%, $E$13) + CHOOSE(CONTROL!$C$28, 0.0226, 0)</f>
        <v>7.5968</v>
      </c>
      <c r="D30" s="4">
        <f>14.4532 * CHOOSE(CONTROL!$C$9, $C$13, 100%, $E$13) + CHOOSE(CONTROL!$C$28, 0.0021, 0)</f>
        <v>14.455300000000001</v>
      </c>
      <c r="E30" s="4">
        <f>50.04 * CHOOSE(CONTROL!$C$9, $C$13, 100%, $E$13) + CHOOSE(CONTROL!$C$28, 0.0021, 0)</f>
        <v>50.042099999999998</v>
      </c>
    </row>
    <row r="31" spans="1:5" ht="15">
      <c r="A31" s="13">
        <v>42064</v>
      </c>
      <c r="B31" s="4">
        <f>7.9922 * CHOOSE(CONTROL!$C$9, $C$13, 100%, $E$13) + CHOOSE(CONTROL!$C$28, 0.0226, 0)</f>
        <v>8.014800000000001</v>
      </c>
      <c r="C31" s="4">
        <f>7.6289 * CHOOSE(CONTROL!$C$9, $C$13, 100%, $E$13) + CHOOSE(CONTROL!$C$28, 0.0226, 0)</f>
        <v>7.6514999999999995</v>
      </c>
      <c r="D31" s="4">
        <f>14.3106 * CHOOSE(CONTROL!$C$9, $C$13, 100%, $E$13) + CHOOSE(CONTROL!$C$28, 0.0021, 0)</f>
        <v>14.312700000000001</v>
      </c>
      <c r="E31" s="4">
        <f>50.52 * CHOOSE(CONTROL!$C$9, $C$13, 100%, $E$13) + CHOOSE(CONTROL!$C$28, 0.0021, 0)</f>
        <v>50.522100000000002</v>
      </c>
    </row>
    <row r="32" spans="1:5" ht="15">
      <c r="A32" s="13">
        <v>42095</v>
      </c>
      <c r="B32" s="4">
        <f>8.0547 * CHOOSE(CONTROL!$C$9, $C$13, 100%, $E$13) + CHOOSE(CONTROL!$C$28, 0.0226, 0)</f>
        <v>8.077300000000001</v>
      </c>
      <c r="C32" s="4">
        <f>7.6914 * CHOOSE(CONTROL!$C$9, $C$13, 100%, $E$13) + CHOOSE(CONTROL!$C$28, 0.0226, 0)</f>
        <v>7.7139999999999995</v>
      </c>
      <c r="D32" s="4">
        <f>14.2076 * CHOOSE(CONTROL!$C$9, $C$13, 100%, $E$13) + CHOOSE(CONTROL!$C$28, 0.0021, 0)</f>
        <v>14.2097</v>
      </c>
      <c r="E32" s="4">
        <f>51.17 * CHOOSE(CONTROL!$C$9, $C$13, 100%, $E$13) + CHOOSE(CONTROL!$C$28, 0.0021, 0)</f>
        <v>51.1721</v>
      </c>
    </row>
    <row r="33" spans="1:5" ht="15">
      <c r="A33" s="13">
        <v>42125</v>
      </c>
      <c r="B33" s="4">
        <f>8.125 * CHOOSE(CONTROL!$C$9, $C$13, 100%, $E$13) + CHOOSE(CONTROL!$C$28, 0.0226, 0)</f>
        <v>8.1476000000000006</v>
      </c>
      <c r="C33" s="4">
        <f>7.7617 * CHOOSE(CONTROL!$C$9, $C$13, 100%, $E$13) + CHOOSE(CONTROL!$C$28, 0.0226, 0)</f>
        <v>7.7843</v>
      </c>
      <c r="D33" s="4">
        <f>14.2249 * CHOOSE(CONTROL!$C$9, $C$13, 100%, $E$13) + CHOOSE(CONTROL!$C$28, 0.0021, 0)</f>
        <v>14.227</v>
      </c>
      <c r="E33" s="4">
        <f>51.95 * CHOOSE(CONTROL!$C$9, $C$13, 100%, $E$13) + CHOOSE(CONTROL!$C$28, 0.0021, 0)</f>
        <v>51.952100000000002</v>
      </c>
    </row>
    <row r="34" spans="1:5" ht="15">
      <c r="A34" s="13">
        <v>42156</v>
      </c>
      <c r="B34" s="4">
        <f>8.2031 * CHOOSE(CONTROL!$C$9, $C$13, 100%, $E$13) + CHOOSE(CONTROL!$C$28, 0.0226, 0)</f>
        <v>8.2256999999999998</v>
      </c>
      <c r="C34" s="4">
        <f>7.8398 * CHOOSE(CONTROL!$C$9, $C$13, 100%, $E$13) + CHOOSE(CONTROL!$C$28, 0.0226, 0)</f>
        <v>7.8624000000000001</v>
      </c>
      <c r="D34" s="4">
        <f>14.3063 * CHOOSE(CONTROL!$C$9, $C$13, 100%, $E$13) + CHOOSE(CONTROL!$C$28, 0.0021, 0)</f>
        <v>14.308400000000001</v>
      </c>
      <c r="E34" s="4">
        <f>52.73 * CHOOSE(CONTROL!$C$9, $C$13, 100%, $E$13) + CHOOSE(CONTROL!$C$28, 0.0021, 0)</f>
        <v>52.732099999999996</v>
      </c>
    </row>
    <row r="35" spans="1:5" ht="15">
      <c r="A35" s="13">
        <v>42186</v>
      </c>
      <c r="B35" s="4">
        <f>8.2812 * CHOOSE(CONTROL!$C$9, $C$13, 100%, $E$13) + CHOOSE(CONTROL!$C$28, 0.0226, 0)</f>
        <v>8.3038000000000007</v>
      </c>
      <c r="C35" s="4">
        <f>7.918 * CHOOSE(CONTROL!$C$9, $C$13, 100%, $E$13) + CHOOSE(CONTROL!$C$28, 0.0226, 0)</f>
        <v>7.9405999999999999</v>
      </c>
      <c r="D35" s="4">
        <f>14.4417 * CHOOSE(CONTROL!$C$9, $C$13, 100%, $E$13) + CHOOSE(CONTROL!$C$28, 0.0021, 0)</f>
        <v>14.443800000000001</v>
      </c>
      <c r="E35" s="4">
        <f>53.46 * CHOOSE(CONTROL!$C$9, $C$13, 100%, $E$13) + CHOOSE(CONTROL!$C$28, 0.0021, 0)</f>
        <v>53.4621</v>
      </c>
    </row>
    <row r="36" spans="1:5" ht="15">
      <c r="A36" s="13">
        <v>42217</v>
      </c>
      <c r="B36" s="4">
        <f>8.3594 * CHOOSE(CONTROL!$C$9, $C$13, 100%, $E$13) + CHOOSE(CONTROL!$C$28, 0.0226, 0)</f>
        <v>8.3820000000000014</v>
      </c>
      <c r="C36" s="4">
        <f>7.9961 * CHOOSE(CONTROL!$C$9, $C$13, 100%, $E$13) + CHOOSE(CONTROL!$C$28, 0.0226, 0)</f>
        <v>8.0187000000000008</v>
      </c>
      <c r="D36" s="4">
        <f>14.58 * CHOOSE(CONTROL!$C$9, $C$13, 100%, $E$13) + CHOOSE(CONTROL!$C$28, 0.0021, 0)</f>
        <v>14.582100000000001</v>
      </c>
      <c r="E36" s="4">
        <f>54.17 * CHOOSE(CONTROL!$C$9, $C$13, 100%, $E$13) + CHOOSE(CONTROL!$C$28, 0.0021, 0)</f>
        <v>54.1721</v>
      </c>
    </row>
    <row r="37" spans="1:5" ht="15">
      <c r="A37" s="13">
        <v>42248</v>
      </c>
      <c r="B37" s="4">
        <f>8.4375 * CHOOSE(CONTROL!$C$9, $C$13, 100%, $E$13) + CHOOSE(CONTROL!$C$28, 0.0226, 0)</f>
        <v>8.4601000000000006</v>
      </c>
      <c r="C37" s="4">
        <f>8.0742 * CHOOSE(CONTROL!$C$9, $C$13, 100%, $E$13) + CHOOSE(CONTROL!$C$28, 0.0226, 0)</f>
        <v>8.0968</v>
      </c>
      <c r="D37" s="4">
        <f>14.7191 * CHOOSE(CONTROL!$C$9, $C$13, 100%, $E$13) + CHOOSE(CONTROL!$C$28, 0.0021, 0)</f>
        <v>14.7212</v>
      </c>
      <c r="E37" s="4">
        <f>54.89 * CHOOSE(CONTROL!$C$9, $C$13, 100%, $E$13) + CHOOSE(CONTROL!$C$28, 0.0021, 0)</f>
        <v>54.892099999999999</v>
      </c>
    </row>
    <row r="38" spans="1:5" ht="15">
      <c r="A38" s="13">
        <v>42278</v>
      </c>
      <c r="B38" s="4">
        <f>8.5156 * CHOOSE(CONTROL!$C$9, $C$13, 100%, $E$13) + CHOOSE(CONTROL!$C$28, 0.0226, 0)</f>
        <v>8.5381999999999998</v>
      </c>
      <c r="C38" s="4">
        <f>8.1523 * CHOOSE(CONTROL!$C$9, $C$13, 100%, $E$13) + CHOOSE(CONTROL!$C$28, 0.0226, 0)</f>
        <v>8.1749000000000009</v>
      </c>
      <c r="D38" s="4">
        <f>14.8588 * CHOOSE(CONTROL!$C$9, $C$13, 100%, $E$13) + CHOOSE(CONTROL!$C$28, 0.0021, 0)</f>
        <v>14.860900000000001</v>
      </c>
      <c r="E38" s="4">
        <f>55.6 * CHOOSE(CONTROL!$C$9, $C$13, 100%, $E$13) + CHOOSE(CONTROL!$C$28, 0.0021, 0)</f>
        <v>55.6021</v>
      </c>
    </row>
    <row r="39" spans="1:5" ht="15">
      <c r="A39" s="13">
        <v>42309</v>
      </c>
      <c r="B39" s="4">
        <f>8.5938 * CHOOSE(CONTROL!$C$9, $C$13, 100%, $E$13) + CHOOSE(CONTROL!$C$28, 0.0226, 0)</f>
        <v>8.6164000000000005</v>
      </c>
      <c r="C39" s="4">
        <f>8.2305 * CHOOSE(CONTROL!$C$9, $C$13, 100%, $E$13) + CHOOSE(CONTROL!$C$28, 0.0226, 0)</f>
        <v>8.2530999999999999</v>
      </c>
      <c r="D39" s="4">
        <f>14.9842 * CHOOSE(CONTROL!$C$9, $C$13, 100%, $E$13) + CHOOSE(CONTROL!$C$28, 0.0021, 0)</f>
        <v>14.9863</v>
      </c>
      <c r="E39" s="4">
        <f>56.34 * CHOOSE(CONTROL!$C$9, $C$13, 100%, $E$13) + CHOOSE(CONTROL!$C$28, 0.0021, 0)</f>
        <v>56.342100000000002</v>
      </c>
    </row>
    <row r="40" spans="1:5" ht="15">
      <c r="A40" s="13">
        <v>42339</v>
      </c>
      <c r="B40" s="4">
        <f>8.6719 * CHOOSE(CONTROL!$C$9, $C$13, 100%, $E$13) + CHOOSE(CONTROL!$C$28, 0.0226, 0)</f>
        <v>8.6945000000000014</v>
      </c>
      <c r="C40" s="4">
        <f>8.3086 * CHOOSE(CONTROL!$C$9, $C$13, 100%, $E$13) + CHOOSE(CONTROL!$C$28, 0.0226, 0)</f>
        <v>8.3312000000000008</v>
      </c>
      <c r="D40" s="4">
        <f>15.1023 * CHOOSE(CONTROL!$C$9, $C$13, 100%, $E$13) + CHOOSE(CONTROL!$C$28, 0.0021, 0)</f>
        <v>15.1044</v>
      </c>
      <c r="E40" s="4">
        <f>57.07 * CHOOSE(CONTROL!$C$9, $C$13, 100%, $E$13) + CHOOSE(CONTROL!$C$28, 0.0021, 0)</f>
        <v>57.072099999999999</v>
      </c>
    </row>
    <row r="41" spans="1:5" ht="15">
      <c r="A41" s="13">
        <v>42370</v>
      </c>
      <c r="B41" s="4">
        <f>8.7578 * CHOOSE(CONTROL!$C$9, $C$13, 100%, $E$13) + CHOOSE(CONTROL!$C$28, 0.0226, 0)</f>
        <v>8.7804000000000002</v>
      </c>
      <c r="C41" s="4">
        <f>8.3945 * CHOOSE(CONTROL!$C$9, $C$13, 100%, $E$13) + CHOOSE(CONTROL!$C$28, 0.0226, 0)</f>
        <v>8.4171000000000014</v>
      </c>
      <c r="D41" s="4">
        <f>15.2298 * CHOOSE(CONTROL!$C$9, $C$13, 100%, $E$13) + CHOOSE(CONTROL!$C$28, 0.0021, 0)</f>
        <v>15.2319</v>
      </c>
      <c r="E41" s="4">
        <f>57.65 * CHOOSE(CONTROL!$C$9, $C$13, 100%, $E$13) + CHOOSE(CONTROL!$C$28, 0.0021, 0)</f>
        <v>57.652099999999997</v>
      </c>
    </row>
    <row r="42" spans="1:5" ht="15">
      <c r="A42" s="13">
        <v>42401</v>
      </c>
      <c r="B42" s="4">
        <f>8.8438 * CHOOSE(CONTROL!$C$9, $C$13, 100%, $E$13) + CHOOSE(CONTROL!$C$28, 0.0226, 0)</f>
        <v>8.8664000000000005</v>
      </c>
      <c r="C42" s="4">
        <f>8.4805 * CHOOSE(CONTROL!$C$9, $C$13, 100%, $E$13) + CHOOSE(CONTROL!$C$28, 0.0226, 0)</f>
        <v>8.5030999999999999</v>
      </c>
      <c r="D42" s="4">
        <f>15.3242 * CHOOSE(CONTROL!$C$9, $C$13, 100%, $E$13) + CHOOSE(CONTROL!$C$28, 0.0021, 0)</f>
        <v>15.3263</v>
      </c>
      <c r="E42" s="4">
        <f>58.22 * CHOOSE(CONTROL!$C$9, $C$13, 100%, $E$13) + CHOOSE(CONTROL!$C$28, 0.0021, 0)</f>
        <v>58.222099999999998</v>
      </c>
    </row>
    <row r="43" spans="1:5" ht="15">
      <c r="A43" s="13">
        <v>42430</v>
      </c>
      <c r="B43" s="4">
        <f>8.9297 * CHOOSE(CONTROL!$C$9, $C$13, 100%, $E$13) + CHOOSE(CONTROL!$C$28, 0.0226, 0)</f>
        <v>8.952300000000001</v>
      </c>
      <c r="C43" s="4">
        <f>8.5664 * CHOOSE(CONTROL!$C$9, $C$13, 100%, $E$13) + CHOOSE(CONTROL!$C$28, 0.0226, 0)</f>
        <v>8.5890000000000004</v>
      </c>
      <c r="D43" s="4">
        <f>15.353 * CHOOSE(CONTROL!$C$9, $C$13, 100%, $E$13) + CHOOSE(CONTROL!$C$28, 0.0021, 0)</f>
        <v>15.3551</v>
      </c>
      <c r="E43" s="4">
        <f>58.77 * CHOOSE(CONTROL!$C$9, $C$13, 100%, $E$13) + CHOOSE(CONTROL!$C$28, 0.0021, 0)</f>
        <v>58.772100000000002</v>
      </c>
    </row>
    <row r="44" spans="1:5" ht="15">
      <c r="A44" s="13">
        <v>42461</v>
      </c>
      <c r="B44" s="4">
        <f>9.0156 * CHOOSE(CONTROL!$C$9, $C$13, 100%, $E$13) + CHOOSE(CONTROL!$C$28, 0.0226, 0)</f>
        <v>9.0381999999999998</v>
      </c>
      <c r="C44" s="4">
        <f>8.6523 * CHOOSE(CONTROL!$C$9, $C$13, 100%, $E$13) + CHOOSE(CONTROL!$C$28, 0.0226, 0)</f>
        <v>8.6749000000000009</v>
      </c>
      <c r="D44" s="4">
        <f>15.3278 * CHOOSE(CONTROL!$C$9, $C$13, 100%, $E$13) + CHOOSE(CONTROL!$C$28, 0.0021, 0)</f>
        <v>15.3299</v>
      </c>
      <c r="E44" s="4">
        <f>59.32 * CHOOSE(CONTROL!$C$9, $C$13, 100%, $E$13) + CHOOSE(CONTROL!$C$28, 0.0021, 0)</f>
        <v>59.322099999999999</v>
      </c>
    </row>
    <row r="45" spans="1:5" ht="15">
      <c r="A45" s="13">
        <v>42491</v>
      </c>
      <c r="B45" s="4">
        <f>9.1016 * CHOOSE(CONTROL!$C$9, $C$13, 100%, $E$13) + CHOOSE(CONTROL!$C$28, 0.0226, 0)</f>
        <v>9.1242000000000001</v>
      </c>
      <c r="C45" s="4">
        <f>8.7383 * CHOOSE(CONTROL!$C$9, $C$13, 100%, $E$13) + CHOOSE(CONTROL!$C$28, 0.0226, 0)</f>
        <v>8.7609000000000012</v>
      </c>
      <c r="D45" s="4">
        <f>15.3602 * CHOOSE(CONTROL!$C$9, $C$13, 100%, $E$13) + CHOOSE(CONTROL!$C$28, 0.0021, 0)</f>
        <v>15.362300000000001</v>
      </c>
      <c r="E45" s="4">
        <f>59.87 * CHOOSE(CONTROL!$C$9, $C$13, 100%, $E$13) + CHOOSE(CONTROL!$C$28, 0.0021, 0)</f>
        <v>59.872099999999996</v>
      </c>
    </row>
    <row r="46" spans="1:5" ht="15">
      <c r="A46" s="13">
        <v>42522</v>
      </c>
      <c r="B46" s="4">
        <f>9.1875 * CHOOSE(CONTROL!$C$9, $C$13, 100%, $E$13) + CHOOSE(CONTROL!$C$28, 0.0226, 0)</f>
        <v>9.2101000000000006</v>
      </c>
      <c r="C46" s="4">
        <f>8.8242 * CHOOSE(CONTROL!$C$9, $C$13, 100%, $E$13) + CHOOSE(CONTROL!$C$28, 0.0226, 0)</f>
        <v>8.8468</v>
      </c>
      <c r="D46" s="4">
        <f>15.4395 * CHOOSE(CONTROL!$C$9, $C$13, 100%, $E$13) + CHOOSE(CONTROL!$C$28, 0.0021, 0)</f>
        <v>15.441600000000001</v>
      </c>
      <c r="E46" s="4">
        <f>60.42 * CHOOSE(CONTROL!$C$9, $C$13, 100%, $E$13) + CHOOSE(CONTROL!$C$28, 0.0021, 0)</f>
        <v>60.4221</v>
      </c>
    </row>
    <row r="47" spans="1:5" ht="15">
      <c r="A47" s="13">
        <v>42552</v>
      </c>
      <c r="B47" s="4">
        <f>9.2734 * CHOOSE(CONTROL!$C$9, $C$13, 100%, $E$13) + CHOOSE(CONTROL!$C$28, 0.0226, 0)</f>
        <v>9.2960000000000012</v>
      </c>
      <c r="C47" s="4">
        <f>8.9102 * CHOOSE(CONTROL!$C$9, $C$13, 100%, $E$13) + CHOOSE(CONTROL!$C$28, 0.0226, 0)</f>
        <v>8.9328000000000003</v>
      </c>
      <c r="D47" s="4">
        <f>15.5259 * CHOOSE(CONTROL!$C$9, $C$13, 100%, $E$13) + CHOOSE(CONTROL!$C$28, 0.0021, 0)</f>
        <v>15.528</v>
      </c>
      <c r="E47" s="4">
        <f>60.85 * CHOOSE(CONTROL!$C$9, $C$13, 100%, $E$13) + CHOOSE(CONTROL!$C$28, 0.0021, 0)</f>
        <v>60.8521</v>
      </c>
    </row>
    <row r="48" spans="1:5" ht="15">
      <c r="A48" s="13">
        <v>42583</v>
      </c>
      <c r="B48" s="4">
        <f>9.3594 * CHOOSE(CONTROL!$C$9, $C$13, 100%, $E$13) + CHOOSE(CONTROL!$C$28, 0.0226, 0)</f>
        <v>9.3820000000000014</v>
      </c>
      <c r="C48" s="4">
        <f>8.9961 * CHOOSE(CONTROL!$C$9, $C$13, 100%, $E$13) + CHOOSE(CONTROL!$C$28, 0.0226, 0)</f>
        <v>9.0187000000000008</v>
      </c>
      <c r="D48" s="4">
        <f>15.634 * CHOOSE(CONTROL!$C$9, $C$13, 100%, $E$13) + CHOOSE(CONTROL!$C$28, 0.0021, 0)</f>
        <v>15.636100000000001</v>
      </c>
      <c r="E48" s="4">
        <f>61.3 * CHOOSE(CONTROL!$C$9, $C$13, 100%, $E$13) + CHOOSE(CONTROL!$C$28, 0.0021, 0)</f>
        <v>61.302099999999996</v>
      </c>
    </row>
    <row r="49" spans="1:5" ht="15">
      <c r="A49" s="13">
        <v>42614</v>
      </c>
      <c r="B49" s="4">
        <f>9.4453 * CHOOSE(CONTROL!$C$9, $C$13, 100%, $E$13) + CHOOSE(CONTROL!$C$28, 0.0226, 0)</f>
        <v>9.4679000000000002</v>
      </c>
      <c r="C49" s="4">
        <f>9.082 * CHOOSE(CONTROL!$C$9, $C$13, 100%, $E$13) + CHOOSE(CONTROL!$C$28, 0.0226, 0)</f>
        <v>9.1046000000000014</v>
      </c>
      <c r="D49" s="4">
        <f>15.7492 * CHOOSE(CONTROL!$C$9, $C$13, 100%, $E$13) + CHOOSE(CONTROL!$C$28, 0.0021, 0)</f>
        <v>15.751300000000001</v>
      </c>
      <c r="E49" s="4">
        <f>61.77 * CHOOSE(CONTROL!$C$9, $C$13, 100%, $E$13) + CHOOSE(CONTROL!$C$28, 0.0021, 0)</f>
        <v>61.772100000000002</v>
      </c>
    </row>
    <row r="50" spans="1:5" ht="15">
      <c r="A50" s="13">
        <v>42644</v>
      </c>
      <c r="B50" s="4">
        <f>9.5312 * CHOOSE(CONTROL!$C$9, $C$13, 100%, $E$13) + CHOOSE(CONTROL!$C$28, 0.0226, 0)</f>
        <v>9.5538000000000007</v>
      </c>
      <c r="C50" s="4">
        <f>9.168 * CHOOSE(CONTROL!$C$9, $C$13, 100%, $E$13) + CHOOSE(CONTROL!$C$28, 0.0226, 0)</f>
        <v>9.1905999999999999</v>
      </c>
      <c r="D50" s="4">
        <f>15.8753 * CHOOSE(CONTROL!$C$9, $C$13, 100%, $E$13) + CHOOSE(CONTROL!$C$28, 0.0021, 0)</f>
        <v>15.8774</v>
      </c>
      <c r="E50" s="4">
        <f>62.23 * CHOOSE(CONTROL!$C$9, $C$13, 100%, $E$13) + CHOOSE(CONTROL!$C$28, 0.0021, 0)</f>
        <v>62.232099999999996</v>
      </c>
    </row>
    <row r="51" spans="1:5" ht="15">
      <c r="A51" s="13">
        <v>42675</v>
      </c>
      <c r="B51" s="4">
        <f>9.6172 * CHOOSE(CONTROL!$C$9, $C$13, 100%, $E$13) + CHOOSE(CONTROL!$C$28, 0.0226, 0)</f>
        <v>9.639800000000001</v>
      </c>
      <c r="C51" s="4">
        <f>9.2539 * CHOOSE(CONTROL!$C$9, $C$13, 100%, $E$13) + CHOOSE(CONTROL!$C$28, 0.0226, 0)</f>
        <v>9.2765000000000004</v>
      </c>
      <c r="D51" s="4">
        <f>16.0014 * CHOOSE(CONTROL!$C$9, $C$13, 100%, $E$13) + CHOOSE(CONTROL!$C$28, 0.0021, 0)</f>
        <v>16.003499999999999</v>
      </c>
      <c r="E51" s="4">
        <f>62.67 * CHOOSE(CONTROL!$C$9, $C$13, 100%, $E$13) + CHOOSE(CONTROL!$C$28, 0.0021, 0)</f>
        <v>62.6721</v>
      </c>
    </row>
    <row r="52" spans="1:5" ht="15">
      <c r="A52" s="13">
        <v>42705</v>
      </c>
      <c r="B52" s="4">
        <f>9.7031 * CHOOSE(CONTROL!$C$9, $C$13, 100%, $E$13) + CHOOSE(CONTROL!$C$28, 0.0226, 0)</f>
        <v>9.7256999999999998</v>
      </c>
      <c r="C52" s="4">
        <f>9.3398 * CHOOSE(CONTROL!$C$9, $C$13, 100%, $E$13) + CHOOSE(CONTROL!$C$28, 0.0226, 0)</f>
        <v>9.3624000000000009</v>
      </c>
      <c r="D52" s="4">
        <f>16.1239 * CHOOSE(CONTROL!$C$9, $C$13, 100%, $E$13) + CHOOSE(CONTROL!$C$28, 0.0021, 0)</f>
        <v>16.125999999999998</v>
      </c>
      <c r="E52" s="4">
        <f>63.08 * CHOOSE(CONTROL!$C$9, $C$13, 100%, $E$13) + CHOOSE(CONTROL!$C$28, 0.0021, 0)</f>
        <v>63.082099999999997</v>
      </c>
    </row>
    <row r="53" spans="1:5" ht="15">
      <c r="A53" s="13">
        <v>42736</v>
      </c>
      <c r="B53" s="4">
        <f>9.6406 * CHOOSE(CONTROL!$C$9, $C$13, 100%, $E$13) + CHOOSE(CONTROL!$C$28, 0.0226, 0)</f>
        <v>9.6631999999999998</v>
      </c>
      <c r="C53" s="4">
        <f>9.2773 * CHOOSE(CONTROL!$C$9, $C$13, 100%, $E$13) + CHOOSE(CONTROL!$C$28, 0.0226, 0)</f>
        <v>9.2999000000000009</v>
      </c>
      <c r="D53" s="4">
        <f>16.2319 * CHOOSE(CONTROL!$C$9, $C$13, 100%, $E$13) + CHOOSE(CONTROL!$C$28, 0.0021, 0)</f>
        <v>16.233999999999998</v>
      </c>
      <c r="E53" s="4">
        <f>63.3 * CHOOSE(CONTROL!$C$9, $C$13, 100%, $E$13) + CHOOSE(CONTROL!$C$28, 0.0021, 0)</f>
        <v>63.302099999999996</v>
      </c>
    </row>
    <row r="54" spans="1:5" ht="15">
      <c r="A54" s="13">
        <v>42767</v>
      </c>
      <c r="B54" s="4">
        <f>9.6766 * CHOOSE(CONTROL!$C$9, $C$13, 100%, $E$13) + CHOOSE(CONTROL!$C$28, 0.0226, 0)</f>
        <v>9.6992000000000012</v>
      </c>
      <c r="C54" s="4">
        <f>9.3133 * CHOOSE(CONTROL!$C$9, $C$13, 100%, $E$13) + CHOOSE(CONTROL!$C$28, 0.0226, 0)</f>
        <v>9.3359000000000005</v>
      </c>
      <c r="D54" s="4">
        <f>16.2571 * CHOOSE(CONTROL!$C$9, $C$13, 100%, $E$13) + CHOOSE(CONTROL!$C$28, 0.0021, 0)</f>
        <v>16.2592</v>
      </c>
      <c r="E54" s="4">
        <f>63.55 * CHOOSE(CONTROL!$C$9, $C$13, 100%, $E$13) + CHOOSE(CONTROL!$C$28, 0.0021, 0)</f>
        <v>63.552099999999996</v>
      </c>
    </row>
    <row r="55" spans="1:5" ht="15">
      <c r="A55" s="13">
        <v>42795</v>
      </c>
      <c r="B55" s="4">
        <f>9.7172 * CHOOSE(CONTROL!$C$9, $C$13, 100%, $E$13) + CHOOSE(CONTROL!$C$28, 0.0226, 0)</f>
        <v>9.7398000000000007</v>
      </c>
      <c r="C55" s="4">
        <f>9.3539 * CHOOSE(CONTROL!$C$9, $C$13, 100%, $E$13) + CHOOSE(CONTROL!$C$28, 0.0226, 0)</f>
        <v>9.3765000000000001</v>
      </c>
      <c r="D55" s="4">
        <f>16.2607 * CHOOSE(CONTROL!$C$9, $C$13, 100%, $E$13) + CHOOSE(CONTROL!$C$28, 0.0021, 0)</f>
        <v>16.262799999999999</v>
      </c>
      <c r="E55" s="4">
        <f>63.81 * CHOOSE(CONTROL!$C$9, $C$13, 100%, $E$13) + CHOOSE(CONTROL!$C$28, 0.0021, 0)</f>
        <v>63.812100000000001</v>
      </c>
    </row>
    <row r="56" spans="1:5" ht="15">
      <c r="A56" s="13">
        <v>42826</v>
      </c>
      <c r="B56" s="4">
        <f>9.7625 * CHOOSE(CONTROL!$C$9, $C$13, 100%, $E$13) + CHOOSE(CONTROL!$C$28, 0.0226, 0)</f>
        <v>9.7850999999999999</v>
      </c>
      <c r="C56" s="4">
        <f>9.3992 * CHOOSE(CONTROL!$C$9, $C$13, 100%, $E$13) + CHOOSE(CONTROL!$C$28, 0.0226, 0)</f>
        <v>9.4218000000000011</v>
      </c>
      <c r="D56" s="4">
        <f>16.2391 * CHOOSE(CONTROL!$C$9, $C$13, 100%, $E$13) + CHOOSE(CONTROL!$C$28, 0.0021, 0)</f>
        <v>16.241199999999999</v>
      </c>
      <c r="E56" s="4">
        <f>64.1 * CHOOSE(CONTROL!$C$9, $C$13, 100%, $E$13) + CHOOSE(CONTROL!$C$28, 0.0021, 0)</f>
        <v>64.102099999999993</v>
      </c>
    </row>
    <row r="57" spans="1:5" ht="15">
      <c r="A57" s="13">
        <v>42856</v>
      </c>
      <c r="B57" s="4">
        <f>9.8094 * CHOOSE(CONTROL!$C$9, $C$13, 100%, $E$13) + CHOOSE(CONTROL!$C$28, 0.0226, 0)</f>
        <v>9.8320000000000007</v>
      </c>
      <c r="C57" s="4">
        <f>9.4461 * CHOOSE(CONTROL!$C$9, $C$13, 100%, $E$13) + CHOOSE(CONTROL!$C$28, 0.0226, 0)</f>
        <v>9.4687000000000001</v>
      </c>
      <c r="D57" s="4">
        <f>16.2319 * CHOOSE(CONTROL!$C$9, $C$13, 100%, $E$13) + CHOOSE(CONTROL!$C$28, 0.0021, 0)</f>
        <v>16.233999999999998</v>
      </c>
      <c r="E57" s="4">
        <f>64.4 * CHOOSE(CONTROL!$C$9, $C$13, 100%, $E$13) + CHOOSE(CONTROL!$C$28, 0.0021, 0)</f>
        <v>64.402100000000004</v>
      </c>
    </row>
    <row r="58" spans="1:5" ht="15">
      <c r="A58" s="13">
        <v>42887</v>
      </c>
      <c r="B58" s="4">
        <f>9.8578 * CHOOSE(CONTROL!$C$9, $C$13, 100%, $E$13) + CHOOSE(CONTROL!$C$28, 0.0226, 0)</f>
        <v>9.8803999999999998</v>
      </c>
      <c r="C58" s="4">
        <f>9.4945 * CHOOSE(CONTROL!$C$9, $C$13, 100%, $E$13) + CHOOSE(CONTROL!$C$28, 0.0226, 0)</f>
        <v>9.517100000000001</v>
      </c>
      <c r="D58" s="4">
        <f>16.2319 * CHOOSE(CONTROL!$C$9, $C$13, 100%, $E$13) + CHOOSE(CONTROL!$C$28, 0.0021, 0)</f>
        <v>16.233999999999998</v>
      </c>
      <c r="E58" s="4">
        <f>64.71 * CHOOSE(CONTROL!$C$9, $C$13, 100%, $E$13) + CHOOSE(CONTROL!$C$28, 0.0021, 0)</f>
        <v>64.712099999999992</v>
      </c>
    </row>
    <row r="59" spans="1:5" ht="15">
      <c r="A59" s="13">
        <v>42917</v>
      </c>
      <c r="B59" s="4">
        <f>9.8969 * CHOOSE(CONTROL!$C$9, $C$13, 100%, $E$13) + CHOOSE(CONTROL!$C$28, 0.0226, 0)</f>
        <v>9.9195000000000011</v>
      </c>
      <c r="C59" s="4">
        <f>9.5336 * CHOOSE(CONTROL!$C$9, $C$13, 100%, $E$13) + CHOOSE(CONTROL!$C$28, 0.0226, 0)</f>
        <v>9.5562000000000005</v>
      </c>
      <c r="D59" s="4">
        <f>16.2643 * CHOOSE(CONTROL!$C$9, $C$13, 100%, $E$13) + CHOOSE(CONTROL!$C$28, 0.0021, 0)</f>
        <v>16.266399999999997</v>
      </c>
      <c r="E59" s="4">
        <f>64.84 * CHOOSE(CONTROL!$C$9, $C$13, 100%, $E$13) + CHOOSE(CONTROL!$C$28, 0.0021, 0)</f>
        <v>64.842100000000002</v>
      </c>
    </row>
    <row r="60" spans="1:5" ht="15">
      <c r="A60" s="13">
        <v>42948</v>
      </c>
      <c r="B60" s="4">
        <f>9.9391 * CHOOSE(CONTROL!$C$9, $C$13, 100%, $E$13) + CHOOSE(CONTROL!$C$28, 0.0226, 0)</f>
        <v>9.9617000000000004</v>
      </c>
      <c r="C60" s="4">
        <f>9.5758 * CHOOSE(CONTROL!$C$9, $C$13, 100%, $E$13) + CHOOSE(CONTROL!$C$28, 0.0226, 0)</f>
        <v>9.5983999999999998</v>
      </c>
      <c r="D60" s="4">
        <f>16.3256 * CHOOSE(CONTROL!$C$9, $C$13, 100%, $E$13) + CHOOSE(CONTROL!$C$28, 0.0021, 0)</f>
        <v>16.3277</v>
      </c>
      <c r="E60" s="4">
        <f>65.01 * CHOOSE(CONTROL!$C$9, $C$13, 100%, $E$13) + CHOOSE(CONTROL!$C$28, 0.0021, 0)</f>
        <v>65.012100000000004</v>
      </c>
    </row>
    <row r="61" spans="1:5" ht="15">
      <c r="A61" s="13">
        <v>42979</v>
      </c>
      <c r="B61" s="4">
        <f>9.9797 * CHOOSE(CONTROL!$C$9, $C$13, 100%, $E$13) + CHOOSE(CONTROL!$C$28, 0.0226, 0)</f>
        <v>10.0023</v>
      </c>
      <c r="C61" s="4">
        <f>9.6164 * CHOOSE(CONTROL!$C$9, $C$13, 100%, $E$13) + CHOOSE(CONTROL!$C$28, 0.0226, 0)</f>
        <v>9.6390000000000011</v>
      </c>
      <c r="D61" s="4">
        <f>16.3868 * CHOOSE(CONTROL!$C$9, $C$13, 100%, $E$13) + CHOOSE(CONTROL!$C$28, 0.0021, 0)</f>
        <v>16.3889</v>
      </c>
      <c r="E61" s="4">
        <f>65.19 * CHOOSE(CONTROL!$C$9, $C$13, 100%, $E$13) + CHOOSE(CONTROL!$C$28, 0.0021, 0)</f>
        <v>65.192099999999996</v>
      </c>
    </row>
    <row r="62" spans="1:5" ht="15">
      <c r="A62" s="13">
        <v>43009</v>
      </c>
      <c r="B62" s="4">
        <f>10.0266 * CHOOSE(CONTROL!$C$9, $C$13, 100%, $E$13) + CHOOSE(CONTROL!$C$28, 0.0226, 0)</f>
        <v>10.049200000000001</v>
      </c>
      <c r="C62" s="4">
        <f>9.6633 * CHOOSE(CONTROL!$C$9, $C$13, 100%, $E$13) + CHOOSE(CONTROL!$C$28, 0.0226, 0)</f>
        <v>9.6859000000000002</v>
      </c>
      <c r="D62" s="4">
        <f>16.448 * CHOOSE(CONTROL!$C$9, $C$13, 100%, $E$13) + CHOOSE(CONTROL!$C$28, 0.0021, 0)</f>
        <v>16.450099999999999</v>
      </c>
      <c r="E62" s="4">
        <f>65.4 * CHOOSE(CONTROL!$C$9, $C$13, 100%, $E$13) + CHOOSE(CONTROL!$C$28, 0.0021, 0)</f>
        <v>65.402100000000004</v>
      </c>
    </row>
    <row r="63" spans="1:5" ht="15">
      <c r="A63" s="13">
        <v>43040</v>
      </c>
      <c r="B63" s="4">
        <f>10.0797 * CHOOSE(CONTROL!$C$9, $C$13, 100%, $E$13) + CHOOSE(CONTROL!$C$28, 0.0226, 0)</f>
        <v>10.102300000000001</v>
      </c>
      <c r="C63" s="4">
        <f>9.7164 * CHOOSE(CONTROL!$C$9, $C$13, 100%, $E$13) + CHOOSE(CONTROL!$C$28, 0.0226, 0)</f>
        <v>9.7390000000000008</v>
      </c>
      <c r="D63" s="4">
        <f>16.5057 * CHOOSE(CONTROL!$C$9, $C$13, 100%, $E$13) + CHOOSE(CONTROL!$C$28, 0.0021, 0)</f>
        <v>16.5078</v>
      </c>
      <c r="E63" s="4">
        <f>65.63 * CHOOSE(CONTROL!$C$9, $C$13, 100%, $E$13) + CHOOSE(CONTROL!$C$28, 0.0021, 0)</f>
        <v>65.632099999999994</v>
      </c>
    </row>
    <row r="64" spans="1:5" ht="15">
      <c r="A64" s="13">
        <v>43070</v>
      </c>
      <c r="B64" s="4">
        <f>10.1406 * CHOOSE(CONTROL!$C$9, $C$13, 100%, $E$13) + CHOOSE(CONTROL!$C$28, 0.0226, 0)</f>
        <v>10.1632</v>
      </c>
      <c r="C64" s="4">
        <f>9.7773 * CHOOSE(CONTROL!$C$9, $C$13, 100%, $E$13) + CHOOSE(CONTROL!$C$28, 0.0226, 0)</f>
        <v>9.7999000000000009</v>
      </c>
      <c r="D64" s="4">
        <f>16.5561 * CHOOSE(CONTROL!$C$9, $C$13, 100%, $E$13) + CHOOSE(CONTROL!$C$28, 0.0021, 0)</f>
        <v>16.558199999999999</v>
      </c>
      <c r="E64" s="4">
        <f>65.88 * CHOOSE(CONTROL!$C$9, $C$13, 100%, $E$13) + CHOOSE(CONTROL!$C$28, 0.0021, 0)</f>
        <v>65.882099999999994</v>
      </c>
    </row>
    <row r="65" spans="1:5" ht="15">
      <c r="A65" s="13">
        <v>43101</v>
      </c>
      <c r="B65" s="4">
        <f>10.3614 * CHOOSE(CONTROL!$C$9, $C$13, 100%, $E$13) + CHOOSE(CONTROL!$C$28, 0.0226, 0)</f>
        <v>10.384</v>
      </c>
      <c r="C65" s="4">
        <f>9.9981 * CHOOSE(CONTROL!$C$9, $C$13, 100%, $E$13) + CHOOSE(CONTROL!$C$28, 0.0226, 0)</f>
        <v>10.020700000000001</v>
      </c>
      <c r="D65" s="4">
        <f>16.5061 * CHOOSE(CONTROL!$C$9, $C$13, 100%, $E$13) + CHOOSE(CONTROL!$C$28, 0.0021, 0)</f>
        <v>16.508199999999999</v>
      </c>
      <c r="E65" s="4">
        <f>66.1914627977293 * CHOOSE(CONTROL!$C$9, $C$13, 100%, $E$13) + CHOOSE(CONTROL!$C$28, 0.0021, 0)</f>
        <v>66.1935627977293</v>
      </c>
    </row>
    <row r="66" spans="1:5" ht="15">
      <c r="A66" s="13">
        <v>43132</v>
      </c>
      <c r="B66" s="4">
        <f>10.5891 * CHOOSE(CONTROL!$C$9, $C$13, 100%, $E$13) + CHOOSE(CONTROL!$C$28, 0.0226, 0)</f>
        <v>10.611700000000001</v>
      </c>
      <c r="C66" s="4">
        <f>10.2258 * CHOOSE(CONTROL!$C$9, $C$13, 100%, $E$13) + CHOOSE(CONTROL!$C$28, 0.0226, 0)</f>
        <v>10.2484</v>
      </c>
      <c r="D66" s="4">
        <f>17.0233 * CHOOSE(CONTROL!$C$9, $C$13, 100%, $E$13) + CHOOSE(CONTROL!$C$28, 0.0021, 0)</f>
        <v>17.025399999999998</v>
      </c>
      <c r="E66" s="4">
        <f>67.763108979108 * CHOOSE(CONTROL!$C$9, $C$13, 100%, $E$13) + CHOOSE(CONTROL!$C$28, 0.0021, 0)</f>
        <v>67.765208979107996</v>
      </c>
    </row>
    <row r="67" spans="1:5" ht="15">
      <c r="A67" s="13">
        <v>43160</v>
      </c>
      <c r="B67" s="4">
        <f>11.1869 * CHOOSE(CONTROL!$C$9, $C$13, 100%, $E$13) + CHOOSE(CONTROL!$C$28, 0.0226, 0)</f>
        <v>11.2095</v>
      </c>
      <c r="C67" s="4">
        <f>10.8236 * CHOOSE(CONTROL!$C$9, $C$13, 100%, $E$13) + CHOOSE(CONTROL!$C$28, 0.0226, 0)</f>
        <v>10.846200000000001</v>
      </c>
      <c r="D67" s="4">
        <f>17.8329 * CHOOSE(CONTROL!$C$9, $C$13, 100%, $E$13) + CHOOSE(CONTROL!$C$28, 0.0021, 0)</f>
        <v>17.834999999999997</v>
      </c>
      <c r="E67" s="4">
        <f>71.8903353737591 * CHOOSE(CONTROL!$C$9, $C$13, 100%, $E$13) + CHOOSE(CONTROL!$C$28, 0.0021, 0)</f>
        <v>71.892435373759099</v>
      </c>
    </row>
    <row r="68" spans="1:5" ht="15">
      <c r="A68" s="13">
        <v>43191</v>
      </c>
      <c r="B68" s="4">
        <f>11.6117 * CHOOSE(CONTROL!$C$9, $C$13, 100%, $E$13) + CHOOSE(CONTROL!$C$28, 0.0226, 0)</f>
        <v>11.634300000000001</v>
      </c>
      <c r="C68" s="4">
        <f>11.2484 * CHOOSE(CONTROL!$C$9, $C$13, 100%, $E$13) + CHOOSE(CONTROL!$C$28, 0.0226, 0)</f>
        <v>11.271000000000001</v>
      </c>
      <c r="D68" s="4">
        <f>18.2993 * CHOOSE(CONTROL!$C$9, $C$13, 100%, $E$13) + CHOOSE(CONTROL!$C$28, 0.0021, 0)</f>
        <v>18.301399999999997</v>
      </c>
      <c r="E68" s="4">
        <f>74.8227847296822 * CHOOSE(CONTROL!$C$9, $C$13, 100%, $E$13) + CHOOSE(CONTROL!$C$28, 0.0021, 0)</f>
        <v>74.824884729682196</v>
      </c>
    </row>
    <row r="69" spans="1:5" ht="15">
      <c r="A69" s="13">
        <v>43221</v>
      </c>
      <c r="B69" s="4">
        <f>11.8712 * CHOOSE(CONTROL!$C$9, $C$13, 100%, $E$13) + CHOOSE(CONTROL!$C$28, 0.0226, 0)</f>
        <v>11.893800000000001</v>
      </c>
      <c r="C69" s="4">
        <f>11.5079 * CHOOSE(CONTROL!$C$9, $C$13, 100%, $E$13) + CHOOSE(CONTROL!$C$28, 0.0226, 0)</f>
        <v>11.5305</v>
      </c>
      <c r="D69" s="4">
        <f>18.115 * CHOOSE(CONTROL!$C$9, $C$13, 100%, $E$13) + CHOOSE(CONTROL!$C$28, 0.0021, 0)</f>
        <v>18.117099999999997</v>
      </c>
      <c r="E69" s="4">
        <f>76.6144410051489 * CHOOSE(CONTROL!$C$9, $C$13, 100%, $E$13) + CHOOSE(CONTROL!$C$28, 0.0021, 0)</f>
        <v>76.616541005148903</v>
      </c>
    </row>
    <row r="70" spans="1:5" ht="15">
      <c r="A70" s="13">
        <v>43252</v>
      </c>
      <c r="B70" s="4">
        <f>11.9063 * CHOOSE(CONTROL!$C$9, $C$13, 100%, $E$13) + CHOOSE(CONTROL!$C$28, 0.0226, 0)</f>
        <v>11.928900000000001</v>
      </c>
      <c r="C70" s="4">
        <f>11.5431 * CHOOSE(CONTROL!$C$9, $C$13, 100%, $E$13) + CHOOSE(CONTROL!$C$28, 0.0226, 0)</f>
        <v>11.565700000000001</v>
      </c>
      <c r="D70" s="4">
        <f>18.2651 * CHOOSE(CONTROL!$C$9, $C$13, 100%, $E$13) + CHOOSE(CONTROL!$C$28, 0.0021, 0)</f>
        <v>18.267199999999999</v>
      </c>
      <c r="E70" s="4">
        <f>76.8568595347459 * CHOOSE(CONTROL!$C$9, $C$13, 100%, $E$13) + CHOOSE(CONTROL!$C$28, 0.0021, 0)</f>
        <v>76.858959534745892</v>
      </c>
    </row>
    <row r="71" spans="1:5" ht="15">
      <c r="A71" s="13">
        <v>43282</v>
      </c>
      <c r="B71" s="4">
        <f>11.9028 * CHOOSE(CONTROL!$C$9, $C$13, 100%, $E$13) + CHOOSE(CONTROL!$C$28, 0.0226, 0)</f>
        <v>11.9254</v>
      </c>
      <c r="C71" s="4">
        <f>11.5395 * CHOOSE(CONTROL!$C$9, $C$13, 100%, $E$13) + CHOOSE(CONTROL!$C$28, 0.0226, 0)</f>
        <v>11.562100000000001</v>
      </c>
      <c r="D71" s="4">
        <f>18.5359 * CHOOSE(CONTROL!$C$9, $C$13, 100%, $E$13) + CHOOSE(CONTROL!$C$28, 0.0021, 0)</f>
        <v>18.538</v>
      </c>
      <c r="E71" s="4">
        <f>76.8324139687361 * CHOOSE(CONTROL!$C$9, $C$13, 100%, $E$13) + CHOOSE(CONTROL!$C$28, 0.0021, 0)</f>
        <v>76.834513968736104</v>
      </c>
    </row>
    <row r="72" spans="1:5" ht="15">
      <c r="A72" s="13">
        <v>43313</v>
      </c>
      <c r="B72" s="4">
        <f>12.1693 * CHOOSE(CONTROL!$C$9, $C$13, 100%, $E$13) + CHOOSE(CONTROL!$C$28, 0.0226, 0)</f>
        <v>12.1919</v>
      </c>
      <c r="C72" s="4">
        <f>11.806 * CHOOSE(CONTROL!$C$9, $C$13, 100%, $E$13) + CHOOSE(CONTROL!$C$28, 0.0226, 0)</f>
        <v>11.8286</v>
      </c>
      <c r="D72" s="4">
        <f>18.3571 * CHOOSE(CONTROL!$C$9, $C$13, 100%, $E$13) + CHOOSE(CONTROL!$C$28, 0.0021, 0)</f>
        <v>18.359199999999998</v>
      </c>
      <c r="E72" s="4">
        <f>78.671942810972 * CHOOSE(CONTROL!$C$9, $C$13, 100%, $E$13) + CHOOSE(CONTROL!$C$28, 0.0021, 0)</f>
        <v>78.674042810971997</v>
      </c>
    </row>
    <row r="73" spans="1:5" ht="15">
      <c r="A73" s="13">
        <v>43344</v>
      </c>
      <c r="B73" s="4">
        <f>11.7151 * CHOOSE(CONTROL!$C$9, $C$13, 100%, $E$13) + CHOOSE(CONTROL!$C$28, 0.0226, 0)</f>
        <v>11.7377</v>
      </c>
      <c r="C73" s="4">
        <f>11.3518 * CHOOSE(CONTROL!$C$9, $C$13, 100%, $E$13) + CHOOSE(CONTROL!$C$28, 0.0226, 0)</f>
        <v>11.374400000000001</v>
      </c>
      <c r="D73" s="4">
        <f>18.2726 * CHOOSE(CONTROL!$C$9, $C$13, 100%, $E$13) + CHOOSE(CONTROL!$C$28, 0.0021, 0)</f>
        <v>18.274699999999999</v>
      </c>
      <c r="E73" s="4">
        <f>75.5367989702178 * CHOOSE(CONTROL!$C$9, $C$13, 100%, $E$13) + CHOOSE(CONTROL!$C$28, 0.0021, 0)</f>
        <v>75.538898970217801</v>
      </c>
    </row>
    <row r="74" spans="1:5" ht="15">
      <c r="A74" s="13">
        <v>43374</v>
      </c>
      <c r="B74" s="4">
        <f>11.3516 * CHOOSE(CONTROL!$C$9, $C$13, 100%, $E$13) + CHOOSE(CONTROL!$C$28, 0.0226, 0)</f>
        <v>11.3742</v>
      </c>
      <c r="C74" s="4">
        <f>10.9883 * CHOOSE(CONTROL!$C$9, $C$13, 100%, $E$13) + CHOOSE(CONTROL!$C$28, 0.0226, 0)</f>
        <v>11.010900000000001</v>
      </c>
      <c r="D74" s="4">
        <f>18.0463 * CHOOSE(CONTROL!$C$9, $C$13, 100%, $E$13) + CHOOSE(CONTROL!$C$28, 0.0021, 0)</f>
        <v>18.048399999999997</v>
      </c>
      <c r="E74" s="4">
        <f>73.0270541932138 * CHOOSE(CONTROL!$C$9, $C$13, 100%, $E$13) + CHOOSE(CONTROL!$C$28, 0.0021, 0)</f>
        <v>73.029154193213799</v>
      </c>
    </row>
    <row r="75" spans="1:5" ht="15">
      <c r="A75" s="13">
        <v>43405</v>
      </c>
      <c r="B75" s="4">
        <f>11.1174 * CHOOSE(CONTROL!$C$9, $C$13, 100%, $E$13) + CHOOSE(CONTROL!$C$28, 0.0226, 0)</f>
        <v>11.14</v>
      </c>
      <c r="C75" s="4">
        <f>10.7541 * CHOOSE(CONTROL!$C$9, $C$13, 100%, $E$13) + CHOOSE(CONTROL!$C$28, 0.0226, 0)</f>
        <v>10.7767</v>
      </c>
      <c r="D75" s="4">
        <f>17.9685 * CHOOSE(CONTROL!$C$9, $C$13, 100%, $E$13) + CHOOSE(CONTROL!$C$28, 0.0021, 0)</f>
        <v>17.970599999999997</v>
      </c>
      <c r="E75" s="4">
        <f>71.4105911408172 * CHOOSE(CONTROL!$C$9, $C$13, 100%, $E$13) + CHOOSE(CONTROL!$C$28, 0.0021, 0)</f>
        <v>71.412691140817202</v>
      </c>
    </row>
    <row r="76" spans="1:5" ht="15">
      <c r="A76" s="13">
        <v>43435</v>
      </c>
      <c r="B76" s="4">
        <f>10.9554 * CHOOSE(CONTROL!$C$9, $C$13, 100%, $E$13) + CHOOSE(CONTROL!$C$28, 0.0226, 0)</f>
        <v>10.978</v>
      </c>
      <c r="C76" s="4">
        <f>10.5921 * CHOOSE(CONTROL!$C$9, $C$13, 100%, $E$13) + CHOOSE(CONTROL!$C$28, 0.0226, 0)</f>
        <v>10.614700000000001</v>
      </c>
      <c r="D76" s="4">
        <f>17.3958 * CHOOSE(CONTROL!$C$9, $C$13, 100%, $E$13) + CHOOSE(CONTROL!$C$28, 0.0021, 0)</f>
        <v>17.3979</v>
      </c>
      <c r="E76" s="4">
        <f>70.2922064958698 * CHOOSE(CONTROL!$C$9, $C$13, 100%, $E$13) + CHOOSE(CONTROL!$C$28, 0.0021, 0)</f>
        <v>70.294306495869805</v>
      </c>
    </row>
    <row r="77" spans="1:5" ht="15">
      <c r="A77" s="13">
        <v>43466</v>
      </c>
      <c r="B77" s="4">
        <f>10.7136 * CHOOSE(CONTROL!$C$9, $C$13, 100%, $E$13) + CHOOSE(CONTROL!$C$28, 0.0226, 0)</f>
        <v>10.7362</v>
      </c>
      <c r="C77" s="4">
        <f>10.3504 * CHOOSE(CONTROL!$C$9, $C$13, 100%, $E$13) + CHOOSE(CONTROL!$C$28, 0.0226, 0)</f>
        <v>10.373000000000001</v>
      </c>
      <c r="D77" s="4">
        <f>17.0576 * CHOOSE(CONTROL!$C$9, $C$13, 100%, $E$13) + CHOOSE(CONTROL!$C$28, 0.0021, 0)</f>
        <v>17.059699999999999</v>
      </c>
      <c r="E77" s="4">
        <f>68.9789366397951 * CHOOSE(CONTROL!$C$9, $C$13, 100%, $E$13) + CHOOSE(CONTROL!$C$28, 0.0021, 0)</f>
        <v>68.981036639795093</v>
      </c>
    </row>
    <row r="78" spans="1:5" ht="15">
      <c r="A78" s="13">
        <v>43497</v>
      </c>
      <c r="B78" s="4">
        <f>10.9497 * CHOOSE(CONTROL!$C$9, $C$13, 100%, $E$13) + CHOOSE(CONTROL!$C$28, 0.0226, 0)</f>
        <v>10.972300000000001</v>
      </c>
      <c r="C78" s="4">
        <f>10.5864 * CHOOSE(CONTROL!$C$9, $C$13, 100%, $E$13) + CHOOSE(CONTROL!$C$28, 0.0226, 0)</f>
        <v>10.609</v>
      </c>
      <c r="D78" s="4">
        <f>17.5942 * CHOOSE(CONTROL!$C$9, $C$13, 100%, $E$13) + CHOOSE(CONTROL!$C$28, 0.0021, 0)</f>
        <v>17.596299999999999</v>
      </c>
      <c r="E78" s="4">
        <f>70.6167684353665 * CHOOSE(CONTROL!$C$9, $C$13, 100%, $E$13) + CHOOSE(CONTROL!$C$28, 0.0021, 0)</f>
        <v>70.618868435366494</v>
      </c>
    </row>
    <row r="79" spans="1:5" ht="15">
      <c r="A79" s="13">
        <v>43525</v>
      </c>
      <c r="B79" s="4">
        <f>11.5695 * CHOOSE(CONTROL!$C$9, $C$13, 100%, $E$13) + CHOOSE(CONTROL!$C$28, 0.0226, 0)</f>
        <v>11.5921</v>
      </c>
      <c r="C79" s="4">
        <f>11.2062 * CHOOSE(CONTROL!$C$9, $C$13, 100%, $E$13) + CHOOSE(CONTROL!$C$28, 0.0226, 0)</f>
        <v>11.228800000000001</v>
      </c>
      <c r="D79" s="4">
        <f>18.4343 * CHOOSE(CONTROL!$C$9, $C$13, 100%, $E$13) + CHOOSE(CONTROL!$C$28, 0.0021, 0)</f>
        <v>18.436399999999999</v>
      </c>
      <c r="E79" s="4">
        <f>74.9178017702045 * CHOOSE(CONTROL!$C$9, $C$13, 100%, $E$13) + CHOOSE(CONTROL!$C$28, 0.0021, 0)</f>
        <v>74.919901770204504</v>
      </c>
    </row>
    <row r="80" spans="1:5" ht="15">
      <c r="A80" s="13">
        <v>43556</v>
      </c>
      <c r="B80" s="4">
        <f>12.0098 * CHOOSE(CONTROL!$C$9, $C$13, 100%, $E$13) + CHOOSE(CONTROL!$C$28, 0.0226, 0)</f>
        <v>12.032400000000001</v>
      </c>
      <c r="C80" s="4">
        <f>11.6465 * CHOOSE(CONTROL!$C$9, $C$13, 100%, $E$13) + CHOOSE(CONTROL!$C$28, 0.0226, 0)</f>
        <v>11.6691</v>
      </c>
      <c r="D80" s="4">
        <f>18.9183 * CHOOSE(CONTROL!$C$9, $C$13, 100%, $E$13) + CHOOSE(CONTROL!$C$28, 0.0021, 0)</f>
        <v>18.920399999999997</v>
      </c>
      <c r="E80" s="4">
        <f>77.9737432734125 * CHOOSE(CONTROL!$C$9, $C$13, 100%, $E$13) + CHOOSE(CONTROL!$C$28, 0.0021, 0)</f>
        <v>77.975843273412494</v>
      </c>
    </row>
    <row r="81" spans="1:5" ht="15">
      <c r="A81" s="13">
        <v>43586</v>
      </c>
      <c r="B81" s="4">
        <f>12.2789 * CHOOSE(CONTROL!$C$9, $C$13, 100%, $E$13) + CHOOSE(CONTROL!$C$28, 0.0226, 0)</f>
        <v>12.301500000000001</v>
      </c>
      <c r="C81" s="4">
        <f>11.9156 * CHOOSE(CONTROL!$C$9, $C$13, 100%, $E$13) + CHOOSE(CONTROL!$C$28, 0.0226, 0)</f>
        <v>11.9382</v>
      </c>
      <c r="D81" s="4">
        <f>18.727 * CHOOSE(CONTROL!$C$9, $C$13, 100%, $E$13) + CHOOSE(CONTROL!$C$28, 0.0021, 0)</f>
        <v>18.729099999999999</v>
      </c>
      <c r="E81" s="4">
        <f>79.8408502911766 * CHOOSE(CONTROL!$C$9, $C$13, 100%, $E$13) + CHOOSE(CONTROL!$C$28, 0.0021, 0)</f>
        <v>79.842950291176592</v>
      </c>
    </row>
    <row r="82" spans="1:5" ht="15">
      <c r="A82" s="13">
        <v>43617</v>
      </c>
      <c r="B82" s="4">
        <f>12.3153 * CHOOSE(CONTROL!$C$9, $C$13, 100%, $E$13) + CHOOSE(CONTROL!$C$28, 0.0226, 0)</f>
        <v>12.337900000000001</v>
      </c>
      <c r="C82" s="4">
        <f>11.952 * CHOOSE(CONTROL!$C$9, $C$13, 100%, $E$13) + CHOOSE(CONTROL!$C$28, 0.0226, 0)</f>
        <v>11.974600000000001</v>
      </c>
      <c r="D82" s="4">
        <f>18.8828 * CHOOSE(CONTROL!$C$9, $C$13, 100%, $E$13) + CHOOSE(CONTROL!$C$28, 0.0021, 0)</f>
        <v>18.884899999999998</v>
      </c>
      <c r="E82" s="4">
        <f>80.0934776193334 * CHOOSE(CONTROL!$C$9, $C$13, 100%, $E$13) + CHOOSE(CONTROL!$C$28, 0.0021, 0)</f>
        <v>80.095577619333397</v>
      </c>
    </row>
    <row r="83" spans="1:5" ht="15">
      <c r="A83" s="13">
        <v>43647</v>
      </c>
      <c r="B83" s="4">
        <f>12.3116 * CHOOSE(CONTROL!$C$9, $C$13, 100%, $E$13) + CHOOSE(CONTROL!$C$28, 0.0226, 0)</f>
        <v>12.334200000000001</v>
      </c>
      <c r="C83" s="4">
        <f>11.9483 * CHOOSE(CONTROL!$C$9, $C$13, 100%, $E$13) + CHOOSE(CONTROL!$C$28, 0.0226, 0)</f>
        <v>11.9709</v>
      </c>
      <c r="D83" s="4">
        <f>19.1638 * CHOOSE(CONTROL!$C$9, $C$13, 100%, $E$13) + CHOOSE(CONTROL!$C$28, 0.0021, 0)</f>
        <v>19.165899999999997</v>
      </c>
      <c r="E83" s="4">
        <f>80.0680025946453 * CHOOSE(CONTROL!$C$9, $C$13, 100%, $E$13) + CHOOSE(CONTROL!$C$28, 0.0021, 0)</f>
        <v>80.070102594645292</v>
      </c>
    </row>
    <row r="84" spans="1:5" ht="15">
      <c r="A84" s="13">
        <v>43678</v>
      </c>
      <c r="B84" s="4">
        <f>12.5879 * CHOOSE(CONTROL!$C$9, $C$13, 100%, $E$13) + CHOOSE(CONTROL!$C$28, 0.0226, 0)</f>
        <v>12.6105</v>
      </c>
      <c r="C84" s="4">
        <f>12.2246 * CHOOSE(CONTROL!$C$9, $C$13, 100%, $E$13) + CHOOSE(CONTROL!$C$28, 0.0226, 0)</f>
        <v>12.247200000000001</v>
      </c>
      <c r="D84" s="4">
        <f>18.9782 * CHOOSE(CONTROL!$C$9, $C$13, 100%, $E$13) + CHOOSE(CONTROL!$C$28, 0.0021, 0)</f>
        <v>18.9803</v>
      </c>
      <c r="E84" s="4">
        <f>81.9849982024235 * CHOOSE(CONTROL!$C$9, $C$13, 100%, $E$13) + CHOOSE(CONTROL!$C$28, 0.0021, 0)</f>
        <v>81.987098202423496</v>
      </c>
    </row>
    <row r="85" spans="1:5" ht="15">
      <c r="A85" s="13">
        <v>43709</v>
      </c>
      <c r="B85" s="4">
        <f>12.1171 * CHOOSE(CONTROL!$C$9, $C$13, 100%, $E$13) + CHOOSE(CONTROL!$C$28, 0.0226, 0)</f>
        <v>12.139700000000001</v>
      </c>
      <c r="C85" s="4">
        <f>11.7538 * CHOOSE(CONTROL!$C$9, $C$13, 100%, $E$13) + CHOOSE(CONTROL!$C$28, 0.0226, 0)</f>
        <v>11.776400000000001</v>
      </c>
      <c r="D85" s="4">
        <f>18.8905 * CHOOSE(CONTROL!$C$9, $C$13, 100%, $E$13) + CHOOSE(CONTROL!$C$28, 0.0021, 0)</f>
        <v>18.892599999999998</v>
      </c>
      <c r="E85" s="4">
        <f>78.7178262861769 * CHOOSE(CONTROL!$C$9, $C$13, 100%, $E$13) + CHOOSE(CONTROL!$C$28, 0.0021, 0)</f>
        <v>78.7199262861769</v>
      </c>
    </row>
    <row r="86" spans="1:5" ht="15">
      <c r="A86" s="13">
        <v>43739</v>
      </c>
      <c r="B86" s="4">
        <f>11.7402 * CHOOSE(CONTROL!$C$9, $C$13, 100%, $E$13) + CHOOSE(CONTROL!$C$28, 0.0226, 0)</f>
        <v>11.7628</v>
      </c>
      <c r="C86" s="4">
        <f>11.3769 * CHOOSE(CONTROL!$C$9, $C$13, 100%, $E$13) + CHOOSE(CONTROL!$C$28, 0.0226, 0)</f>
        <v>11.3995</v>
      </c>
      <c r="D86" s="4">
        <f>18.6558 * CHOOSE(CONTROL!$C$9, $C$13, 100%, $E$13) + CHOOSE(CONTROL!$C$28, 0.0021, 0)</f>
        <v>18.657899999999998</v>
      </c>
      <c r="E86" s="4">
        <f>76.1023904182003 * CHOOSE(CONTROL!$C$9, $C$13, 100%, $E$13) + CHOOSE(CONTROL!$C$28, 0.0021, 0)</f>
        <v>76.104490418200299</v>
      </c>
    </row>
    <row r="87" spans="1:5" ht="15">
      <c r="A87" s="13">
        <v>43770</v>
      </c>
      <c r="B87" s="4">
        <f>11.4974 * CHOOSE(CONTROL!$C$9, $C$13, 100%, $E$13) + CHOOSE(CONTROL!$C$28, 0.0226, 0)</f>
        <v>11.520000000000001</v>
      </c>
      <c r="C87" s="4">
        <f>11.1341 * CHOOSE(CONTROL!$C$9, $C$13, 100%, $E$13) + CHOOSE(CONTROL!$C$28, 0.0226, 0)</f>
        <v>11.156700000000001</v>
      </c>
      <c r="D87" s="4">
        <f>18.575 * CHOOSE(CONTROL!$C$9, $C$13, 100%, $E$13) + CHOOSE(CONTROL!$C$28, 0.0021, 0)</f>
        <v>18.577099999999998</v>
      </c>
      <c r="E87" s="4">
        <f>74.4178544107008 * CHOOSE(CONTROL!$C$9, $C$13, 100%, $E$13) + CHOOSE(CONTROL!$C$28, 0.0021, 0)</f>
        <v>74.419954410700797</v>
      </c>
    </row>
    <row r="88" spans="1:5" ht="15">
      <c r="A88" s="13">
        <v>43800</v>
      </c>
      <c r="B88" s="4">
        <f>11.3295 * CHOOSE(CONTROL!$C$9, $C$13, 100%, $E$13) + CHOOSE(CONTROL!$C$28, 0.0226, 0)</f>
        <v>11.3521</v>
      </c>
      <c r="C88" s="4">
        <f>10.9662 * CHOOSE(CONTROL!$C$9, $C$13, 100%, $E$13) + CHOOSE(CONTROL!$C$28, 0.0226, 0)</f>
        <v>10.988800000000001</v>
      </c>
      <c r="D88" s="4">
        <f>17.9808 * CHOOSE(CONTROL!$C$9, $C$13, 100%, $E$13) + CHOOSE(CONTROL!$C$28, 0.0021, 0)</f>
        <v>17.982899999999997</v>
      </c>
      <c r="E88" s="4">
        <f>73.2523720312211 * CHOOSE(CONTROL!$C$9, $C$13, 100%, $E$13) + CHOOSE(CONTROL!$C$28, 0.0021, 0)</f>
        <v>73.254472031221098</v>
      </c>
    </row>
    <row r="89" spans="1:5" ht="15">
      <c r="A89" s="13">
        <v>43831</v>
      </c>
      <c r="B89" s="4">
        <f>12.6631 * CHOOSE(CONTROL!$C$9, $C$13, 100%, $E$13) + CHOOSE(CONTROL!$C$28, 0.0226, 0)</f>
        <v>12.685700000000001</v>
      </c>
      <c r="C89" s="4">
        <f>12.2998 * CHOOSE(CONTROL!$C$9, $C$13, 100%, $E$13) + CHOOSE(CONTROL!$C$28, 0.0226, 0)</f>
        <v>12.3224</v>
      </c>
      <c r="D89" s="4">
        <f>19.4748 * CHOOSE(CONTROL!$C$9, $C$13, 100%, $E$13) + CHOOSE(CONTROL!$C$28, 0.0021, 0)</f>
        <v>19.476899999999997</v>
      </c>
      <c r="E89" s="4">
        <f>81.0794286661491 * CHOOSE(CONTROL!$C$9, $C$13, 100%, $E$13) + CHOOSE(CONTROL!$C$28, 0.0021, 0)</f>
        <v>81.081528666149097</v>
      </c>
    </row>
    <row r="90" spans="1:5" ht="15">
      <c r="A90" s="13">
        <v>43862</v>
      </c>
      <c r="B90" s="4">
        <f>12.9454 * CHOOSE(CONTROL!$C$9, $C$13, 100%, $E$13) + CHOOSE(CONTROL!$C$28, 0.0226, 0)</f>
        <v>12.968</v>
      </c>
      <c r="C90" s="4">
        <f>12.5821 * CHOOSE(CONTROL!$C$9, $C$13, 100%, $E$13) + CHOOSE(CONTROL!$C$28, 0.0226, 0)</f>
        <v>12.604700000000001</v>
      </c>
      <c r="D90" s="4">
        <f>20.0968 * CHOOSE(CONTROL!$C$9, $C$13, 100%, $E$13) + CHOOSE(CONTROL!$C$28, 0.0021, 0)</f>
        <v>20.0989</v>
      </c>
      <c r="E90" s="4">
        <f>83.0045738293694 * CHOOSE(CONTROL!$C$9, $C$13, 100%, $E$13) + CHOOSE(CONTROL!$C$28, 0.0021, 0)</f>
        <v>83.006673829369404</v>
      </c>
    </row>
    <row r="91" spans="1:5" ht="15">
      <c r="A91" s="13">
        <v>43891</v>
      </c>
      <c r="B91" s="4">
        <f>13.6868 * CHOOSE(CONTROL!$C$9, $C$13, 100%, $E$13) + CHOOSE(CONTROL!$C$28, 0.0226, 0)</f>
        <v>13.7094</v>
      </c>
      <c r="C91" s="4">
        <f>13.3235 * CHOOSE(CONTROL!$C$9, $C$13, 100%, $E$13) + CHOOSE(CONTROL!$C$28, 0.0226, 0)</f>
        <v>13.3461</v>
      </c>
      <c r="D91" s="4">
        <f>21.0705 * CHOOSE(CONTROL!$C$9, $C$13, 100%, $E$13) + CHOOSE(CONTROL!$C$28, 0.0021, 0)</f>
        <v>21.072599999999998</v>
      </c>
      <c r="E91" s="4">
        <f>88.0601073364131 * CHOOSE(CONTROL!$C$9, $C$13, 100%, $E$13) + CHOOSE(CONTROL!$C$28, 0.0021, 0)</f>
        <v>88.062207336413096</v>
      </c>
    </row>
    <row r="92" spans="1:5" ht="15">
      <c r="A92" s="13">
        <v>43922</v>
      </c>
      <c r="B92" s="4">
        <f>14.2135 * CHOOSE(CONTROL!$C$9, $C$13, 100%, $E$13) + CHOOSE(CONTROL!$C$28, 0.0226, 0)</f>
        <v>14.2361</v>
      </c>
      <c r="C92" s="4">
        <f>13.8502 * CHOOSE(CONTROL!$C$9, $C$13, 100%, $E$13) + CHOOSE(CONTROL!$C$28, 0.0226, 0)</f>
        <v>13.8728</v>
      </c>
      <c r="D92" s="4">
        <f>21.6314 * CHOOSE(CONTROL!$C$9, $C$13, 100%, $E$13) + CHOOSE(CONTROL!$C$28, 0.0021, 0)</f>
        <v>21.633499999999998</v>
      </c>
      <c r="E92" s="4">
        <f>91.6521312670101 * CHOOSE(CONTROL!$C$9, $C$13, 100%, $E$13) + CHOOSE(CONTROL!$C$28, 0.0021, 0)</f>
        <v>91.654231267010104</v>
      </c>
    </row>
    <row r="93" spans="1:5" ht="15">
      <c r="A93" s="13">
        <v>43952</v>
      </c>
      <c r="B93" s="4">
        <f>14.5354 * CHOOSE(CONTROL!$C$9, $C$13, 100%, $E$13) + CHOOSE(CONTROL!$C$28, 0.0226, 0)</f>
        <v>14.558</v>
      </c>
      <c r="C93" s="4">
        <f>14.1721 * CHOOSE(CONTROL!$C$9, $C$13, 100%, $E$13) + CHOOSE(CONTROL!$C$28, 0.0226, 0)</f>
        <v>14.194700000000001</v>
      </c>
      <c r="D93" s="4">
        <f>21.4097 * CHOOSE(CONTROL!$C$9, $C$13, 100%, $E$13) + CHOOSE(CONTROL!$C$28, 0.0021, 0)</f>
        <v>21.411799999999999</v>
      </c>
      <c r="E93" s="4">
        <f>93.8467717998062 * CHOOSE(CONTROL!$C$9, $C$13, 100%, $E$13) + CHOOSE(CONTROL!$C$28, 0.0021, 0)</f>
        <v>93.848871799806204</v>
      </c>
    </row>
    <row r="94" spans="1:5" ht="15">
      <c r="A94" s="13">
        <v>43983</v>
      </c>
      <c r="B94" s="4">
        <f>14.5789 * CHOOSE(CONTROL!$C$9, $C$13, 100%, $E$13) + CHOOSE(CONTROL!$C$28, 0.0226, 0)</f>
        <v>14.601500000000001</v>
      </c>
      <c r="C94" s="4">
        <f>14.2156 * CHOOSE(CONTROL!$C$9, $C$13, 100%, $E$13) + CHOOSE(CONTROL!$C$28, 0.0226, 0)</f>
        <v>14.238200000000001</v>
      </c>
      <c r="D94" s="4">
        <f>21.5902 * CHOOSE(CONTROL!$C$9, $C$13, 100%, $E$13) + CHOOSE(CONTROL!$C$28, 0.0021, 0)</f>
        <v>21.592299999999998</v>
      </c>
      <c r="E94" s="4">
        <f>94.1437157718389 * CHOOSE(CONTROL!$C$9, $C$13, 100%, $E$13) + CHOOSE(CONTROL!$C$28, 0.0021, 0)</f>
        <v>94.145815771838897</v>
      </c>
    </row>
    <row r="95" spans="1:5" ht="15">
      <c r="A95" s="13">
        <v>44013</v>
      </c>
      <c r="B95" s="4">
        <f>14.5745 * CHOOSE(CONTROL!$C$9, $C$13, 100%, $E$13) + CHOOSE(CONTROL!$C$28, 0.0226, 0)</f>
        <v>14.597100000000001</v>
      </c>
      <c r="C95" s="4">
        <f>14.2112 * CHOOSE(CONTROL!$C$9, $C$13, 100%, $E$13) + CHOOSE(CONTROL!$C$28, 0.0226, 0)</f>
        <v>14.2338</v>
      </c>
      <c r="D95" s="4">
        <f>21.9159 * CHOOSE(CONTROL!$C$9, $C$13, 100%, $E$13) + CHOOSE(CONTROL!$C$28, 0.0021, 0)</f>
        <v>21.917999999999999</v>
      </c>
      <c r="E95" s="4">
        <f>94.113771841886 * CHOOSE(CONTROL!$C$9, $C$13, 100%, $E$13) + CHOOSE(CONTROL!$C$28, 0.0021, 0)</f>
        <v>94.115871841886005</v>
      </c>
    </row>
    <row r="96" spans="1:5" ht="15">
      <c r="A96" s="13">
        <v>44044</v>
      </c>
      <c r="B96" s="4">
        <f>14.9049 * CHOOSE(CONTROL!$C$9, $C$13, 100%, $E$13) + CHOOSE(CONTROL!$C$28, 0.0226, 0)</f>
        <v>14.9275</v>
      </c>
      <c r="C96" s="4">
        <f>14.5417 * CHOOSE(CONTROL!$C$9, $C$13, 100%, $E$13) + CHOOSE(CONTROL!$C$28, 0.0226, 0)</f>
        <v>14.564300000000001</v>
      </c>
      <c r="D96" s="4">
        <f>21.7008 * CHOOSE(CONTROL!$C$9, $C$13, 100%, $E$13) + CHOOSE(CONTROL!$C$28, 0.0021, 0)</f>
        <v>21.7029</v>
      </c>
      <c r="E96" s="4">
        <f>96.3670525708398 * CHOOSE(CONTROL!$C$9, $C$13, 100%, $E$13) + CHOOSE(CONTROL!$C$28, 0.0021, 0)</f>
        <v>96.369152570839802</v>
      </c>
    </row>
    <row r="97" spans="1:5" ht="15">
      <c r="A97" s="13">
        <v>44075</v>
      </c>
      <c r="B97" s="4">
        <f>14.3418 * CHOOSE(CONTROL!$C$9, $C$13, 100%, $E$13) + CHOOSE(CONTROL!$C$28, 0.0226, 0)</f>
        <v>14.3644</v>
      </c>
      <c r="C97" s="4">
        <f>13.9785 * CHOOSE(CONTROL!$C$9, $C$13, 100%, $E$13) + CHOOSE(CONTROL!$C$28, 0.0226, 0)</f>
        <v>14.001100000000001</v>
      </c>
      <c r="D97" s="4">
        <f>21.5992 * CHOOSE(CONTROL!$C$9, $C$13, 100%, $E$13) + CHOOSE(CONTROL!$C$28, 0.0021, 0)</f>
        <v>21.601299999999998</v>
      </c>
      <c r="E97" s="4">
        <f>92.5267435543837 * CHOOSE(CONTROL!$C$9, $C$13, 100%, $E$13) + CHOOSE(CONTROL!$C$28, 0.0021, 0)</f>
        <v>92.528843554383698</v>
      </c>
    </row>
    <row r="98" spans="1:5" ht="15">
      <c r="A98" s="13">
        <v>44105</v>
      </c>
      <c r="B98" s="4">
        <f>13.891 * CHOOSE(CONTROL!$C$9, $C$13, 100%, $E$13) + CHOOSE(CONTROL!$C$28, 0.0226, 0)</f>
        <v>13.913600000000001</v>
      </c>
      <c r="C98" s="4">
        <f>13.5277 * CHOOSE(CONTROL!$C$9, $C$13, 100%, $E$13) + CHOOSE(CONTROL!$C$28, 0.0226, 0)</f>
        <v>13.5503</v>
      </c>
      <c r="D98" s="4">
        <f>21.3271 * CHOOSE(CONTROL!$C$9, $C$13, 100%, $E$13) + CHOOSE(CONTROL!$C$28, 0.0021, 0)</f>
        <v>21.3292</v>
      </c>
      <c r="E98" s="4">
        <f>89.4525000792218 * CHOOSE(CONTROL!$C$9, $C$13, 100%, $E$13) + CHOOSE(CONTROL!$C$28, 0.0021, 0)</f>
        <v>89.454600079221805</v>
      </c>
    </row>
    <row r="99" spans="1:5" ht="15">
      <c r="A99" s="13">
        <v>44136</v>
      </c>
      <c r="B99" s="4">
        <f>13.6006 * CHOOSE(CONTROL!$C$9, $C$13, 100%, $E$13) + CHOOSE(CONTROL!$C$28, 0.0226, 0)</f>
        <v>13.623200000000001</v>
      </c>
      <c r="C99" s="4">
        <f>13.2373 * CHOOSE(CONTROL!$C$9, $C$13, 100%, $E$13) + CHOOSE(CONTROL!$C$28, 0.0226, 0)</f>
        <v>13.2599</v>
      </c>
      <c r="D99" s="4">
        <f>21.2336 * CHOOSE(CONTROL!$C$9, $C$13, 100%, $E$13) + CHOOSE(CONTROL!$C$28, 0.0021, 0)</f>
        <v>21.235699999999998</v>
      </c>
      <c r="E99" s="4">
        <f>87.4724577110879 * CHOOSE(CONTROL!$C$9, $C$13, 100%, $E$13) + CHOOSE(CONTROL!$C$28, 0.0021, 0)</f>
        <v>87.474557711087897</v>
      </c>
    </row>
    <row r="100" spans="1:5" ht="15">
      <c r="A100" s="13">
        <v>44166</v>
      </c>
      <c r="B100" s="4">
        <f>13.3997 * CHOOSE(CONTROL!$C$9, $C$13, 100%, $E$13) + CHOOSE(CONTROL!$C$28, 0.0226, 0)</f>
        <v>13.4223</v>
      </c>
      <c r="C100" s="4">
        <f>13.0364 * CHOOSE(CONTROL!$C$9, $C$13, 100%, $E$13) + CHOOSE(CONTROL!$C$28, 0.0226, 0)</f>
        <v>13.059000000000001</v>
      </c>
      <c r="D100" s="4">
        <f>20.5449 * CHOOSE(CONTROL!$C$9, $C$13, 100%, $E$13) + CHOOSE(CONTROL!$C$28, 0.0021, 0)</f>
        <v>20.546999999999997</v>
      </c>
      <c r="E100" s="4">
        <f>86.1025229157439 * CHOOSE(CONTROL!$C$9, $C$13, 100%, $E$13) + CHOOSE(CONTROL!$C$28, 0.0021, 0)</f>
        <v>86.104622915743903</v>
      </c>
    </row>
    <row r="101" spans="1:5" ht="15">
      <c r="A101" s="13">
        <v>44197</v>
      </c>
      <c r="B101" s="4">
        <f>13.2462 * CHOOSE(CONTROL!$C$9, $C$13, 100%, $E$13) + CHOOSE(CONTROL!$C$28, 0.0226, 0)</f>
        <v>13.268800000000001</v>
      </c>
      <c r="C101" s="4">
        <f>12.8829 * CHOOSE(CONTROL!$C$9, $C$13, 100%, $E$13) + CHOOSE(CONTROL!$C$28, 0.0226, 0)</f>
        <v>12.9055</v>
      </c>
      <c r="D101" s="4">
        <f>20.3294 * CHOOSE(CONTROL!$C$9, $C$13, 100%, $E$13) + CHOOSE(CONTROL!$C$28, 0.0021, 0)</f>
        <v>20.331499999999998</v>
      </c>
      <c r="E101" s="4">
        <f>84.5184914107357 * CHOOSE(CONTROL!$C$9, $C$13, 100%, $E$13) + CHOOSE(CONTROL!$C$28, 0.0021, 0)</f>
        <v>84.520591410735705</v>
      </c>
    </row>
    <row r="102" spans="1:5" ht="15">
      <c r="A102" s="13">
        <v>44228</v>
      </c>
      <c r="B102" s="4">
        <f>13.5424 * CHOOSE(CONTROL!$C$9, $C$13, 100%, $E$13) + CHOOSE(CONTROL!$C$28, 0.0226, 0)</f>
        <v>13.565000000000001</v>
      </c>
      <c r="C102" s="4">
        <f>13.1791 * CHOOSE(CONTROL!$C$9, $C$13, 100%, $E$13) + CHOOSE(CONTROL!$C$28, 0.0226, 0)</f>
        <v>13.201700000000001</v>
      </c>
      <c r="D102" s="4">
        <f>20.9815 * CHOOSE(CONTROL!$C$9, $C$13, 100%, $E$13) + CHOOSE(CONTROL!$C$28, 0.0021, 0)</f>
        <v>20.983599999999999</v>
      </c>
      <c r="E102" s="4">
        <f>86.5252934765473 * CHOOSE(CONTROL!$C$9, $C$13, 100%, $E$13) + CHOOSE(CONTROL!$C$28, 0.0021, 0)</f>
        <v>86.527393476547303</v>
      </c>
    </row>
    <row r="103" spans="1:5" ht="15">
      <c r="A103" s="13">
        <v>44256</v>
      </c>
      <c r="B103" s="4">
        <f>14.3201 * CHOOSE(CONTROL!$C$9, $C$13, 100%, $E$13) + CHOOSE(CONTROL!$C$28, 0.0226, 0)</f>
        <v>14.342700000000001</v>
      </c>
      <c r="C103" s="4">
        <f>13.9568 * CHOOSE(CONTROL!$C$9, $C$13, 100%, $E$13) + CHOOSE(CONTROL!$C$28, 0.0226, 0)</f>
        <v>13.9794</v>
      </c>
      <c r="D103" s="4">
        <f>22.0024 * CHOOSE(CONTROL!$C$9, $C$13, 100%, $E$13) + CHOOSE(CONTROL!$C$28, 0.0021, 0)</f>
        <v>22.0045</v>
      </c>
      <c r="E103" s="4">
        <f>91.7952623493072 * CHOOSE(CONTROL!$C$9, $C$13, 100%, $E$13) + CHOOSE(CONTROL!$C$28, 0.0021, 0)</f>
        <v>91.797362349307193</v>
      </c>
    </row>
    <row r="104" spans="1:5" ht="15">
      <c r="A104" s="13">
        <v>44287</v>
      </c>
      <c r="B104" s="4">
        <f>14.8726 * CHOOSE(CONTROL!$C$9, $C$13, 100%, $E$13) + CHOOSE(CONTROL!$C$28, 0.0226, 0)</f>
        <v>14.895200000000001</v>
      </c>
      <c r="C104" s="4">
        <f>14.5094 * CHOOSE(CONTROL!$C$9, $C$13, 100%, $E$13) + CHOOSE(CONTROL!$C$28, 0.0226, 0)</f>
        <v>14.532</v>
      </c>
      <c r="D104" s="4">
        <f>22.5905 * CHOOSE(CONTROL!$C$9, $C$13, 100%, $E$13) + CHOOSE(CONTROL!$C$28, 0.0021, 0)</f>
        <v>22.592599999999997</v>
      </c>
      <c r="E104" s="4">
        <f>95.5396454649725 * CHOOSE(CONTROL!$C$9, $C$13, 100%, $E$13) + CHOOSE(CONTROL!$C$28, 0.0021, 0)</f>
        <v>95.541745464972493</v>
      </c>
    </row>
    <row r="105" spans="1:5" ht="15">
      <c r="A105" s="13">
        <v>44317</v>
      </c>
      <c r="B105" s="4">
        <f>15.2103 * CHOOSE(CONTROL!$C$9, $C$13, 100%, $E$13) + CHOOSE(CONTROL!$C$28, 0.0226, 0)</f>
        <v>15.232900000000001</v>
      </c>
      <c r="C105" s="4">
        <f>14.847 * CHOOSE(CONTROL!$C$9, $C$13, 100%, $E$13) + CHOOSE(CONTROL!$C$28, 0.0226, 0)</f>
        <v>14.8696</v>
      </c>
      <c r="D105" s="4">
        <f>22.3581 * CHOOSE(CONTROL!$C$9, $C$13, 100%, $E$13) + CHOOSE(CONTROL!$C$28, 0.0021, 0)</f>
        <v>22.360199999999999</v>
      </c>
      <c r="E105" s="4">
        <f>97.8273738083053 * CHOOSE(CONTROL!$C$9, $C$13, 100%, $E$13) + CHOOSE(CONTROL!$C$28, 0.0021, 0)</f>
        <v>97.829473808305295</v>
      </c>
    </row>
    <row r="106" spans="1:5" ht="15">
      <c r="A106" s="13">
        <v>44348</v>
      </c>
      <c r="B106" s="4">
        <f>15.2559 * CHOOSE(CONTROL!$C$9, $C$13, 100%, $E$13) + CHOOSE(CONTROL!$C$28, 0.0226, 0)</f>
        <v>15.278500000000001</v>
      </c>
      <c r="C106" s="4">
        <f>14.8927 * CHOOSE(CONTROL!$C$9, $C$13, 100%, $E$13) + CHOOSE(CONTROL!$C$28, 0.0226, 0)</f>
        <v>14.9153</v>
      </c>
      <c r="D106" s="4">
        <f>22.5473 * CHOOSE(CONTROL!$C$9, $C$13, 100%, $E$13) + CHOOSE(CONTROL!$C$28, 0.0021, 0)</f>
        <v>22.549399999999999</v>
      </c>
      <c r="E106" s="4">
        <f>98.1369129474259 * CHOOSE(CONTROL!$C$9, $C$13, 100%, $E$13) + CHOOSE(CONTROL!$C$28, 0.0021, 0)</f>
        <v>98.139012947425897</v>
      </c>
    </row>
    <row r="107" spans="1:5" ht="15">
      <c r="A107" s="13">
        <v>44378</v>
      </c>
      <c r="B107" s="4">
        <f>15.2513 * CHOOSE(CONTROL!$C$9, $C$13, 100%, $E$13) + CHOOSE(CONTROL!$C$28, 0.0226, 0)</f>
        <v>15.273900000000001</v>
      </c>
      <c r="C107" s="4">
        <f>14.888 * CHOOSE(CONTROL!$C$9, $C$13, 100%, $E$13) + CHOOSE(CONTROL!$C$28, 0.0226, 0)</f>
        <v>14.910600000000001</v>
      </c>
      <c r="D107" s="4">
        <f>22.8888 * CHOOSE(CONTROL!$C$9, $C$13, 100%, $E$13) + CHOOSE(CONTROL!$C$28, 0.0021, 0)</f>
        <v>22.890899999999998</v>
      </c>
      <c r="E107" s="4">
        <f>98.1056989165903 * CHOOSE(CONTROL!$C$9, $C$13, 100%, $E$13) + CHOOSE(CONTROL!$C$28, 0.0021, 0)</f>
        <v>98.107798916590298</v>
      </c>
    </row>
    <row r="108" spans="1:5" ht="15">
      <c r="A108" s="13">
        <v>44409</v>
      </c>
      <c r="B108" s="4">
        <f>15.598 * CHOOSE(CONTROL!$C$9, $C$13, 100%, $E$13) + CHOOSE(CONTROL!$C$28, 0.0226, 0)</f>
        <v>15.620600000000001</v>
      </c>
      <c r="C108" s="4">
        <f>15.2347 * CHOOSE(CONTROL!$C$9, $C$13, 100%, $E$13) + CHOOSE(CONTROL!$C$28, 0.0226, 0)</f>
        <v>15.257300000000001</v>
      </c>
      <c r="D108" s="4">
        <f>22.6633 * CHOOSE(CONTROL!$C$9, $C$13, 100%, $E$13) + CHOOSE(CONTROL!$C$28, 0.0021, 0)</f>
        <v>22.665399999999998</v>
      </c>
      <c r="E108" s="4">
        <f>100.454554736976 * CHOOSE(CONTROL!$C$9, $C$13, 100%, $E$13) + CHOOSE(CONTROL!$C$28, 0.0021, 0)</f>
        <v>100.45665473697599</v>
      </c>
    </row>
    <row r="109" spans="1:5" ht="15">
      <c r="A109" s="13">
        <v>44440</v>
      </c>
      <c r="B109" s="4">
        <f>15.0072 * CHOOSE(CONTROL!$C$9, $C$13, 100%, $E$13) + CHOOSE(CONTROL!$C$28, 0.0226, 0)</f>
        <v>15.0298</v>
      </c>
      <c r="C109" s="4">
        <f>14.6439 * CHOOSE(CONTROL!$C$9, $C$13, 100%, $E$13) + CHOOSE(CONTROL!$C$28, 0.0226, 0)</f>
        <v>14.666500000000001</v>
      </c>
      <c r="D109" s="4">
        <f>22.5567 * CHOOSE(CONTROL!$C$9, $C$13, 100%, $E$13) + CHOOSE(CONTROL!$C$28, 0.0021, 0)</f>
        <v>22.558799999999998</v>
      </c>
      <c r="E109" s="4">
        <f>96.4513552822984 * CHOOSE(CONTROL!$C$9, $C$13, 100%, $E$13) + CHOOSE(CONTROL!$C$28, 0.0021, 0)</f>
        <v>96.453455282298393</v>
      </c>
    </row>
    <row r="110" spans="1:5" ht="15">
      <c r="A110" s="13">
        <v>44470</v>
      </c>
      <c r="B110" s="4">
        <f>14.5343 * CHOOSE(CONTROL!$C$9, $C$13, 100%, $E$13) + CHOOSE(CONTROL!$C$28, 0.0226, 0)</f>
        <v>14.556900000000001</v>
      </c>
      <c r="C110" s="4">
        <f>14.171 * CHOOSE(CONTROL!$C$9, $C$13, 100%, $E$13) + CHOOSE(CONTROL!$C$28, 0.0226, 0)</f>
        <v>14.1936</v>
      </c>
      <c r="D110" s="4">
        <f>22.2715 * CHOOSE(CONTROL!$C$9, $C$13, 100%, $E$13) + CHOOSE(CONTROL!$C$28, 0.0021, 0)</f>
        <v>22.273599999999998</v>
      </c>
      <c r="E110" s="4">
        <f>93.246714783167 * CHOOSE(CONTROL!$C$9, $C$13, 100%, $E$13) + CHOOSE(CONTROL!$C$28, 0.0021, 0)</f>
        <v>93.248814783166992</v>
      </c>
    </row>
    <row r="111" spans="1:5" ht="15">
      <c r="A111" s="13">
        <v>44501</v>
      </c>
      <c r="B111" s="4">
        <f>14.2297 * CHOOSE(CONTROL!$C$9, $C$13, 100%, $E$13) + CHOOSE(CONTROL!$C$28, 0.0226, 0)</f>
        <v>14.2523</v>
      </c>
      <c r="C111" s="4">
        <f>13.8664 * CHOOSE(CONTROL!$C$9, $C$13, 100%, $E$13) + CHOOSE(CONTROL!$C$28, 0.0226, 0)</f>
        <v>13.889000000000001</v>
      </c>
      <c r="D111" s="4">
        <f>22.1734 * CHOOSE(CONTROL!$C$9, $C$13, 100%, $E$13) + CHOOSE(CONTROL!$C$28, 0.0021, 0)</f>
        <v>22.1755</v>
      </c>
      <c r="E111" s="4">
        <f>91.1826869941567 * CHOOSE(CONTROL!$C$9, $C$13, 100%, $E$13) + CHOOSE(CONTROL!$C$28, 0.0021, 0)</f>
        <v>91.184786994156696</v>
      </c>
    </row>
    <row r="112" spans="1:5" ht="15">
      <c r="A112" s="13">
        <v>44531</v>
      </c>
      <c r="B112" s="4">
        <f>14.0189 * CHOOSE(CONTROL!$C$9, $C$13, 100%, $E$13) + CHOOSE(CONTROL!$C$28, 0.0226, 0)</f>
        <v>14.041500000000001</v>
      </c>
      <c r="C112" s="4">
        <f>13.6556 * CHOOSE(CONTROL!$C$9, $C$13, 100%, $E$13) + CHOOSE(CONTROL!$C$28, 0.0226, 0)</f>
        <v>13.6782</v>
      </c>
      <c r="D112" s="4">
        <f>21.4513 * CHOOSE(CONTROL!$C$9, $C$13, 100%, $E$13) + CHOOSE(CONTROL!$C$28, 0.0021, 0)</f>
        <v>21.453399999999998</v>
      </c>
      <c r="E112" s="4">
        <f>89.7546450834236 * CHOOSE(CONTROL!$C$9, $C$13, 100%, $E$13) + CHOOSE(CONTROL!$C$28, 0.0021, 0)</f>
        <v>89.756745083423596</v>
      </c>
    </row>
    <row r="113" spans="1:5" ht="15">
      <c r="A113" s="13">
        <v>44562</v>
      </c>
      <c r="B113" s="4">
        <f>13.7071 * CHOOSE(CONTROL!$C$9, $C$13, 100%, $E$13) + CHOOSE(CONTROL!$C$28, 0.0226, 0)</f>
        <v>13.729700000000001</v>
      </c>
      <c r="C113" s="4">
        <f>13.3438 * CHOOSE(CONTROL!$C$9, $C$13, 100%, $E$13) + CHOOSE(CONTROL!$C$28, 0.0226, 0)</f>
        <v>13.366400000000001</v>
      </c>
      <c r="D113" s="4">
        <f>21.5434 * CHOOSE(CONTROL!$C$9, $C$13, 100%, $E$13) + CHOOSE(CONTROL!$C$28, 0.0021, 0)</f>
        <v>21.545499999999997</v>
      </c>
      <c r="E113" s="4">
        <f>88.9441488391118 * CHOOSE(CONTROL!$C$9, $C$13, 100%, $E$13) + CHOOSE(CONTROL!$C$28, 0.0021, 0)</f>
        <v>88.946248839111803</v>
      </c>
    </row>
    <row r="114" spans="1:5" ht="15">
      <c r="A114" s="13">
        <v>44593</v>
      </c>
      <c r="B114" s="4">
        <f>14.0141 * CHOOSE(CONTROL!$C$9, $C$13, 100%, $E$13) + CHOOSE(CONTROL!$C$28, 0.0226, 0)</f>
        <v>14.0367</v>
      </c>
      <c r="C114" s="4">
        <f>13.6509 * CHOOSE(CONTROL!$C$9, $C$13, 100%, $E$13) + CHOOSE(CONTROL!$C$28, 0.0226, 0)</f>
        <v>13.673500000000001</v>
      </c>
      <c r="D114" s="4">
        <f>22.2384 * CHOOSE(CONTROL!$C$9, $C$13, 100%, $E$13) + CHOOSE(CONTROL!$C$28, 0.0021, 0)</f>
        <v>22.240499999999997</v>
      </c>
      <c r="E114" s="4">
        <f>91.0560334533882 * CHOOSE(CONTROL!$C$9, $C$13, 100%, $E$13) + CHOOSE(CONTROL!$C$28, 0.0021, 0)</f>
        <v>91.058133453388194</v>
      </c>
    </row>
    <row r="115" spans="1:5" ht="15">
      <c r="A115" s="13">
        <v>44621</v>
      </c>
      <c r="B115" s="4">
        <f>14.8206 * CHOOSE(CONTROL!$C$9, $C$13, 100%, $E$13) + CHOOSE(CONTROL!$C$28, 0.0226, 0)</f>
        <v>14.843200000000001</v>
      </c>
      <c r="C115" s="4">
        <f>14.4573 * CHOOSE(CONTROL!$C$9, $C$13, 100%, $E$13) + CHOOSE(CONTROL!$C$28, 0.0226, 0)</f>
        <v>14.479900000000001</v>
      </c>
      <c r="D115" s="4">
        <f>23.3264 * CHOOSE(CONTROL!$C$9, $C$13, 100%, $E$13) + CHOOSE(CONTROL!$C$28, 0.0021, 0)</f>
        <v>23.328499999999998</v>
      </c>
      <c r="E115" s="4">
        <f>96.6019546828423 * CHOOSE(CONTROL!$C$9, $C$13, 100%, $E$13) + CHOOSE(CONTROL!$C$28, 0.0021, 0)</f>
        <v>96.604054682842303</v>
      </c>
    </row>
    <row r="116" spans="1:5" ht="15">
      <c r="A116" s="13">
        <v>44652</v>
      </c>
      <c r="B116" s="4">
        <f>15.3936 * CHOOSE(CONTROL!$C$9, $C$13, 100%, $E$13) + CHOOSE(CONTROL!$C$28, 0.0226, 0)</f>
        <v>15.4162</v>
      </c>
      <c r="C116" s="4">
        <f>15.0303 * CHOOSE(CONTROL!$C$9, $C$13, 100%, $E$13) + CHOOSE(CONTROL!$C$28, 0.0226, 0)</f>
        <v>15.052900000000001</v>
      </c>
      <c r="D116" s="4">
        <f>23.9531 * CHOOSE(CONTROL!$C$9, $C$13, 100%, $E$13) + CHOOSE(CONTROL!$C$28, 0.0021, 0)</f>
        <v>23.955199999999998</v>
      </c>
      <c r="E116" s="4">
        <f>100.542405625488 * CHOOSE(CONTROL!$C$9, $C$13, 100%, $E$13) + CHOOSE(CONTROL!$C$28, 0.0021, 0)</f>
        <v>100.544505625488</v>
      </c>
    </row>
    <row r="117" spans="1:5" ht="15">
      <c r="A117" s="13">
        <v>44682</v>
      </c>
      <c r="B117" s="4">
        <f>15.7437 * CHOOSE(CONTROL!$C$9, $C$13, 100%, $E$13) + CHOOSE(CONTROL!$C$28, 0.0226, 0)</f>
        <v>15.766300000000001</v>
      </c>
      <c r="C117" s="4">
        <f>15.3804 * CHOOSE(CONTROL!$C$9, $C$13, 100%, $E$13) + CHOOSE(CONTROL!$C$28, 0.0226, 0)</f>
        <v>15.403</v>
      </c>
      <c r="D117" s="4">
        <f>23.7055 * CHOOSE(CONTROL!$C$9, $C$13, 100%, $E$13) + CHOOSE(CONTROL!$C$28, 0.0021, 0)</f>
        <v>23.707599999999999</v>
      </c>
      <c r="E117" s="4">
        <f>102.949926712015 * CHOOSE(CONTROL!$C$9, $C$13, 100%, $E$13) + CHOOSE(CONTROL!$C$28, 0.0021, 0)</f>
        <v>102.952026712015</v>
      </c>
    </row>
    <row r="118" spans="1:5" ht="15">
      <c r="A118" s="13">
        <v>44713</v>
      </c>
      <c r="B118" s="4">
        <f>15.791 * CHOOSE(CONTROL!$C$9, $C$13, 100%, $E$13) + CHOOSE(CONTROL!$C$28, 0.0226, 0)</f>
        <v>15.813600000000001</v>
      </c>
      <c r="C118" s="4">
        <f>15.4278 * CHOOSE(CONTROL!$C$9, $C$13, 100%, $E$13) + CHOOSE(CONTROL!$C$28, 0.0226, 0)</f>
        <v>15.4504</v>
      </c>
      <c r="D118" s="4">
        <f>23.9071 * CHOOSE(CONTROL!$C$9, $C$13, 100%, $E$13) + CHOOSE(CONTROL!$C$28, 0.0021, 0)</f>
        <v>23.909199999999998</v>
      </c>
      <c r="E118" s="4">
        <f>103.27567430644 * CHOOSE(CONTROL!$C$9, $C$13, 100%, $E$13) + CHOOSE(CONTROL!$C$28, 0.0021, 0)</f>
        <v>103.27777430643999</v>
      </c>
    </row>
    <row r="119" spans="1:5" ht="15">
      <c r="A119" s="13">
        <v>44743</v>
      </c>
      <c r="B119" s="4">
        <f>15.7863 * CHOOSE(CONTROL!$C$9, $C$13, 100%, $E$13) + CHOOSE(CONTROL!$C$28, 0.0226, 0)</f>
        <v>15.808900000000001</v>
      </c>
      <c r="C119" s="4">
        <f>15.423 * CHOOSE(CONTROL!$C$9, $C$13, 100%, $E$13) + CHOOSE(CONTROL!$C$28, 0.0226, 0)</f>
        <v>15.445600000000001</v>
      </c>
      <c r="D119" s="4">
        <f>24.2711 * CHOOSE(CONTROL!$C$9, $C$13, 100%, $E$13) + CHOOSE(CONTROL!$C$28, 0.0021, 0)</f>
        <v>24.273199999999999</v>
      </c>
      <c r="E119" s="4">
        <f>103.242825809523 * CHOOSE(CONTROL!$C$9, $C$13, 100%, $E$13) + CHOOSE(CONTROL!$C$28, 0.0021, 0)</f>
        <v>103.244925809523</v>
      </c>
    </row>
    <row r="120" spans="1:5" ht="15">
      <c r="A120" s="13">
        <v>44774</v>
      </c>
      <c r="B120" s="4">
        <f>16.1457 * CHOOSE(CONTROL!$C$9, $C$13, 100%, $E$13) + CHOOSE(CONTROL!$C$28, 0.0226, 0)</f>
        <v>16.168300000000002</v>
      </c>
      <c r="C120" s="4">
        <f>15.7824 * CHOOSE(CONTROL!$C$9, $C$13, 100%, $E$13) + CHOOSE(CONTROL!$C$28, 0.0226, 0)</f>
        <v>15.805000000000001</v>
      </c>
      <c r="D120" s="4">
        <f>24.0307 * CHOOSE(CONTROL!$C$9, $C$13, 100%, $E$13) + CHOOSE(CONTROL!$C$28, 0.0021, 0)</f>
        <v>24.032799999999998</v>
      </c>
      <c r="E120" s="4">
        <f>105.714675202513 * CHOOSE(CONTROL!$C$9, $C$13, 100%, $E$13) + CHOOSE(CONTROL!$C$28, 0.0021, 0)</f>
        <v>105.71677520251301</v>
      </c>
    </row>
    <row r="121" spans="1:5" ht="15">
      <c r="A121" s="13">
        <v>44805</v>
      </c>
      <c r="B121" s="4">
        <f>15.5331 * CHOOSE(CONTROL!$C$9, $C$13, 100%, $E$13) + CHOOSE(CONTROL!$C$28, 0.0226, 0)</f>
        <v>15.5557</v>
      </c>
      <c r="C121" s="4">
        <f>15.1698 * CHOOSE(CONTROL!$C$9, $C$13, 100%, $E$13) + CHOOSE(CONTROL!$C$28, 0.0226, 0)</f>
        <v>15.192400000000001</v>
      </c>
      <c r="D121" s="4">
        <f>23.9172 * CHOOSE(CONTROL!$C$9, $C$13, 100%, $E$13) + CHOOSE(CONTROL!$C$28, 0.0021, 0)</f>
        <v>23.9193</v>
      </c>
      <c r="E121" s="4">
        <f>101.501855472933 * CHOOSE(CONTROL!$C$9, $C$13, 100%, $E$13) + CHOOSE(CONTROL!$C$28, 0.0021, 0)</f>
        <v>101.503955472933</v>
      </c>
    </row>
    <row r="122" spans="1:5" ht="15">
      <c r="A122" s="13">
        <v>44835</v>
      </c>
      <c r="B122" s="4">
        <f>15.0427 * CHOOSE(CONTROL!$C$9, $C$13, 100%, $E$13) + CHOOSE(CONTROL!$C$28, 0.0226, 0)</f>
        <v>15.065300000000001</v>
      </c>
      <c r="C122" s="4">
        <f>14.6794 * CHOOSE(CONTROL!$C$9, $C$13, 100%, $E$13) + CHOOSE(CONTROL!$C$28, 0.0226, 0)</f>
        <v>14.702</v>
      </c>
      <c r="D122" s="4">
        <f>23.6131 * CHOOSE(CONTROL!$C$9, $C$13, 100%, $E$13) + CHOOSE(CONTROL!$C$28, 0.0021, 0)</f>
        <v>23.615199999999998</v>
      </c>
      <c r="E122" s="4">
        <f>98.1294097894738 * CHOOSE(CONTROL!$C$9, $C$13, 100%, $E$13) + CHOOSE(CONTROL!$C$28, 0.0021, 0)</f>
        <v>98.131509789473796</v>
      </c>
    </row>
    <row r="123" spans="1:5" ht="15">
      <c r="A123" s="13">
        <v>44866</v>
      </c>
      <c r="B123" s="4">
        <f>14.7269 * CHOOSE(CONTROL!$C$9, $C$13, 100%, $E$13) + CHOOSE(CONTROL!$C$28, 0.0226, 0)</f>
        <v>14.749500000000001</v>
      </c>
      <c r="C123" s="4">
        <f>14.3636 * CHOOSE(CONTROL!$C$9, $C$13, 100%, $E$13) + CHOOSE(CONTROL!$C$28, 0.0226, 0)</f>
        <v>14.386200000000001</v>
      </c>
      <c r="D123" s="4">
        <f>23.5086 * CHOOSE(CONTROL!$C$9, $C$13, 100%, $E$13) + CHOOSE(CONTROL!$C$28, 0.0021, 0)</f>
        <v>23.5107</v>
      </c>
      <c r="E123" s="4">
        <f>95.95730293085 * CHOOSE(CONTROL!$C$9, $C$13, 100%, $E$13) + CHOOSE(CONTROL!$C$28, 0.0021, 0)</f>
        <v>95.959402930850004</v>
      </c>
    </row>
    <row r="124" spans="1:5" ht="15">
      <c r="A124" s="13">
        <v>44896</v>
      </c>
      <c r="B124" s="4">
        <f>14.5083 * CHOOSE(CONTROL!$C$9, $C$13, 100%, $E$13) + CHOOSE(CONTROL!$C$28, 0.0226, 0)</f>
        <v>14.530900000000001</v>
      </c>
      <c r="C124" s="4">
        <f>14.145 * CHOOSE(CONTROL!$C$9, $C$13, 100%, $E$13) + CHOOSE(CONTROL!$C$28, 0.0226, 0)</f>
        <v>14.1676</v>
      </c>
      <c r="D124" s="4">
        <f>22.7391 * CHOOSE(CONTROL!$C$9, $C$13, 100%, $E$13) + CHOOSE(CONTROL!$C$28, 0.0021, 0)</f>
        <v>22.741199999999999</v>
      </c>
      <c r="E124" s="4">
        <f>94.4544841969061 * CHOOSE(CONTROL!$C$9, $C$13, 100%, $E$13) + CHOOSE(CONTROL!$C$28, 0.0021, 0)</f>
        <v>94.456584196906093</v>
      </c>
    </row>
    <row r="125" spans="1:5" ht="15">
      <c r="A125" s="13">
        <v>44927</v>
      </c>
      <c r="B125" s="4">
        <f>14.4068 * CHOOSE(CONTROL!$C$9, $C$13, 100%, $E$13) + CHOOSE(CONTROL!$C$28, 0.0226, 0)</f>
        <v>14.429400000000001</v>
      </c>
      <c r="C125" s="4">
        <f>14.0435 * CHOOSE(CONTROL!$C$9, $C$13, 100%, $E$13) + CHOOSE(CONTROL!$C$28, 0.0226, 0)</f>
        <v>14.0661</v>
      </c>
      <c r="D125" s="4">
        <f>22.5763 * CHOOSE(CONTROL!$C$9, $C$13, 100%, $E$13) + CHOOSE(CONTROL!$C$28, 0.0021, 0)</f>
        <v>22.578399999999998</v>
      </c>
      <c r="E125" s="4">
        <f>93.3638902668918 * CHOOSE(CONTROL!$C$9, $C$13, 100%, $E$13) + CHOOSE(CONTROL!$C$28, 0.0021, 0)</f>
        <v>93.365990266891799</v>
      </c>
    </row>
    <row r="126" spans="1:5" ht="15">
      <c r="A126" s="13">
        <v>44958</v>
      </c>
      <c r="B126" s="4">
        <f>14.7305 * CHOOSE(CONTROL!$C$9, $C$13, 100%, $E$13) + CHOOSE(CONTROL!$C$28, 0.0226, 0)</f>
        <v>14.7531</v>
      </c>
      <c r="C126" s="4">
        <f>14.3672 * CHOOSE(CONTROL!$C$9, $C$13, 100%, $E$13) + CHOOSE(CONTROL!$C$28, 0.0226, 0)</f>
        <v>14.389800000000001</v>
      </c>
      <c r="D126" s="4">
        <f>23.3077 * CHOOSE(CONTROL!$C$9, $C$13, 100%, $E$13) + CHOOSE(CONTROL!$C$28, 0.0021, 0)</f>
        <v>23.309799999999999</v>
      </c>
      <c r="E126" s="4">
        <f>95.5807169604644 * CHOOSE(CONTROL!$C$9, $C$13, 100%, $E$13) + CHOOSE(CONTROL!$C$28, 0.0021, 0)</f>
        <v>95.582816960464399</v>
      </c>
    </row>
    <row r="127" spans="1:5" ht="15">
      <c r="A127" s="13">
        <v>44986</v>
      </c>
      <c r="B127" s="4">
        <f>15.5806 * CHOOSE(CONTROL!$C$9, $C$13, 100%, $E$13) + CHOOSE(CONTROL!$C$28, 0.0226, 0)</f>
        <v>15.603200000000001</v>
      </c>
      <c r="C127" s="4">
        <f>15.2173 * CHOOSE(CONTROL!$C$9, $C$13, 100%, $E$13) + CHOOSE(CONTROL!$C$28, 0.0226, 0)</f>
        <v>15.2399</v>
      </c>
      <c r="D127" s="4">
        <f>24.4527 * CHOOSE(CONTROL!$C$9, $C$13, 100%, $E$13) + CHOOSE(CONTROL!$C$28, 0.0021, 0)</f>
        <v>24.454799999999999</v>
      </c>
      <c r="E127" s="4">
        <f>101.402221667111 * CHOOSE(CONTROL!$C$9, $C$13, 100%, $E$13) + CHOOSE(CONTROL!$C$28, 0.0021, 0)</f>
        <v>101.40432166711099</v>
      </c>
    </row>
    <row r="128" spans="1:5" ht="15">
      <c r="A128" s="13">
        <v>45017</v>
      </c>
      <c r="B128" s="4">
        <f>16.1846 * CHOOSE(CONTROL!$C$9, $C$13, 100%, $E$13) + CHOOSE(CONTROL!$C$28, 0.0226, 0)</f>
        <v>16.2072</v>
      </c>
      <c r="C128" s="4">
        <f>15.8213 * CHOOSE(CONTROL!$C$9, $C$13, 100%, $E$13) + CHOOSE(CONTROL!$C$28, 0.0226, 0)</f>
        <v>15.843900000000001</v>
      </c>
      <c r="D128" s="4">
        <f>25.1123 * CHOOSE(CONTROL!$C$9, $C$13, 100%, $E$13) + CHOOSE(CONTROL!$C$28, 0.0021, 0)</f>
        <v>25.1144</v>
      </c>
      <c r="E128" s="4">
        <f>105.538478342935 * CHOOSE(CONTROL!$C$9, $C$13, 100%, $E$13) + CHOOSE(CONTROL!$C$28, 0.0021, 0)</f>
        <v>105.54057834293499</v>
      </c>
    </row>
    <row r="129" spans="1:5" ht="15">
      <c r="A129" s="13">
        <v>45047</v>
      </c>
      <c r="B129" s="4">
        <f>16.5536 * CHOOSE(CONTROL!$C$9, $C$13, 100%, $E$13) + CHOOSE(CONTROL!$C$28, 0.0226, 0)</f>
        <v>16.5762</v>
      </c>
      <c r="C129" s="4">
        <f>16.1903 * CHOOSE(CONTROL!$C$9, $C$13, 100%, $E$13) + CHOOSE(CONTROL!$C$28, 0.0226, 0)</f>
        <v>16.212900000000001</v>
      </c>
      <c r="D129" s="4">
        <f>24.8517 * CHOOSE(CONTROL!$C$9, $C$13, 100%, $E$13) + CHOOSE(CONTROL!$C$28, 0.0021, 0)</f>
        <v>24.8538</v>
      </c>
      <c r="E129" s="4">
        <f>108.065632039626 * CHOOSE(CONTROL!$C$9, $C$13, 100%, $E$13) + CHOOSE(CONTROL!$C$28, 0.0021, 0)</f>
        <v>108.06773203962599</v>
      </c>
    </row>
    <row r="130" spans="1:5" ht="15">
      <c r="A130" s="13">
        <v>45078</v>
      </c>
      <c r="B130" s="4">
        <f>16.6036 * CHOOSE(CONTROL!$C$9, $C$13, 100%, $E$13) + CHOOSE(CONTROL!$C$28, 0.0226, 0)</f>
        <v>16.626200000000001</v>
      </c>
      <c r="C130" s="4">
        <f>16.2403 * CHOOSE(CONTROL!$C$9, $C$13, 100%, $E$13) + CHOOSE(CONTROL!$C$28, 0.0226, 0)</f>
        <v>16.262900000000002</v>
      </c>
      <c r="D130" s="4">
        <f>25.0639 * CHOOSE(CONTROL!$C$9, $C$13, 100%, $E$13) + CHOOSE(CONTROL!$C$28, 0.0021, 0)</f>
        <v>25.065999999999999</v>
      </c>
      <c r="E130" s="4">
        <f>108.407566422691 * CHOOSE(CONTROL!$C$9, $C$13, 100%, $E$13) + CHOOSE(CONTROL!$C$28, 0.0021, 0)</f>
        <v>108.409666422691</v>
      </c>
    </row>
    <row r="131" spans="1:5" ht="15">
      <c r="A131" s="13">
        <v>45108</v>
      </c>
      <c r="B131" s="4">
        <f>16.5985 * CHOOSE(CONTROL!$C$9, $C$13, 100%, $E$13) + CHOOSE(CONTROL!$C$28, 0.0226, 0)</f>
        <v>16.621100000000002</v>
      </c>
      <c r="C131" s="4">
        <f>16.2352 * CHOOSE(CONTROL!$C$9, $C$13, 100%, $E$13) + CHOOSE(CONTROL!$C$28, 0.0226, 0)</f>
        <v>16.2578</v>
      </c>
      <c r="D131" s="4">
        <f>25.4469 * CHOOSE(CONTROL!$C$9, $C$13, 100%, $E$13) + CHOOSE(CONTROL!$C$28, 0.0021, 0)</f>
        <v>25.448999999999998</v>
      </c>
      <c r="E131" s="4">
        <f>108.373085644567 * CHOOSE(CONTROL!$C$9, $C$13, 100%, $E$13) + CHOOSE(CONTROL!$C$28, 0.0021, 0)</f>
        <v>108.375185644567</v>
      </c>
    </row>
    <row r="132" spans="1:5" ht="15">
      <c r="A132" s="13">
        <v>45139</v>
      </c>
      <c r="B132" s="4">
        <f>16.9774 * CHOOSE(CONTROL!$C$9, $C$13, 100%, $E$13) + CHOOSE(CONTROL!$C$28, 0.0226, 0)</f>
        <v>17</v>
      </c>
      <c r="C132" s="4">
        <f>16.6141 * CHOOSE(CONTROL!$C$9, $C$13, 100%, $E$13) + CHOOSE(CONTROL!$C$28, 0.0226, 0)</f>
        <v>16.636700000000001</v>
      </c>
      <c r="D132" s="4">
        <f>25.194 * CHOOSE(CONTROL!$C$9, $C$13, 100%, $E$13) + CHOOSE(CONTROL!$C$28, 0.0021, 0)</f>
        <v>25.196099999999998</v>
      </c>
      <c r="E132" s="4">
        <f>110.967764198418 * CHOOSE(CONTROL!$C$9, $C$13, 100%, $E$13) + CHOOSE(CONTROL!$C$28, 0.0021, 0)</f>
        <v>110.96986419841799</v>
      </c>
    </row>
    <row r="133" spans="1:5" ht="15">
      <c r="A133" s="13">
        <v>45170</v>
      </c>
      <c r="B133" s="4">
        <f>16.3317 * CHOOSE(CONTROL!$C$9, $C$13, 100%, $E$13) + CHOOSE(CONTROL!$C$28, 0.0226, 0)</f>
        <v>16.354300000000002</v>
      </c>
      <c r="C133" s="4">
        <f>15.9684 * CHOOSE(CONTROL!$C$9, $C$13, 100%, $E$13) + CHOOSE(CONTROL!$C$28, 0.0226, 0)</f>
        <v>15.991000000000001</v>
      </c>
      <c r="D133" s="4">
        <f>25.0745 * CHOOSE(CONTROL!$C$9, $C$13, 100%, $E$13) + CHOOSE(CONTROL!$C$28, 0.0021, 0)</f>
        <v>25.076599999999999</v>
      </c>
      <c r="E133" s="4">
        <f>106.545604403981 * CHOOSE(CONTROL!$C$9, $C$13, 100%, $E$13) + CHOOSE(CONTROL!$C$28, 0.0021, 0)</f>
        <v>106.547704403981</v>
      </c>
    </row>
    <row r="134" spans="1:5" ht="15">
      <c r="A134" s="13">
        <v>45200</v>
      </c>
      <c r="B134" s="4">
        <f>15.8147 * CHOOSE(CONTROL!$C$9, $C$13, 100%, $E$13) + CHOOSE(CONTROL!$C$28, 0.0226, 0)</f>
        <v>15.837300000000001</v>
      </c>
      <c r="C134" s="4">
        <f>15.4514 * CHOOSE(CONTROL!$C$9, $C$13, 100%, $E$13) + CHOOSE(CONTROL!$C$28, 0.0226, 0)</f>
        <v>15.474</v>
      </c>
      <c r="D134" s="4">
        <f>24.7545 * CHOOSE(CONTROL!$C$9, $C$13, 100%, $E$13) + CHOOSE(CONTROL!$C$28, 0.0021, 0)</f>
        <v>24.756599999999999</v>
      </c>
      <c r="E134" s="4">
        <f>103.00557784989 * CHOOSE(CONTROL!$C$9, $C$13, 100%, $E$13) + CHOOSE(CONTROL!$C$28, 0.0021, 0)</f>
        <v>103.00767784989</v>
      </c>
    </row>
    <row r="135" spans="1:5" ht="15">
      <c r="A135" s="13">
        <v>45231</v>
      </c>
      <c r="B135" s="4">
        <f>15.4818 * CHOOSE(CONTROL!$C$9, $C$13, 100%, $E$13) + CHOOSE(CONTROL!$C$28, 0.0226, 0)</f>
        <v>15.5044</v>
      </c>
      <c r="C135" s="4">
        <f>15.1185 * CHOOSE(CONTROL!$C$9, $C$13, 100%, $E$13) + CHOOSE(CONTROL!$C$28, 0.0226, 0)</f>
        <v>15.1411</v>
      </c>
      <c r="D135" s="4">
        <f>24.6445 * CHOOSE(CONTROL!$C$9, $C$13, 100%, $E$13) + CHOOSE(CONTROL!$C$28, 0.0021, 0)</f>
        <v>24.646599999999999</v>
      </c>
      <c r="E135" s="4">
        <f>100.725536396423 * CHOOSE(CONTROL!$C$9, $C$13, 100%, $E$13) + CHOOSE(CONTROL!$C$28, 0.0021, 0)</f>
        <v>100.72763639642299</v>
      </c>
    </row>
    <row r="136" spans="1:5" ht="15">
      <c r="A136" s="13">
        <v>45261</v>
      </c>
      <c r="B136" s="4">
        <f>15.2514 * CHOOSE(CONTROL!$C$9, $C$13, 100%, $E$13) + CHOOSE(CONTROL!$C$28, 0.0226, 0)</f>
        <v>15.274000000000001</v>
      </c>
      <c r="C136" s="4">
        <f>14.8882 * CHOOSE(CONTROL!$C$9, $C$13, 100%, $E$13) + CHOOSE(CONTROL!$C$28, 0.0226, 0)</f>
        <v>14.9108</v>
      </c>
      <c r="D136" s="4">
        <f>23.8346 * CHOOSE(CONTROL!$C$9, $C$13, 100%, $E$13) + CHOOSE(CONTROL!$C$28, 0.0021, 0)</f>
        <v>23.836699999999997</v>
      </c>
      <c r="E136" s="4">
        <f>99.1480407972374 * CHOOSE(CONTROL!$C$9, $C$13, 100%, $E$13) + CHOOSE(CONTROL!$C$28, 0.0021, 0)</f>
        <v>99.150140797237398</v>
      </c>
    </row>
    <row r="137" spans="1:5" ht="15">
      <c r="A137" s="13">
        <v>45292</v>
      </c>
      <c r="B137" s="4">
        <f>15.2078 * CHOOSE(CONTROL!$C$9, $C$13, 100%, $E$13) + CHOOSE(CONTROL!$C$28, 0.0226, 0)</f>
        <v>15.230400000000001</v>
      </c>
      <c r="C137" s="4">
        <f>14.8445 * CHOOSE(CONTROL!$C$9, $C$13, 100%, $E$13) + CHOOSE(CONTROL!$C$28, 0.0226, 0)</f>
        <v>14.867100000000001</v>
      </c>
      <c r="D137" s="4">
        <f>23.5178 * CHOOSE(CONTROL!$C$9, $C$13, 100%, $E$13) + CHOOSE(CONTROL!$C$28, 0.0021, 0)</f>
        <v>23.5199</v>
      </c>
      <c r="E137" s="4">
        <f>97.7541963203445 * CHOOSE(CONTROL!$C$9, $C$13, 100%, $E$13) + CHOOSE(CONTROL!$C$28, 0.0021, 0)</f>
        <v>97.756296320344504</v>
      </c>
    </row>
    <row r="138" spans="1:5" ht="15">
      <c r="A138" s="13">
        <v>45323</v>
      </c>
      <c r="B138" s="4">
        <f>15.5505 * CHOOSE(CONTROL!$C$9, $C$13, 100%, $E$13) + CHOOSE(CONTROL!$C$28, 0.0226, 0)</f>
        <v>15.5731</v>
      </c>
      <c r="C138" s="4">
        <f>15.1873 * CHOOSE(CONTROL!$C$9, $C$13, 100%, $E$13) + CHOOSE(CONTROL!$C$28, 0.0226, 0)</f>
        <v>15.209900000000001</v>
      </c>
      <c r="D138" s="4">
        <f>24.2825 * CHOOSE(CONTROL!$C$9, $C$13, 100%, $E$13) + CHOOSE(CONTROL!$C$28, 0.0021, 0)</f>
        <v>24.284599999999998</v>
      </c>
      <c r="E138" s="4">
        <f>100.075266181425 * CHOOSE(CONTROL!$C$9, $C$13, 100%, $E$13) + CHOOSE(CONTROL!$C$28, 0.0021, 0)</f>
        <v>100.07736618142499</v>
      </c>
    </row>
    <row r="139" spans="1:5" ht="15">
      <c r="A139" s="13">
        <v>45352</v>
      </c>
      <c r="B139" s="4">
        <f>16.4506 * CHOOSE(CONTROL!$C$9, $C$13, 100%, $E$13) + CHOOSE(CONTROL!$C$28, 0.0226, 0)</f>
        <v>16.473200000000002</v>
      </c>
      <c r="C139" s="4">
        <f>16.0873 * CHOOSE(CONTROL!$C$9, $C$13, 100%, $E$13) + CHOOSE(CONTROL!$C$28, 0.0226, 0)</f>
        <v>16.1099</v>
      </c>
      <c r="D139" s="4">
        <f>25.4795 * CHOOSE(CONTROL!$C$9, $C$13, 100%, $E$13) + CHOOSE(CONTROL!$C$28, 0.0021, 0)</f>
        <v>25.4816</v>
      </c>
      <c r="E139" s="4">
        <f>106.170518985765 * CHOOSE(CONTROL!$C$9, $C$13, 100%, $E$13) + CHOOSE(CONTROL!$C$28, 0.0021, 0)</f>
        <v>106.172618985765</v>
      </c>
    </row>
    <row r="140" spans="1:5" ht="15">
      <c r="A140" s="13">
        <v>45383</v>
      </c>
      <c r="B140" s="4">
        <f>17.0901 * CHOOSE(CONTROL!$C$9, $C$13, 100%, $E$13) + CHOOSE(CONTROL!$C$28, 0.0226, 0)</f>
        <v>17.1127</v>
      </c>
      <c r="C140" s="4">
        <f>16.7268 * CHOOSE(CONTROL!$C$9, $C$13, 100%, $E$13) + CHOOSE(CONTROL!$C$28, 0.0226, 0)</f>
        <v>16.749400000000001</v>
      </c>
      <c r="D140" s="4">
        <f>26.1691 * CHOOSE(CONTROL!$C$9, $C$13, 100%, $E$13) + CHOOSE(CONTROL!$C$28, 0.0021, 0)</f>
        <v>26.171199999999999</v>
      </c>
      <c r="E140" s="4">
        <f>110.501277333172 * CHOOSE(CONTROL!$C$9, $C$13, 100%, $E$13) + CHOOSE(CONTROL!$C$28, 0.0021, 0)</f>
        <v>110.503377333172</v>
      </c>
    </row>
    <row r="141" spans="1:5" ht="15">
      <c r="A141" s="13">
        <v>45413</v>
      </c>
      <c r="B141" s="4">
        <f>17.4808 * CHOOSE(CONTROL!$C$9, $C$13, 100%, $E$13) + CHOOSE(CONTROL!$C$28, 0.0226, 0)</f>
        <v>17.503399999999999</v>
      </c>
      <c r="C141" s="4">
        <f>17.1175 * CHOOSE(CONTROL!$C$9, $C$13, 100%, $E$13) + CHOOSE(CONTROL!$C$28, 0.0226, 0)</f>
        <v>17.1401</v>
      </c>
      <c r="D141" s="4">
        <f>25.8966 * CHOOSE(CONTROL!$C$9, $C$13, 100%, $E$13) + CHOOSE(CONTROL!$C$28, 0.0021, 0)</f>
        <v>25.898699999999998</v>
      </c>
      <c r="E141" s="4">
        <f>113.147266889646 * CHOOSE(CONTROL!$C$9, $C$13, 100%, $E$13) + CHOOSE(CONTROL!$C$28, 0.0021, 0)</f>
        <v>113.149366889646</v>
      </c>
    </row>
    <row r="142" spans="1:5" ht="15">
      <c r="A142" s="13">
        <v>45444</v>
      </c>
      <c r="B142" s="4">
        <f>17.5336 * CHOOSE(CONTROL!$C$9, $C$13, 100%, $E$13) + CHOOSE(CONTROL!$C$28, 0.0226, 0)</f>
        <v>17.5562</v>
      </c>
      <c r="C142" s="4">
        <f>17.1703 * CHOOSE(CONTROL!$C$9, $C$13, 100%, $E$13) + CHOOSE(CONTROL!$C$28, 0.0226, 0)</f>
        <v>17.192900000000002</v>
      </c>
      <c r="D142" s="4">
        <f>26.1185 * CHOOSE(CONTROL!$C$9, $C$13, 100%, $E$13) + CHOOSE(CONTROL!$C$28, 0.0021, 0)</f>
        <v>26.1206</v>
      </c>
      <c r="E142" s="4">
        <f>113.50528025772 * CHOOSE(CONTROL!$C$9, $C$13, 100%, $E$13) + CHOOSE(CONTROL!$C$28, 0.0021, 0)</f>
        <v>113.50738025772</v>
      </c>
    </row>
    <row r="143" spans="1:5" ht="15">
      <c r="A143" s="13">
        <v>45474</v>
      </c>
      <c r="B143" s="4">
        <f>17.5283 * CHOOSE(CONTROL!$C$9, $C$13, 100%, $E$13) + CHOOSE(CONTROL!$C$28, 0.0226, 0)</f>
        <v>17.550900000000002</v>
      </c>
      <c r="C143" s="4">
        <f>17.165 * CHOOSE(CONTROL!$C$9, $C$13, 100%, $E$13) + CHOOSE(CONTROL!$C$28, 0.0226, 0)</f>
        <v>17.1876</v>
      </c>
      <c r="D143" s="4">
        <f>26.5189 * CHOOSE(CONTROL!$C$9, $C$13, 100%, $E$13) + CHOOSE(CONTROL!$C$28, 0.0021, 0)</f>
        <v>26.520999999999997</v>
      </c>
      <c r="E143" s="4">
        <f>113.469178069343 * CHOOSE(CONTROL!$C$9, $C$13, 100%, $E$13) + CHOOSE(CONTROL!$C$28, 0.0021, 0)</f>
        <v>113.471278069343</v>
      </c>
    </row>
    <row r="144" spans="1:5" ht="15">
      <c r="A144" s="13">
        <v>45505</v>
      </c>
      <c r="B144" s="4">
        <f>17.9294 * CHOOSE(CONTROL!$C$9, $C$13, 100%, $E$13) + CHOOSE(CONTROL!$C$28, 0.0226, 0)</f>
        <v>17.952000000000002</v>
      </c>
      <c r="C144" s="4">
        <f>17.5662 * CHOOSE(CONTROL!$C$9, $C$13, 100%, $E$13) + CHOOSE(CONTROL!$C$28, 0.0226, 0)</f>
        <v>17.588799999999999</v>
      </c>
      <c r="D144" s="4">
        <f>26.2545 * CHOOSE(CONTROL!$C$9, $C$13, 100%, $E$13) + CHOOSE(CONTROL!$C$28, 0.0021, 0)</f>
        <v>26.256599999999999</v>
      </c>
      <c r="E144" s="4">
        <f>116.185867744722 * CHOOSE(CONTROL!$C$9, $C$13, 100%, $E$13) + CHOOSE(CONTROL!$C$28, 0.0021, 0)</f>
        <v>116.187967744722</v>
      </c>
    </row>
    <row r="145" spans="1:5" ht="15">
      <c r="A145" s="13">
        <v>45536</v>
      </c>
      <c r="B145" s="4">
        <f>17.2458 * CHOOSE(CONTROL!$C$9, $C$13, 100%, $E$13) + CHOOSE(CONTROL!$C$28, 0.0226, 0)</f>
        <v>17.2684</v>
      </c>
      <c r="C145" s="4">
        <f>16.8825 * CHOOSE(CONTROL!$C$9, $C$13, 100%, $E$13) + CHOOSE(CONTROL!$C$28, 0.0226, 0)</f>
        <v>16.905100000000001</v>
      </c>
      <c r="D145" s="4">
        <f>26.1295 * CHOOSE(CONTROL!$C$9, $C$13, 100%, $E$13) + CHOOSE(CONTROL!$C$28, 0.0021, 0)</f>
        <v>26.131599999999999</v>
      </c>
      <c r="E145" s="4">
        <f>111.555762085354 * CHOOSE(CONTROL!$C$9, $C$13, 100%, $E$13) + CHOOSE(CONTROL!$C$28, 0.0021, 0)</f>
        <v>111.557862085354</v>
      </c>
    </row>
    <row r="146" spans="1:5" ht="15">
      <c r="A146" s="13">
        <v>45566</v>
      </c>
      <c r="B146" s="4">
        <f>16.6985 * CHOOSE(CONTROL!$C$9, $C$13, 100%, $E$13) + CHOOSE(CONTROL!$C$28, 0.0226, 0)</f>
        <v>16.7211</v>
      </c>
      <c r="C146" s="4">
        <f>16.3352 * CHOOSE(CONTROL!$C$9, $C$13, 100%, $E$13) + CHOOSE(CONTROL!$C$28, 0.0226, 0)</f>
        <v>16.357800000000001</v>
      </c>
      <c r="D146" s="4">
        <f>25.795 * CHOOSE(CONTROL!$C$9, $C$13, 100%, $E$13) + CHOOSE(CONTROL!$C$28, 0.0021, 0)</f>
        <v>25.7971</v>
      </c>
      <c r="E146" s="4">
        <f>107.849270745302 * CHOOSE(CONTROL!$C$9, $C$13, 100%, $E$13) + CHOOSE(CONTROL!$C$28, 0.0021, 0)</f>
        <v>107.85137074530199</v>
      </c>
    </row>
    <row r="147" spans="1:5" ht="15">
      <c r="A147" s="13">
        <v>45597</v>
      </c>
      <c r="B147" s="4">
        <f>16.346 * CHOOSE(CONTROL!$C$9, $C$13, 100%, $E$13) + CHOOSE(CONTROL!$C$28, 0.0226, 0)</f>
        <v>16.368600000000001</v>
      </c>
      <c r="C147" s="4">
        <f>15.9827 * CHOOSE(CONTROL!$C$9, $C$13, 100%, $E$13) + CHOOSE(CONTROL!$C$28, 0.0226, 0)</f>
        <v>16.005299999999998</v>
      </c>
      <c r="D147" s="4">
        <f>25.68 * CHOOSE(CONTROL!$C$9, $C$13, 100%, $E$13) + CHOOSE(CONTROL!$C$28, 0.0021, 0)</f>
        <v>25.682099999999998</v>
      </c>
      <c r="E147" s="4">
        <f>105.462013538863 * CHOOSE(CONTROL!$C$9, $C$13, 100%, $E$13) + CHOOSE(CONTROL!$C$28, 0.0021, 0)</f>
        <v>105.464113538863</v>
      </c>
    </row>
    <row r="148" spans="1:5" ht="15">
      <c r="A148" s="13">
        <v>45627</v>
      </c>
      <c r="B148" s="4">
        <f>16.1021 * CHOOSE(CONTROL!$C$9, $C$13, 100%, $E$13) + CHOOSE(CONTROL!$C$28, 0.0226, 0)</f>
        <v>16.124700000000001</v>
      </c>
      <c r="C148" s="4">
        <f>15.7388 * CHOOSE(CONTROL!$C$9, $C$13, 100%, $E$13) + CHOOSE(CONTROL!$C$28, 0.0226, 0)</f>
        <v>15.7614</v>
      </c>
      <c r="D148" s="4">
        <f>24.8333 * CHOOSE(CONTROL!$C$9, $C$13, 100%, $E$13) + CHOOSE(CONTROL!$C$28, 0.0021, 0)</f>
        <v>24.8354</v>
      </c>
      <c r="E148" s="4">
        <f>103.810338420609 * CHOOSE(CONTROL!$C$9, $C$13, 100%, $E$13) + CHOOSE(CONTROL!$C$28, 0.0021, 0)</f>
        <v>103.812438420609</v>
      </c>
    </row>
    <row r="149" spans="1:5" ht="15">
      <c r="A149" s="13">
        <v>45658</v>
      </c>
      <c r="B149" s="4">
        <f>16.4846 * CHOOSE(CONTROL!$C$9, $C$13, 100%, $E$13) + CHOOSE(CONTROL!$C$28, 0.0226, 0)</f>
        <v>16.507200000000001</v>
      </c>
      <c r="C149" s="4">
        <f>16.1213 * CHOOSE(CONTROL!$C$9, $C$13, 100%, $E$13) + CHOOSE(CONTROL!$C$28, 0.0226, 0)</f>
        <v>16.143900000000002</v>
      </c>
      <c r="D149" s="4">
        <f>24.5842 * CHOOSE(CONTROL!$C$9, $C$13, 100%, $E$13) + CHOOSE(CONTROL!$C$28, 0.0021, 0)</f>
        <v>24.586299999999998</v>
      </c>
      <c r="E149" s="4">
        <f>103.043424545844 * CHOOSE(CONTROL!$C$9, $C$13, 100%, $E$13) + CHOOSE(CONTROL!$C$28, 0.0021, 0)</f>
        <v>103.045524545844</v>
      </c>
    </row>
    <row r="150" spans="1:5" ht="15">
      <c r="A150" s="13">
        <v>45689</v>
      </c>
      <c r="B150" s="4">
        <f>16.8576 * CHOOSE(CONTROL!$C$9, $C$13, 100%, $E$13) + CHOOSE(CONTROL!$C$28, 0.0226, 0)</f>
        <v>16.880200000000002</v>
      </c>
      <c r="C150" s="4">
        <f>16.4943 * CHOOSE(CONTROL!$C$9, $C$13, 100%, $E$13) + CHOOSE(CONTROL!$C$28, 0.0226, 0)</f>
        <v>16.5169</v>
      </c>
      <c r="D150" s="4">
        <f>25.3865 * CHOOSE(CONTROL!$C$9, $C$13, 100%, $E$13) + CHOOSE(CONTROL!$C$28, 0.0021, 0)</f>
        <v>25.3886</v>
      </c>
      <c r="E150" s="4">
        <f>105.490081529367 * CHOOSE(CONTROL!$C$9, $C$13, 100%, $E$13) + CHOOSE(CONTROL!$C$28, 0.0021, 0)</f>
        <v>105.492181529367</v>
      </c>
    </row>
    <row r="151" spans="1:5" ht="15">
      <c r="A151" s="13">
        <v>45717</v>
      </c>
      <c r="B151" s="4">
        <f>17.8372 * CHOOSE(CONTROL!$C$9, $C$13, 100%, $E$13) + CHOOSE(CONTROL!$C$28, 0.0226, 0)</f>
        <v>17.8598</v>
      </c>
      <c r="C151" s="4">
        <f>17.474 * CHOOSE(CONTROL!$C$9, $C$13, 100%, $E$13) + CHOOSE(CONTROL!$C$28, 0.0226, 0)</f>
        <v>17.496600000000001</v>
      </c>
      <c r="D151" s="4">
        <f>26.6425 * CHOOSE(CONTROL!$C$9, $C$13, 100%, $E$13) + CHOOSE(CONTROL!$C$28, 0.0021, 0)</f>
        <v>26.644599999999997</v>
      </c>
      <c r="E151" s="4">
        <f>111.915132791347 * CHOOSE(CONTROL!$C$9, $C$13, 100%, $E$13) + CHOOSE(CONTROL!$C$28, 0.0021, 0)</f>
        <v>111.917232791347</v>
      </c>
    </row>
    <row r="152" spans="1:5" ht="15">
      <c r="A152" s="13">
        <v>45748</v>
      </c>
      <c r="B152" s="4">
        <f>18.5333 * CHOOSE(CONTROL!$C$9, $C$13, 100%, $E$13) + CHOOSE(CONTROL!$C$28, 0.0226, 0)</f>
        <v>18.555900000000001</v>
      </c>
      <c r="C152" s="4">
        <f>18.17 * CHOOSE(CONTROL!$C$9, $C$13, 100%, $E$13) + CHOOSE(CONTROL!$C$28, 0.0226, 0)</f>
        <v>18.192600000000002</v>
      </c>
      <c r="D152" s="4">
        <f>27.3659 * CHOOSE(CONTROL!$C$9, $C$13, 100%, $E$13) + CHOOSE(CONTROL!$C$28, 0.0021, 0)</f>
        <v>27.367999999999999</v>
      </c>
      <c r="E152" s="4">
        <f>116.48021733805 * CHOOSE(CONTROL!$C$9, $C$13, 100%, $E$13) + CHOOSE(CONTROL!$C$28, 0.0021, 0)</f>
        <v>116.48231733805</v>
      </c>
    </row>
    <row r="153" spans="1:5" ht="15">
      <c r="A153" s="13">
        <v>45778</v>
      </c>
      <c r="B153" s="4">
        <f>18.9585 * CHOOSE(CONTROL!$C$9, $C$13, 100%, $E$13) + CHOOSE(CONTROL!$C$28, 0.0226, 0)</f>
        <v>18.981100000000001</v>
      </c>
      <c r="C153" s="4">
        <f>18.5953 * CHOOSE(CONTROL!$C$9, $C$13, 100%, $E$13) + CHOOSE(CONTROL!$C$28, 0.0226, 0)</f>
        <v>18.617900000000002</v>
      </c>
      <c r="D153" s="4">
        <f>27.08 * CHOOSE(CONTROL!$C$9, $C$13, 100%, $E$13) + CHOOSE(CONTROL!$C$28, 0.0021, 0)</f>
        <v>27.082099999999997</v>
      </c>
      <c r="E153" s="4">
        <f>119.269374586279 * CHOOSE(CONTROL!$C$9, $C$13, 100%, $E$13) + CHOOSE(CONTROL!$C$28, 0.0021, 0)</f>
        <v>119.271474586279</v>
      </c>
    </row>
    <row r="154" spans="1:5" ht="15">
      <c r="A154" s="13">
        <v>45809</v>
      </c>
      <c r="B154" s="4">
        <f>19.0161 * CHOOSE(CONTROL!$C$9, $C$13, 100%, $E$13) + CHOOSE(CONTROL!$C$28, 0.0226, 0)</f>
        <v>19.038700000000002</v>
      </c>
      <c r="C154" s="4">
        <f>18.6528 * CHOOSE(CONTROL!$C$9, $C$13, 100%, $E$13) + CHOOSE(CONTROL!$C$28, 0.0226, 0)</f>
        <v>18.6754</v>
      </c>
      <c r="D154" s="4">
        <f>27.3129 * CHOOSE(CONTROL!$C$9, $C$13, 100%, $E$13) + CHOOSE(CONTROL!$C$28, 0.0021, 0)</f>
        <v>27.314999999999998</v>
      </c>
      <c r="E154" s="4">
        <f>119.646759137204 * CHOOSE(CONTROL!$C$9, $C$13, 100%, $E$13) + CHOOSE(CONTROL!$C$28, 0.0021, 0)</f>
        <v>119.648859137204</v>
      </c>
    </row>
    <row r="155" spans="1:5" ht="15">
      <c r="A155" s="13">
        <v>45839</v>
      </c>
      <c r="B155" s="4">
        <f>19.0103 * CHOOSE(CONTROL!$C$9, $C$13, 100%, $E$13) + CHOOSE(CONTROL!$C$28, 0.0226, 0)</f>
        <v>19.032900000000001</v>
      </c>
      <c r="C155" s="4">
        <f>18.647 * CHOOSE(CONTROL!$C$9, $C$13, 100%, $E$13) + CHOOSE(CONTROL!$C$28, 0.0226, 0)</f>
        <v>18.669599999999999</v>
      </c>
      <c r="D155" s="4">
        <f>27.733 * CHOOSE(CONTROL!$C$9, $C$13, 100%, $E$13) + CHOOSE(CONTROL!$C$28, 0.0021, 0)</f>
        <v>27.735099999999999</v>
      </c>
      <c r="E155" s="4">
        <f>119.608703552237 * CHOOSE(CONTROL!$C$9, $C$13, 100%, $E$13) + CHOOSE(CONTROL!$C$28, 0.0021, 0)</f>
        <v>119.610803552237</v>
      </c>
    </row>
    <row r="156" spans="1:5" ht="15">
      <c r="A156" s="13">
        <v>45870</v>
      </c>
      <c r="B156" s="4">
        <f>19.4469 * CHOOSE(CONTROL!$C$9, $C$13, 100%, $E$13) + CHOOSE(CONTROL!$C$28, 0.0226, 0)</f>
        <v>19.4695</v>
      </c>
      <c r="C156" s="4">
        <f>19.0836 * CHOOSE(CONTROL!$C$9, $C$13, 100%, $E$13) + CHOOSE(CONTROL!$C$28, 0.0226, 0)</f>
        <v>19.106200000000001</v>
      </c>
      <c r="D156" s="4">
        <f>27.4555 * CHOOSE(CONTROL!$C$9, $C$13, 100%, $E$13) + CHOOSE(CONTROL!$C$28, 0.0021, 0)</f>
        <v>27.457599999999999</v>
      </c>
      <c r="E156" s="4">
        <f>122.472386321027 * CHOOSE(CONTROL!$C$9, $C$13, 100%, $E$13) + CHOOSE(CONTROL!$C$28, 0.0021, 0)</f>
        <v>122.474486321027</v>
      </c>
    </row>
    <row r="157" spans="1:5" ht="15">
      <c r="A157" s="13">
        <v>45901</v>
      </c>
      <c r="B157" s="4">
        <f>18.7028 * CHOOSE(CONTROL!$C$9, $C$13, 100%, $E$13) + CHOOSE(CONTROL!$C$28, 0.0226, 0)</f>
        <v>18.7254</v>
      </c>
      <c r="C157" s="4">
        <f>18.3395 * CHOOSE(CONTROL!$C$9, $C$13, 100%, $E$13) + CHOOSE(CONTROL!$C$28, 0.0226, 0)</f>
        <v>18.362100000000002</v>
      </c>
      <c r="D157" s="4">
        <f>27.3245 * CHOOSE(CONTROL!$C$9, $C$13, 100%, $E$13) + CHOOSE(CONTROL!$C$28, 0.0021, 0)</f>
        <v>27.326599999999999</v>
      </c>
      <c r="E157" s="4">
        <f>117.59175754897 * CHOOSE(CONTROL!$C$9, $C$13, 100%, $E$13) + CHOOSE(CONTROL!$C$28, 0.0021, 0)</f>
        <v>117.59385754896999</v>
      </c>
    </row>
    <row r="158" spans="1:5" ht="15">
      <c r="A158" s="13">
        <v>45931</v>
      </c>
      <c r="B158" s="4">
        <f>18.1071 * CHOOSE(CONTROL!$C$9, $C$13, 100%, $E$13) + CHOOSE(CONTROL!$C$28, 0.0226, 0)</f>
        <v>18.1297</v>
      </c>
      <c r="C158" s="4">
        <f>17.7438 * CHOOSE(CONTROL!$C$9, $C$13, 100%, $E$13) + CHOOSE(CONTROL!$C$28, 0.0226, 0)</f>
        <v>17.766400000000001</v>
      </c>
      <c r="D158" s="4">
        <f>26.9735 * CHOOSE(CONTROL!$C$9, $C$13, 100%, $E$13) + CHOOSE(CONTROL!$C$28, 0.0021, 0)</f>
        <v>26.9756</v>
      </c>
      <c r="E158" s="4">
        <f>113.684717492327 * CHOOSE(CONTROL!$C$9, $C$13, 100%, $E$13) + CHOOSE(CONTROL!$C$28, 0.0021, 0)</f>
        <v>113.68681749232699</v>
      </c>
    </row>
    <row r="159" spans="1:5" ht="15">
      <c r="A159" s="13">
        <v>45962</v>
      </c>
      <c r="B159" s="4">
        <f>17.7234 * CHOOSE(CONTROL!$C$9, $C$13, 100%, $E$13) + CHOOSE(CONTROL!$C$28, 0.0226, 0)</f>
        <v>17.746000000000002</v>
      </c>
      <c r="C159" s="4">
        <f>17.3601 * CHOOSE(CONTROL!$C$9, $C$13, 100%, $E$13) + CHOOSE(CONTROL!$C$28, 0.0226, 0)</f>
        <v>17.3827</v>
      </c>
      <c r="D159" s="4">
        <f>26.8528 * CHOOSE(CONTROL!$C$9, $C$13, 100%, $E$13) + CHOOSE(CONTROL!$C$28, 0.0021, 0)</f>
        <v>26.854899999999997</v>
      </c>
      <c r="E159" s="4">
        <f>111.168291936364 * CHOOSE(CONTROL!$C$9, $C$13, 100%, $E$13) + CHOOSE(CONTROL!$C$28, 0.0021, 0)</f>
        <v>111.170391936364</v>
      </c>
    </row>
    <row r="160" spans="1:5" ht="15">
      <c r="A160" s="13">
        <v>45992</v>
      </c>
      <c r="B160" s="4">
        <f>17.4579 * CHOOSE(CONTROL!$C$9, $C$13, 100%, $E$13) + CHOOSE(CONTROL!$C$28, 0.0226, 0)</f>
        <v>17.480499999999999</v>
      </c>
      <c r="C160" s="4">
        <f>17.0946 * CHOOSE(CONTROL!$C$9, $C$13, 100%, $E$13) + CHOOSE(CONTROL!$C$28, 0.0226, 0)</f>
        <v>17.1172</v>
      </c>
      <c r="D160" s="4">
        <f>25.9644 * CHOOSE(CONTROL!$C$9, $C$13, 100%, $E$13) + CHOOSE(CONTROL!$C$28, 0.0021, 0)</f>
        <v>25.9665</v>
      </c>
      <c r="E160" s="4">
        <f>109.42724892411 * CHOOSE(CONTROL!$C$9, $C$13, 100%, $E$13) + CHOOSE(CONTROL!$C$28, 0.0021, 0)</f>
        <v>109.42934892411</v>
      </c>
    </row>
    <row r="161" spans="1:5" ht="15">
      <c r="A161" s="13">
        <v>46023</v>
      </c>
      <c r="B161" s="4">
        <f>17.0076 * CHOOSE(CONTROL!$C$9, $C$13, 100%, $E$13) + CHOOSE(CONTROL!$C$28, 0.0226, 0)</f>
        <v>17.030200000000001</v>
      </c>
      <c r="C161" s="4">
        <f>16.6443 * CHOOSE(CONTROL!$C$9, $C$13, 100%, $E$13) + CHOOSE(CONTROL!$C$28, 0.0226, 0)</f>
        <v>16.666900000000002</v>
      </c>
      <c r="D161" s="4">
        <f>25.2705 * CHOOSE(CONTROL!$C$9, $C$13, 100%, $E$13) + CHOOSE(CONTROL!$C$28, 0.0021, 0)</f>
        <v>25.272599999999997</v>
      </c>
      <c r="E161" s="4">
        <f>106.523313892914 * CHOOSE(CONTROL!$C$9, $C$13, 100%, $E$13) + CHOOSE(CONTROL!$C$28, 0.0021, 0)</f>
        <v>106.525413892914</v>
      </c>
    </row>
    <row r="162" spans="1:5" ht="15">
      <c r="A162" s="13">
        <v>46054</v>
      </c>
      <c r="B162" s="4">
        <f>17.393 * CHOOSE(CONTROL!$C$9, $C$13, 100%, $E$13) + CHOOSE(CONTROL!$C$28, 0.0226, 0)</f>
        <v>17.415600000000001</v>
      </c>
      <c r="C162" s="4">
        <f>17.0297 * CHOOSE(CONTROL!$C$9, $C$13, 100%, $E$13) + CHOOSE(CONTROL!$C$28, 0.0226, 0)</f>
        <v>17.052299999999999</v>
      </c>
      <c r="D162" s="4">
        <f>26.0971 * CHOOSE(CONTROL!$C$9, $C$13, 100%, $E$13) + CHOOSE(CONTROL!$C$28, 0.0021, 0)</f>
        <v>26.0992</v>
      </c>
      <c r="E162" s="4">
        <f>109.052597163465 * CHOOSE(CONTROL!$C$9, $C$13, 100%, $E$13) + CHOOSE(CONTROL!$C$28, 0.0021, 0)</f>
        <v>109.05469716346499</v>
      </c>
    </row>
    <row r="163" spans="1:5" ht="15">
      <c r="A163" s="13">
        <v>46082</v>
      </c>
      <c r="B163" s="4">
        <f>18.4053 * CHOOSE(CONTROL!$C$9, $C$13, 100%, $E$13) + CHOOSE(CONTROL!$C$28, 0.0226, 0)</f>
        <v>18.427900000000001</v>
      </c>
      <c r="C163" s="4">
        <f>18.042 * CHOOSE(CONTROL!$C$9, $C$13, 100%, $E$13) + CHOOSE(CONTROL!$C$28, 0.0226, 0)</f>
        <v>18.064600000000002</v>
      </c>
      <c r="D163" s="4">
        <f>27.391 * CHOOSE(CONTROL!$C$9, $C$13, 100%, $E$13) + CHOOSE(CONTROL!$C$28, 0.0021, 0)</f>
        <v>27.393099999999997</v>
      </c>
      <c r="E163" s="4">
        <f>115.694629446209 * CHOOSE(CONTROL!$C$9, $C$13, 100%, $E$13) + CHOOSE(CONTROL!$C$28, 0.0021, 0)</f>
        <v>115.69672944620901</v>
      </c>
    </row>
    <row r="164" spans="1:5" ht="15">
      <c r="A164" s="13">
        <v>46113</v>
      </c>
      <c r="B164" s="4">
        <f>19.1245 * CHOOSE(CONTROL!$C$9, $C$13, 100%, $E$13) + CHOOSE(CONTROL!$C$28, 0.0226, 0)</f>
        <v>19.147100000000002</v>
      </c>
      <c r="C164" s="4">
        <f>18.7612 * CHOOSE(CONTROL!$C$9, $C$13, 100%, $E$13) + CHOOSE(CONTROL!$C$28, 0.0226, 0)</f>
        <v>18.783799999999999</v>
      </c>
      <c r="D164" s="4">
        <f>28.1363 * CHOOSE(CONTROL!$C$9, $C$13, 100%, $E$13) + CHOOSE(CONTROL!$C$28, 0.0021, 0)</f>
        <v>28.138399999999997</v>
      </c>
      <c r="E164" s="4">
        <f>120.413881899816 * CHOOSE(CONTROL!$C$9, $C$13, 100%, $E$13) + CHOOSE(CONTROL!$C$28, 0.0021, 0)</f>
        <v>120.415981899816</v>
      </c>
    </row>
    <row r="165" spans="1:5" ht="15">
      <c r="A165" s="13">
        <v>46143</v>
      </c>
      <c r="B165" s="4">
        <f>19.5639 * CHOOSE(CONTROL!$C$9, $C$13, 100%, $E$13) + CHOOSE(CONTROL!$C$28, 0.0226, 0)</f>
        <v>19.586500000000001</v>
      </c>
      <c r="C165" s="4">
        <f>19.2006 * CHOOSE(CONTROL!$C$9, $C$13, 100%, $E$13) + CHOOSE(CONTROL!$C$28, 0.0226, 0)</f>
        <v>19.223200000000002</v>
      </c>
      <c r="D165" s="4">
        <f>27.8418 * CHOOSE(CONTROL!$C$9, $C$13, 100%, $E$13) + CHOOSE(CONTROL!$C$28, 0.0021, 0)</f>
        <v>27.843899999999998</v>
      </c>
      <c r="E165" s="4">
        <f>123.297232044275 * CHOOSE(CONTROL!$C$9, $C$13, 100%, $E$13) + CHOOSE(CONTROL!$C$28, 0.0021, 0)</f>
        <v>123.299332044275</v>
      </c>
    </row>
    <row r="166" spans="1:5" ht="15">
      <c r="A166" s="13">
        <v>46174</v>
      </c>
      <c r="B166" s="4">
        <f>19.6234 * CHOOSE(CONTROL!$C$9, $C$13, 100%, $E$13) + CHOOSE(CONTROL!$C$28, 0.0226, 0)</f>
        <v>19.646000000000001</v>
      </c>
      <c r="C166" s="4">
        <f>19.2601 * CHOOSE(CONTROL!$C$9, $C$13, 100%, $E$13) + CHOOSE(CONTROL!$C$28, 0.0226, 0)</f>
        <v>19.282700000000002</v>
      </c>
      <c r="D166" s="4">
        <f>28.0816 * CHOOSE(CONTROL!$C$9, $C$13, 100%, $E$13) + CHOOSE(CONTROL!$C$28, 0.0021, 0)</f>
        <v>28.0837</v>
      </c>
      <c r="E166" s="4">
        <f>123.687361284969 * CHOOSE(CONTROL!$C$9, $C$13, 100%, $E$13) + CHOOSE(CONTROL!$C$28, 0.0021, 0)</f>
        <v>123.689461284969</v>
      </c>
    </row>
    <row r="167" spans="1:5" ht="15">
      <c r="A167" s="13">
        <v>46204</v>
      </c>
      <c r="B167" s="4">
        <f>19.6174 * CHOOSE(CONTROL!$C$9, $C$13, 100%, $E$13) + CHOOSE(CONTROL!$C$28, 0.0226, 0)</f>
        <v>19.64</v>
      </c>
      <c r="C167" s="4">
        <f>19.2541 * CHOOSE(CONTROL!$C$9, $C$13, 100%, $E$13) + CHOOSE(CONTROL!$C$28, 0.0226, 0)</f>
        <v>19.276700000000002</v>
      </c>
      <c r="D167" s="4">
        <f>28.5144 * CHOOSE(CONTROL!$C$9, $C$13, 100%, $E$13) + CHOOSE(CONTROL!$C$28, 0.0021, 0)</f>
        <v>28.516499999999997</v>
      </c>
      <c r="E167" s="4">
        <f>123.648020521202 * CHOOSE(CONTROL!$C$9, $C$13, 100%, $E$13) + CHOOSE(CONTROL!$C$28, 0.0021, 0)</f>
        <v>123.650120521202</v>
      </c>
    </row>
    <row r="168" spans="1:5" ht="15">
      <c r="A168" s="13">
        <v>46235</v>
      </c>
      <c r="B168" s="4">
        <f>20.0685 * CHOOSE(CONTROL!$C$9, $C$13, 100%, $E$13) + CHOOSE(CONTROL!$C$28, 0.0226, 0)</f>
        <v>20.091100000000001</v>
      </c>
      <c r="C168" s="4">
        <f>19.7052 * CHOOSE(CONTROL!$C$9, $C$13, 100%, $E$13) + CHOOSE(CONTROL!$C$28, 0.0226, 0)</f>
        <v>19.727800000000002</v>
      </c>
      <c r="D168" s="4">
        <f>28.2286 * CHOOSE(CONTROL!$C$9, $C$13, 100%, $E$13) + CHOOSE(CONTROL!$C$28, 0.0021, 0)</f>
        <v>28.230699999999999</v>
      </c>
      <c r="E168" s="4">
        <f>126.608412994705 * CHOOSE(CONTROL!$C$9, $C$13, 100%, $E$13) + CHOOSE(CONTROL!$C$28, 0.0021, 0)</f>
        <v>126.610512994705</v>
      </c>
    </row>
    <row r="169" spans="1:5" ht="15">
      <c r="A169" s="13">
        <v>46266</v>
      </c>
      <c r="B169" s="4">
        <f>19.2996 * CHOOSE(CONTROL!$C$9, $C$13, 100%, $E$13) + CHOOSE(CONTROL!$C$28, 0.0226, 0)</f>
        <v>19.322200000000002</v>
      </c>
      <c r="C169" s="4">
        <f>18.9363 * CHOOSE(CONTROL!$C$9, $C$13, 100%, $E$13) + CHOOSE(CONTROL!$C$28, 0.0226, 0)</f>
        <v>18.9589</v>
      </c>
      <c r="D169" s="4">
        <f>28.0936 * CHOOSE(CONTROL!$C$9, $C$13, 100%, $E$13) + CHOOSE(CONTROL!$C$28, 0.0021, 0)</f>
        <v>28.095699999999997</v>
      </c>
      <c r="E169" s="4">
        <f>121.562960041525 * CHOOSE(CONTROL!$C$9, $C$13, 100%, $E$13) + CHOOSE(CONTROL!$C$28, 0.0021, 0)</f>
        <v>121.565060041525</v>
      </c>
    </row>
    <row r="170" spans="1:5" ht="15">
      <c r="A170" s="13">
        <v>46296</v>
      </c>
      <c r="B170" s="4">
        <f>18.6841 * CHOOSE(CONTROL!$C$9, $C$13, 100%, $E$13) + CHOOSE(CONTROL!$C$28, 0.0226, 0)</f>
        <v>18.706700000000001</v>
      </c>
      <c r="C170" s="4">
        <f>18.3208 * CHOOSE(CONTROL!$C$9, $C$13, 100%, $E$13) + CHOOSE(CONTROL!$C$28, 0.0226, 0)</f>
        <v>18.343399999999999</v>
      </c>
      <c r="D170" s="4">
        <f>27.732 * CHOOSE(CONTROL!$C$9, $C$13, 100%, $E$13) + CHOOSE(CONTROL!$C$28, 0.0021, 0)</f>
        <v>27.734099999999998</v>
      </c>
      <c r="E170" s="4">
        <f>117.523974961397 * CHOOSE(CONTROL!$C$9, $C$13, 100%, $E$13) + CHOOSE(CONTROL!$C$28, 0.0021, 0)</f>
        <v>117.526074961397</v>
      </c>
    </row>
    <row r="171" spans="1:5" ht="15">
      <c r="A171" s="13">
        <v>46327</v>
      </c>
      <c r="B171" s="4">
        <f>18.2876 * CHOOSE(CONTROL!$C$9, $C$13, 100%, $E$13) + CHOOSE(CONTROL!$C$28, 0.0226, 0)</f>
        <v>18.310200000000002</v>
      </c>
      <c r="C171" s="4">
        <f>17.9243 * CHOOSE(CONTROL!$C$9, $C$13, 100%, $E$13) + CHOOSE(CONTROL!$C$28, 0.0226, 0)</f>
        <v>17.946899999999999</v>
      </c>
      <c r="D171" s="4">
        <f>27.6077 * CHOOSE(CONTROL!$C$9, $C$13, 100%, $E$13) + CHOOSE(CONTROL!$C$28, 0.0021, 0)</f>
        <v>27.6098</v>
      </c>
      <c r="E171" s="4">
        <f>114.922566957272 * CHOOSE(CONTROL!$C$9, $C$13, 100%, $E$13) + CHOOSE(CONTROL!$C$28, 0.0021, 0)</f>
        <v>114.924666957272</v>
      </c>
    </row>
    <row r="172" spans="1:5" ht="15">
      <c r="A172" s="13">
        <v>46357</v>
      </c>
      <c r="B172" s="4">
        <f>18.0133 * CHOOSE(CONTROL!$C$9, $C$13, 100%, $E$13) + CHOOSE(CONTROL!$C$28, 0.0226, 0)</f>
        <v>18.035900000000002</v>
      </c>
      <c r="C172" s="4">
        <f>17.65 * CHOOSE(CONTROL!$C$9, $C$13, 100%, $E$13) + CHOOSE(CONTROL!$C$28, 0.0226, 0)</f>
        <v>17.672599999999999</v>
      </c>
      <c r="D172" s="4">
        <f>26.6925 * CHOOSE(CONTROL!$C$9, $C$13, 100%, $E$13) + CHOOSE(CONTROL!$C$28, 0.0021, 0)</f>
        <v>26.694599999999998</v>
      </c>
      <c r="E172" s="4">
        <f>113.122727014909 * CHOOSE(CONTROL!$C$9, $C$13, 100%, $E$13) + CHOOSE(CONTROL!$C$28, 0.0021, 0)</f>
        <v>113.124827014909</v>
      </c>
    </row>
    <row r="173" spans="1:5" ht="15">
      <c r="A173" s="13">
        <v>46388</v>
      </c>
      <c r="B173" s="4">
        <f>17.5427 * CHOOSE(CONTROL!$C$9, $C$13, 100%, $E$13) + CHOOSE(CONTROL!$C$28, 0.0226, 0)</f>
        <v>17.565300000000001</v>
      </c>
      <c r="C173" s="4">
        <f>17.1794 * CHOOSE(CONTROL!$C$9, $C$13, 100%, $E$13) + CHOOSE(CONTROL!$C$28, 0.0226, 0)</f>
        <v>17.202000000000002</v>
      </c>
      <c r="D173" s="4">
        <f>25.9547 * CHOOSE(CONTROL!$C$9, $C$13, 100%, $E$13) + CHOOSE(CONTROL!$C$28, 0.0021, 0)</f>
        <v>25.956799999999998</v>
      </c>
      <c r="E173" s="4">
        <f>109.999132976477 * CHOOSE(CONTROL!$C$9, $C$13, 100%, $E$13) + CHOOSE(CONTROL!$C$28, 0.0021, 0)</f>
        <v>110.001232976477</v>
      </c>
    </row>
    <row r="174" spans="1:5" ht="15">
      <c r="A174" s="13">
        <v>46419</v>
      </c>
      <c r="B174" s="4">
        <f>17.9408 * CHOOSE(CONTROL!$C$9, $C$13, 100%, $E$13) + CHOOSE(CONTROL!$C$28, 0.0226, 0)</f>
        <v>17.9634</v>
      </c>
      <c r="C174" s="4">
        <f>17.5776 * CHOOSE(CONTROL!$C$9, $C$13, 100%, $E$13) + CHOOSE(CONTROL!$C$28, 0.0226, 0)</f>
        <v>17.600200000000001</v>
      </c>
      <c r="D174" s="4">
        <f>26.8054 * CHOOSE(CONTROL!$C$9, $C$13, 100%, $E$13) + CHOOSE(CONTROL!$C$28, 0.0021, 0)</f>
        <v>26.807499999999997</v>
      </c>
      <c r="E174" s="4">
        <f>112.61094588996 * CHOOSE(CONTROL!$C$9, $C$13, 100%, $E$13) + CHOOSE(CONTROL!$C$28, 0.0021, 0)</f>
        <v>112.61304588996001</v>
      </c>
    </row>
    <row r="175" spans="1:5" ht="15">
      <c r="A175" s="13">
        <v>46447</v>
      </c>
      <c r="B175" s="4">
        <f>18.9865 * CHOOSE(CONTROL!$C$9, $C$13, 100%, $E$13) + CHOOSE(CONTROL!$C$28, 0.0226, 0)</f>
        <v>19.0091</v>
      </c>
      <c r="C175" s="4">
        <f>18.6232 * CHOOSE(CONTROL!$C$9, $C$13, 100%, $E$13) + CHOOSE(CONTROL!$C$28, 0.0226, 0)</f>
        <v>18.645800000000001</v>
      </c>
      <c r="D175" s="4">
        <f>28.1371 * CHOOSE(CONTROL!$C$9, $C$13, 100%, $E$13) + CHOOSE(CONTROL!$C$28, 0.0021, 0)</f>
        <v>28.139199999999999</v>
      </c>
      <c r="E175" s="4">
        <f>119.469705400935 * CHOOSE(CONTROL!$C$9, $C$13, 100%, $E$13) + CHOOSE(CONTROL!$C$28, 0.0021, 0)</f>
        <v>119.471805400935</v>
      </c>
    </row>
    <row r="176" spans="1:5" ht="15">
      <c r="A176" s="13">
        <v>46478</v>
      </c>
      <c r="B176" s="4">
        <f>19.7294 * CHOOSE(CONTROL!$C$9, $C$13, 100%, $E$13) + CHOOSE(CONTROL!$C$28, 0.0226, 0)</f>
        <v>19.751999999999999</v>
      </c>
      <c r="C176" s="4">
        <f>19.3661 * CHOOSE(CONTROL!$C$9, $C$13, 100%, $E$13) + CHOOSE(CONTROL!$C$28, 0.0226, 0)</f>
        <v>19.3887</v>
      </c>
      <c r="D176" s="4">
        <f>28.9041 * CHOOSE(CONTROL!$C$9, $C$13, 100%, $E$13) + CHOOSE(CONTROL!$C$28, 0.0021, 0)</f>
        <v>28.906199999999998</v>
      </c>
      <c r="E176" s="4">
        <f>124.342945438471 * CHOOSE(CONTROL!$C$9, $C$13, 100%, $E$13) + CHOOSE(CONTROL!$C$28, 0.0021, 0)</f>
        <v>124.345045438471</v>
      </c>
    </row>
    <row r="177" spans="1:5" ht="15">
      <c r="A177" s="13">
        <v>46508</v>
      </c>
      <c r="B177" s="4">
        <f>20.1833 * CHOOSE(CONTROL!$C$9, $C$13, 100%, $E$13) + CHOOSE(CONTROL!$C$28, 0.0226, 0)</f>
        <v>20.2059</v>
      </c>
      <c r="C177" s="4">
        <f>19.82 * CHOOSE(CONTROL!$C$9, $C$13, 100%, $E$13) + CHOOSE(CONTROL!$C$28, 0.0226, 0)</f>
        <v>19.842600000000001</v>
      </c>
      <c r="D177" s="4">
        <f>28.601 * CHOOSE(CONTROL!$C$9, $C$13, 100%, $E$13) + CHOOSE(CONTROL!$C$28, 0.0021, 0)</f>
        <v>28.603099999999998</v>
      </c>
      <c r="E177" s="4">
        <f>127.320378306142 * CHOOSE(CONTROL!$C$9, $C$13, 100%, $E$13) + CHOOSE(CONTROL!$C$28, 0.0021, 0)</f>
        <v>127.322478306142</v>
      </c>
    </row>
    <row r="178" spans="1:5" ht="15">
      <c r="A178" s="13">
        <v>46539</v>
      </c>
      <c r="B178" s="4">
        <f>20.2447 * CHOOSE(CONTROL!$C$9, $C$13, 100%, $E$13) + CHOOSE(CONTROL!$C$28, 0.0226, 0)</f>
        <v>20.267300000000002</v>
      </c>
      <c r="C178" s="4">
        <f>19.8814 * CHOOSE(CONTROL!$C$9, $C$13, 100%, $E$13) + CHOOSE(CONTROL!$C$28, 0.0226, 0)</f>
        <v>19.904</v>
      </c>
      <c r="D178" s="4">
        <f>28.8479 * CHOOSE(CONTROL!$C$9, $C$13, 100%, $E$13) + CHOOSE(CONTROL!$C$28, 0.0021, 0)</f>
        <v>28.849999999999998</v>
      </c>
      <c r="E178" s="4">
        <f>127.723237329738 * CHOOSE(CONTROL!$C$9, $C$13, 100%, $E$13) + CHOOSE(CONTROL!$C$28, 0.0021, 0)</f>
        <v>127.725337329738</v>
      </c>
    </row>
    <row r="179" spans="1:5" ht="15">
      <c r="A179" s="13">
        <v>46569</v>
      </c>
      <c r="B179" s="4">
        <f>20.2385 * CHOOSE(CONTROL!$C$9, $C$13, 100%, $E$13) + CHOOSE(CONTROL!$C$28, 0.0226, 0)</f>
        <v>20.261099999999999</v>
      </c>
      <c r="C179" s="4">
        <f>19.8752 * CHOOSE(CONTROL!$C$9, $C$13, 100%, $E$13) + CHOOSE(CONTROL!$C$28, 0.0226, 0)</f>
        <v>19.8978</v>
      </c>
      <c r="D179" s="4">
        <f>29.2933 * CHOOSE(CONTROL!$C$9, $C$13, 100%, $E$13) + CHOOSE(CONTROL!$C$28, 0.0021, 0)</f>
        <v>29.295399999999997</v>
      </c>
      <c r="E179" s="4">
        <f>127.682612890384 * CHOOSE(CONTROL!$C$9, $C$13, 100%, $E$13) + CHOOSE(CONTROL!$C$28, 0.0021, 0)</f>
        <v>127.68471289038399</v>
      </c>
    </row>
    <row r="180" spans="1:5" ht="15">
      <c r="A180" s="13">
        <v>46600</v>
      </c>
      <c r="B180" s="4">
        <f>20.7045 * CHOOSE(CONTROL!$C$9, $C$13, 100%, $E$13) + CHOOSE(CONTROL!$C$28, 0.0226, 0)</f>
        <v>20.7271</v>
      </c>
      <c r="C180" s="4">
        <f>20.3413 * CHOOSE(CONTROL!$C$9, $C$13, 100%, $E$13) + CHOOSE(CONTROL!$C$28, 0.0226, 0)</f>
        <v>20.363900000000001</v>
      </c>
      <c r="D180" s="4">
        <f>28.9992 * CHOOSE(CONTROL!$C$9, $C$13, 100%, $E$13) + CHOOSE(CONTROL!$C$28, 0.0021, 0)</f>
        <v>29.001299999999997</v>
      </c>
      <c r="E180" s="4">
        <f>130.739601951791 * CHOOSE(CONTROL!$C$9, $C$13, 100%, $E$13) + CHOOSE(CONTROL!$C$28, 0.0021, 0)</f>
        <v>130.74170195179101</v>
      </c>
    </row>
    <row r="181" spans="1:5" ht="15">
      <c r="A181" s="13">
        <v>46631</v>
      </c>
      <c r="B181" s="4">
        <f>19.9103 * CHOOSE(CONTROL!$C$9, $C$13, 100%, $E$13) + CHOOSE(CONTROL!$C$28, 0.0226, 0)</f>
        <v>19.9329</v>
      </c>
      <c r="C181" s="4">
        <f>19.547 * CHOOSE(CONTROL!$C$9, $C$13, 100%, $E$13) + CHOOSE(CONTROL!$C$28, 0.0226, 0)</f>
        <v>19.569600000000001</v>
      </c>
      <c r="D181" s="4">
        <f>28.8602 * CHOOSE(CONTROL!$C$9, $C$13, 100%, $E$13) + CHOOSE(CONTROL!$C$28, 0.0021, 0)</f>
        <v>28.862299999999998</v>
      </c>
      <c r="E181" s="4">
        <f>125.529517604609 * CHOOSE(CONTROL!$C$9, $C$13, 100%, $E$13) + CHOOSE(CONTROL!$C$28, 0.0021, 0)</f>
        <v>125.531617604609</v>
      </c>
    </row>
    <row r="182" spans="1:5" ht="15">
      <c r="A182" s="13">
        <v>46661</v>
      </c>
      <c r="B182" s="4">
        <f>19.2744 * CHOOSE(CONTROL!$C$9, $C$13, 100%, $E$13) + CHOOSE(CONTROL!$C$28, 0.0226, 0)</f>
        <v>19.297000000000001</v>
      </c>
      <c r="C182" s="4">
        <f>18.9112 * CHOOSE(CONTROL!$C$9, $C$13, 100%, $E$13) + CHOOSE(CONTROL!$C$28, 0.0226, 0)</f>
        <v>18.933800000000002</v>
      </c>
      <c r="D182" s="4">
        <f>28.488 * CHOOSE(CONTROL!$C$9, $C$13, 100%, $E$13) + CHOOSE(CONTROL!$C$28, 0.0021, 0)</f>
        <v>28.490099999999998</v>
      </c>
      <c r="E182" s="4">
        <f>121.358741830907 * CHOOSE(CONTROL!$C$9, $C$13, 100%, $E$13) + CHOOSE(CONTROL!$C$28, 0.0021, 0)</f>
        <v>121.36084183090699</v>
      </c>
    </row>
    <row r="183" spans="1:5" ht="15">
      <c r="A183" s="13">
        <v>46692</v>
      </c>
      <c r="B183" s="4">
        <f>18.8649 * CHOOSE(CONTROL!$C$9, $C$13, 100%, $E$13) + CHOOSE(CONTROL!$C$28, 0.0226, 0)</f>
        <v>18.887499999999999</v>
      </c>
      <c r="C183" s="4">
        <f>18.5016 * CHOOSE(CONTROL!$C$9, $C$13, 100%, $E$13) + CHOOSE(CONTROL!$C$28, 0.0226, 0)</f>
        <v>18.5242</v>
      </c>
      <c r="D183" s="4">
        <f>28.3601 * CHOOSE(CONTROL!$C$9, $C$13, 100%, $E$13) + CHOOSE(CONTROL!$C$28, 0.0021, 0)</f>
        <v>28.362199999999998</v>
      </c>
      <c r="E183" s="4">
        <f>118.672450778608 * CHOOSE(CONTROL!$C$9, $C$13, 100%, $E$13) + CHOOSE(CONTROL!$C$28, 0.0021, 0)</f>
        <v>118.67455077860799</v>
      </c>
    </row>
    <row r="184" spans="1:5" ht="15">
      <c r="A184" s="13">
        <v>46722</v>
      </c>
      <c r="B184" s="4">
        <f>18.5816 * CHOOSE(CONTROL!$C$9, $C$13, 100%, $E$13) + CHOOSE(CONTROL!$C$28, 0.0226, 0)</f>
        <v>18.604200000000002</v>
      </c>
      <c r="C184" s="4">
        <f>18.2183 * CHOOSE(CONTROL!$C$9, $C$13, 100%, $E$13) + CHOOSE(CONTROL!$C$28, 0.0226, 0)</f>
        <v>18.2409</v>
      </c>
      <c r="D184" s="4">
        <f>27.4182 * CHOOSE(CONTROL!$C$9, $C$13, 100%, $E$13) + CHOOSE(CONTROL!$C$28, 0.0021, 0)</f>
        <v>27.420299999999997</v>
      </c>
      <c r="E184" s="4">
        <f>116.813882678151 * CHOOSE(CONTROL!$C$9, $C$13, 100%, $E$13) + CHOOSE(CONTROL!$C$28, 0.0021, 0)</f>
        <v>116.815982678151</v>
      </c>
    </row>
    <row r="185" spans="1:5" ht="15">
      <c r="A185" s="13">
        <v>46753</v>
      </c>
      <c r="B185" s="4">
        <f>18.0419 * CHOOSE(CONTROL!$C$9, $C$13, 100%, $E$13) + CHOOSE(CONTROL!$C$28, 0.0226, 0)</f>
        <v>18.064499999999999</v>
      </c>
      <c r="C185" s="4">
        <f>17.6787 * CHOOSE(CONTROL!$C$9, $C$13, 100%, $E$13) + CHOOSE(CONTROL!$C$28, 0.0226, 0)</f>
        <v>17.7013</v>
      </c>
      <c r="D185" s="4">
        <f>26.5849 * CHOOSE(CONTROL!$C$9, $C$13, 100%, $E$13) + CHOOSE(CONTROL!$C$28, 0.0021, 0)</f>
        <v>26.587</v>
      </c>
      <c r="E185" s="4">
        <f>113.470730280802 * CHOOSE(CONTROL!$C$9, $C$13, 100%, $E$13) + CHOOSE(CONTROL!$C$28, 0.0021, 0)</f>
        <v>113.472830280802</v>
      </c>
    </row>
    <row r="186" spans="1:5" ht="15">
      <c r="A186" s="13">
        <v>46784</v>
      </c>
      <c r="B186" s="4">
        <f>18.452 * CHOOSE(CONTROL!$C$9, $C$13, 100%, $E$13) + CHOOSE(CONTROL!$C$28, 0.0226, 0)</f>
        <v>18.474600000000002</v>
      </c>
      <c r="C186" s="4">
        <f>18.0887 * CHOOSE(CONTROL!$C$9, $C$13, 100%, $E$13) + CHOOSE(CONTROL!$C$28, 0.0226, 0)</f>
        <v>18.1113</v>
      </c>
      <c r="D186" s="4">
        <f>27.4578 * CHOOSE(CONTROL!$C$9, $C$13, 100%, $E$13) + CHOOSE(CONTROL!$C$28, 0.0021, 0)</f>
        <v>27.459899999999998</v>
      </c>
      <c r="E186" s="4">
        <f>116.16497259554 * CHOOSE(CONTROL!$C$9, $C$13, 100%, $E$13) + CHOOSE(CONTROL!$C$28, 0.0021, 0)</f>
        <v>116.16707259553999</v>
      </c>
    </row>
    <row r="187" spans="1:5" ht="15">
      <c r="A187" s="13">
        <v>46813</v>
      </c>
      <c r="B187" s="4">
        <f>19.5287 * CHOOSE(CONTROL!$C$9, $C$13, 100%, $E$13) + CHOOSE(CONTROL!$C$28, 0.0226, 0)</f>
        <v>19.551300000000001</v>
      </c>
      <c r="C187" s="4">
        <f>19.1654 * CHOOSE(CONTROL!$C$9, $C$13, 100%, $E$13) + CHOOSE(CONTROL!$C$28, 0.0226, 0)</f>
        <v>19.188000000000002</v>
      </c>
      <c r="D187" s="4">
        <f>28.8243 * CHOOSE(CONTROL!$C$9, $C$13, 100%, $E$13) + CHOOSE(CONTROL!$C$28, 0.0021, 0)</f>
        <v>28.8264</v>
      </c>
      <c r="E187" s="4">
        <f>123.240196094776 * CHOOSE(CONTROL!$C$9, $C$13, 100%, $E$13) + CHOOSE(CONTROL!$C$28, 0.0021, 0)</f>
        <v>123.24229609477599</v>
      </c>
    </row>
    <row r="188" spans="1:5" ht="15">
      <c r="A188" s="13">
        <v>46844</v>
      </c>
      <c r="B188" s="4">
        <f>20.2937 * CHOOSE(CONTROL!$C$9, $C$13, 100%, $E$13) + CHOOSE(CONTROL!$C$28, 0.0226, 0)</f>
        <v>20.316300000000002</v>
      </c>
      <c r="C188" s="4">
        <f>19.9305 * CHOOSE(CONTROL!$C$9, $C$13, 100%, $E$13) + CHOOSE(CONTROL!$C$28, 0.0226, 0)</f>
        <v>19.953099999999999</v>
      </c>
      <c r="D188" s="4">
        <f>29.6114 * CHOOSE(CONTROL!$C$9, $C$13, 100%, $E$13) + CHOOSE(CONTROL!$C$28, 0.0021, 0)</f>
        <v>29.613499999999998</v>
      </c>
      <c r="E188" s="4">
        <f>128.267236680733 * CHOOSE(CONTROL!$C$9, $C$13, 100%, $E$13) + CHOOSE(CONTROL!$C$28, 0.0021, 0)</f>
        <v>128.26933668073301</v>
      </c>
    </row>
    <row r="189" spans="1:5" ht="15">
      <c r="A189" s="13">
        <v>46874</v>
      </c>
      <c r="B189" s="4">
        <f>20.7612 * CHOOSE(CONTROL!$C$9, $C$13, 100%, $E$13) + CHOOSE(CONTROL!$C$28, 0.0226, 0)</f>
        <v>20.783799999999999</v>
      </c>
      <c r="C189" s="4">
        <f>20.3979 * CHOOSE(CONTROL!$C$9, $C$13, 100%, $E$13) + CHOOSE(CONTROL!$C$28, 0.0226, 0)</f>
        <v>20.420500000000001</v>
      </c>
      <c r="D189" s="4">
        <f>29.3004 * CHOOSE(CONTROL!$C$9, $C$13, 100%, $E$13) + CHOOSE(CONTROL!$C$28, 0.0021, 0)</f>
        <v>29.302499999999998</v>
      </c>
      <c r="E189" s="4">
        <f>131.338637997405 * CHOOSE(CONTROL!$C$9, $C$13, 100%, $E$13) + CHOOSE(CONTROL!$C$28, 0.0021, 0)</f>
        <v>131.340737997405</v>
      </c>
    </row>
    <row r="190" spans="1:5" ht="15">
      <c r="A190" s="13">
        <v>46905</v>
      </c>
      <c r="B190" s="4">
        <f>20.8244 * CHOOSE(CONTROL!$C$9, $C$13, 100%, $E$13) + CHOOSE(CONTROL!$C$28, 0.0226, 0)</f>
        <v>20.847000000000001</v>
      </c>
      <c r="C190" s="4">
        <f>20.4611 * CHOOSE(CONTROL!$C$9, $C$13, 100%, $E$13) + CHOOSE(CONTROL!$C$28, 0.0226, 0)</f>
        <v>20.483699999999999</v>
      </c>
      <c r="D190" s="4">
        <f>29.5537 * CHOOSE(CONTROL!$C$9, $C$13, 100%, $E$13) + CHOOSE(CONTROL!$C$28, 0.0021, 0)</f>
        <v>29.555799999999998</v>
      </c>
      <c r="E190" s="4">
        <f>131.754211342128 * CHOOSE(CONTROL!$C$9, $C$13, 100%, $E$13) + CHOOSE(CONTROL!$C$28, 0.0021, 0)</f>
        <v>131.75631134212801</v>
      </c>
    </row>
    <row r="191" spans="1:5" ht="15">
      <c r="A191" s="13">
        <v>46935</v>
      </c>
      <c r="B191" s="4">
        <f>20.818 * CHOOSE(CONTROL!$C$9, $C$13, 100%, $E$13) + CHOOSE(CONTROL!$C$28, 0.0226, 0)</f>
        <v>20.840600000000002</v>
      </c>
      <c r="C191" s="4">
        <f>20.4547 * CHOOSE(CONTROL!$C$9, $C$13, 100%, $E$13) + CHOOSE(CONTROL!$C$28, 0.0226, 0)</f>
        <v>20.4773</v>
      </c>
      <c r="D191" s="4">
        <f>30.0108 * CHOOSE(CONTROL!$C$9, $C$13, 100%, $E$13) + CHOOSE(CONTROL!$C$28, 0.0021, 0)</f>
        <v>30.012899999999998</v>
      </c>
      <c r="E191" s="4">
        <f>131.712304786358 * CHOOSE(CONTROL!$C$9, $C$13, 100%, $E$13) + CHOOSE(CONTROL!$C$28, 0.0021, 0)</f>
        <v>131.71440478635802</v>
      </c>
    </row>
    <row r="192" spans="1:5" ht="15">
      <c r="A192" s="13">
        <v>46966</v>
      </c>
      <c r="B192" s="4">
        <f>21.2979 * CHOOSE(CONTROL!$C$9, $C$13, 100%, $E$13) + CHOOSE(CONTROL!$C$28, 0.0226, 0)</f>
        <v>21.320499999999999</v>
      </c>
      <c r="C192" s="4">
        <f>20.9346 * CHOOSE(CONTROL!$C$9, $C$13, 100%, $E$13) + CHOOSE(CONTROL!$C$28, 0.0226, 0)</f>
        <v>20.9572</v>
      </c>
      <c r="D192" s="4">
        <f>29.7089 * CHOOSE(CONTROL!$C$9, $C$13, 100%, $E$13) + CHOOSE(CONTROL!$C$28, 0.0021, 0)</f>
        <v>29.710999999999999</v>
      </c>
      <c r="E192" s="4">
        <f>134.86577310808 * CHOOSE(CONTROL!$C$9, $C$13, 100%, $E$13) + CHOOSE(CONTROL!$C$28, 0.0021, 0)</f>
        <v>134.86787310808</v>
      </c>
    </row>
    <row r="193" spans="1:5" ht="15">
      <c r="A193" s="13">
        <v>46997</v>
      </c>
      <c r="B193" s="4">
        <f>20.48 * CHOOSE(CONTROL!$C$9, $C$13, 100%, $E$13) + CHOOSE(CONTROL!$C$28, 0.0226, 0)</f>
        <v>20.502600000000001</v>
      </c>
      <c r="C193" s="4">
        <f>20.1167 * CHOOSE(CONTROL!$C$9, $C$13, 100%, $E$13) + CHOOSE(CONTROL!$C$28, 0.0226, 0)</f>
        <v>20.139300000000002</v>
      </c>
      <c r="D193" s="4">
        <f>29.5663 * CHOOSE(CONTROL!$C$9, $C$13, 100%, $E$13) + CHOOSE(CONTROL!$C$28, 0.0021, 0)</f>
        <v>29.568399999999997</v>
      </c>
      <c r="E193" s="4">
        <f>129.491257330527 * CHOOSE(CONTROL!$C$9, $C$13, 100%, $E$13) + CHOOSE(CONTROL!$C$28, 0.0021, 0)</f>
        <v>129.493357330527</v>
      </c>
    </row>
    <row r="194" spans="1:5" ht="15">
      <c r="A194" s="13">
        <v>47027</v>
      </c>
      <c r="B194" s="4">
        <f>19.8253 * CHOOSE(CONTROL!$C$9, $C$13, 100%, $E$13) + CHOOSE(CONTROL!$C$28, 0.0226, 0)</f>
        <v>19.847899999999999</v>
      </c>
      <c r="C194" s="4">
        <f>19.462 * CHOOSE(CONTROL!$C$9, $C$13, 100%, $E$13) + CHOOSE(CONTROL!$C$28, 0.0226, 0)</f>
        <v>19.4846</v>
      </c>
      <c r="D194" s="4">
        <f>29.1844 * CHOOSE(CONTROL!$C$9, $C$13, 100%, $E$13) + CHOOSE(CONTROL!$C$28, 0.0021, 0)</f>
        <v>29.186499999999999</v>
      </c>
      <c r="E194" s="4">
        <f>125.188850938099 * CHOOSE(CONTROL!$C$9, $C$13, 100%, $E$13) + CHOOSE(CONTROL!$C$28, 0.0021, 0)</f>
        <v>125.19095093809899</v>
      </c>
    </row>
    <row r="195" spans="1:5" ht="15">
      <c r="A195" s="13">
        <v>47058</v>
      </c>
      <c r="B195" s="4">
        <f>19.4035 * CHOOSE(CONTROL!$C$9, $C$13, 100%, $E$13) + CHOOSE(CONTROL!$C$28, 0.0226, 0)</f>
        <v>19.426100000000002</v>
      </c>
      <c r="C195" s="4">
        <f>19.0403 * CHOOSE(CONTROL!$C$9, $C$13, 100%, $E$13) + CHOOSE(CONTROL!$C$28, 0.0226, 0)</f>
        <v>19.062899999999999</v>
      </c>
      <c r="D195" s="4">
        <f>29.0532 * CHOOSE(CONTROL!$C$9, $C$13, 100%, $E$13) + CHOOSE(CONTROL!$C$28, 0.0021, 0)</f>
        <v>29.055299999999999</v>
      </c>
      <c r="E195" s="4">
        <f>122.417779937782 * CHOOSE(CONTROL!$C$9, $C$13, 100%, $E$13) + CHOOSE(CONTROL!$C$28, 0.0021, 0)</f>
        <v>122.419879937782</v>
      </c>
    </row>
    <row r="196" spans="1:5" ht="15">
      <c r="A196" s="13">
        <v>47088</v>
      </c>
      <c r="B196" s="4">
        <f>19.1118 * CHOOSE(CONTROL!$C$9, $C$13, 100%, $E$13) + CHOOSE(CONTROL!$C$28, 0.0226, 0)</f>
        <v>19.134399999999999</v>
      </c>
      <c r="C196" s="4">
        <f>18.7485 * CHOOSE(CONTROL!$C$9, $C$13, 100%, $E$13) + CHOOSE(CONTROL!$C$28, 0.0226, 0)</f>
        <v>18.771100000000001</v>
      </c>
      <c r="D196" s="4">
        <f>28.0866 * CHOOSE(CONTROL!$C$9, $C$13, 100%, $E$13) + CHOOSE(CONTROL!$C$28, 0.0021, 0)</f>
        <v>28.088699999999999</v>
      </c>
      <c r="E196" s="4">
        <f>120.500555011286 * CHOOSE(CONTROL!$C$9, $C$13, 100%, $E$13) + CHOOSE(CONTROL!$C$28, 0.0021, 0)</f>
        <v>120.502655011286</v>
      </c>
    </row>
    <row r="197" spans="1:5" ht="15">
      <c r="A197" s="13">
        <v>47119</v>
      </c>
      <c r="B197" s="4">
        <f>18.5829 * CHOOSE(CONTROL!$C$9, $C$13, 100%, $E$13) + CHOOSE(CONTROL!$C$28, 0.0226, 0)</f>
        <v>18.605499999999999</v>
      </c>
      <c r="C197" s="4">
        <f>18.2196 * CHOOSE(CONTROL!$C$9, $C$13, 100%, $E$13) + CHOOSE(CONTROL!$C$28, 0.0226, 0)</f>
        <v>18.2422</v>
      </c>
      <c r="D197" s="4">
        <f>27.1689 * CHOOSE(CONTROL!$C$9, $C$13, 100%, $E$13) + CHOOSE(CONTROL!$C$28, 0.0021, 0)</f>
        <v>27.170999999999999</v>
      </c>
      <c r="E197" s="4">
        <f>116.937940516001 * CHOOSE(CONTROL!$C$9, $C$13, 100%, $E$13) + CHOOSE(CONTROL!$C$28, 0.0021, 0)</f>
        <v>116.94004051600101</v>
      </c>
    </row>
    <row r="198" spans="1:5" ht="15">
      <c r="A198" s="13">
        <v>47150</v>
      </c>
      <c r="B198" s="4">
        <f>19.0057 * CHOOSE(CONTROL!$C$9, $C$13, 100%, $E$13) + CHOOSE(CONTROL!$C$28, 0.0226, 0)</f>
        <v>19.028300000000002</v>
      </c>
      <c r="C198" s="4">
        <f>18.6425 * CHOOSE(CONTROL!$C$9, $C$13, 100%, $E$13) + CHOOSE(CONTROL!$C$28, 0.0226, 0)</f>
        <v>18.665099999999999</v>
      </c>
      <c r="D198" s="4">
        <f>28.0624 * CHOOSE(CONTROL!$C$9, $C$13, 100%, $E$13) + CHOOSE(CONTROL!$C$28, 0.0021, 0)</f>
        <v>28.064499999999999</v>
      </c>
      <c r="E198" s="4">
        <f>119.714508065684 * CHOOSE(CONTROL!$C$9, $C$13, 100%, $E$13) + CHOOSE(CONTROL!$C$28, 0.0021, 0)</f>
        <v>119.716608065684</v>
      </c>
    </row>
    <row r="199" spans="1:5" ht="15">
      <c r="A199" s="13">
        <v>47178</v>
      </c>
      <c r="B199" s="4">
        <f>20.1162 * CHOOSE(CONTROL!$C$9, $C$13, 100%, $E$13) + CHOOSE(CONTROL!$C$28, 0.0226, 0)</f>
        <v>20.1388</v>
      </c>
      <c r="C199" s="4">
        <f>19.7529 * CHOOSE(CONTROL!$C$9, $C$13, 100%, $E$13) + CHOOSE(CONTROL!$C$28, 0.0226, 0)</f>
        <v>19.775500000000001</v>
      </c>
      <c r="D199" s="4">
        <f>29.4612 * CHOOSE(CONTROL!$C$9, $C$13, 100%, $E$13) + CHOOSE(CONTROL!$C$28, 0.0021, 0)</f>
        <v>29.4633</v>
      </c>
      <c r="E199" s="4">
        <f>127.005922006914 * CHOOSE(CONTROL!$C$9, $C$13, 100%, $E$13) + CHOOSE(CONTROL!$C$28, 0.0021, 0)</f>
        <v>127.008022006914</v>
      </c>
    </row>
    <row r="200" spans="1:5" ht="15">
      <c r="A200" s="13">
        <v>47209</v>
      </c>
      <c r="B200" s="4">
        <f>20.9052 * CHOOSE(CONTROL!$C$9, $C$13, 100%, $E$13) + CHOOSE(CONTROL!$C$28, 0.0226, 0)</f>
        <v>20.927800000000001</v>
      </c>
      <c r="C200" s="4">
        <f>20.5419 * CHOOSE(CONTROL!$C$9, $C$13, 100%, $E$13) + CHOOSE(CONTROL!$C$28, 0.0226, 0)</f>
        <v>20.564499999999999</v>
      </c>
      <c r="D200" s="4">
        <f>30.2669 * CHOOSE(CONTROL!$C$9, $C$13, 100%, $E$13) + CHOOSE(CONTROL!$C$28, 0.0021, 0)</f>
        <v>30.268999999999998</v>
      </c>
      <c r="E200" s="4">
        <f>132.186568783025 * CHOOSE(CONTROL!$C$9, $C$13, 100%, $E$13) + CHOOSE(CONTROL!$C$28, 0.0021, 0)</f>
        <v>132.18866878302501</v>
      </c>
    </row>
    <row r="201" spans="1:5" ht="15">
      <c r="A201" s="13">
        <v>47239</v>
      </c>
      <c r="B201" s="4">
        <f>21.3873 * CHOOSE(CONTROL!$C$9, $C$13, 100%, $E$13) + CHOOSE(CONTROL!$C$28, 0.0226, 0)</f>
        <v>21.4099</v>
      </c>
      <c r="C201" s="4">
        <f>21.024 * CHOOSE(CONTROL!$C$9, $C$13, 100%, $E$13) + CHOOSE(CONTROL!$C$28, 0.0226, 0)</f>
        <v>21.046600000000002</v>
      </c>
      <c r="D201" s="4">
        <f>29.9485 * CHOOSE(CONTROL!$C$9, $C$13, 100%, $E$13) + CHOOSE(CONTROL!$C$28, 0.0021, 0)</f>
        <v>29.950599999999998</v>
      </c>
      <c r="E201" s="4">
        <f>135.351819800454 * CHOOSE(CONTROL!$C$9, $C$13, 100%, $E$13) + CHOOSE(CONTROL!$C$28, 0.0021, 0)</f>
        <v>135.35391980045401</v>
      </c>
    </row>
    <row r="202" spans="1:5" ht="15">
      <c r="A202" s="13">
        <v>47270</v>
      </c>
      <c r="B202" s="4">
        <f>21.4525 * CHOOSE(CONTROL!$C$9, $C$13, 100%, $E$13) + CHOOSE(CONTROL!$C$28, 0.0226, 0)</f>
        <v>21.475100000000001</v>
      </c>
      <c r="C202" s="4">
        <f>21.0892 * CHOOSE(CONTROL!$C$9, $C$13, 100%, $E$13) + CHOOSE(CONTROL!$C$28, 0.0226, 0)</f>
        <v>21.111800000000002</v>
      </c>
      <c r="D202" s="4">
        <f>30.2079 * CHOOSE(CONTROL!$C$9, $C$13, 100%, $E$13) + CHOOSE(CONTROL!$C$28, 0.0021, 0)</f>
        <v>30.209999999999997</v>
      </c>
      <c r="E202" s="4">
        <f>135.780091399174 * CHOOSE(CONTROL!$C$9, $C$13, 100%, $E$13) + CHOOSE(CONTROL!$C$28, 0.0021, 0)</f>
        <v>135.78219139917402</v>
      </c>
    </row>
    <row r="203" spans="1:5" ht="15">
      <c r="A203" s="13">
        <v>47300</v>
      </c>
      <c r="B203" s="4">
        <f>21.4459 * CHOOSE(CONTROL!$C$9, $C$13, 100%, $E$13) + CHOOSE(CONTROL!$C$28, 0.0226, 0)</f>
        <v>21.468500000000002</v>
      </c>
      <c r="C203" s="4">
        <f>21.0826 * CHOOSE(CONTROL!$C$9, $C$13, 100%, $E$13) + CHOOSE(CONTROL!$C$28, 0.0226, 0)</f>
        <v>21.1052</v>
      </c>
      <c r="D203" s="4">
        <f>30.6757 * CHOOSE(CONTROL!$C$9, $C$13, 100%, $E$13) + CHOOSE(CONTROL!$C$28, 0.0021, 0)</f>
        <v>30.677799999999998</v>
      </c>
      <c r="E203" s="4">
        <f>135.736904347203 * CHOOSE(CONTROL!$C$9, $C$13, 100%, $E$13) + CHOOSE(CONTROL!$C$28, 0.0021, 0)</f>
        <v>135.73900434720301</v>
      </c>
    </row>
    <row r="204" spans="1:5" ht="15">
      <c r="A204" s="13">
        <v>47331</v>
      </c>
      <c r="B204" s="4">
        <f>21.9409 * CHOOSE(CONTROL!$C$9, $C$13, 100%, $E$13) + CHOOSE(CONTROL!$C$28, 0.0226, 0)</f>
        <v>21.9635</v>
      </c>
      <c r="C204" s="4">
        <f>21.5776 * CHOOSE(CONTROL!$C$9, $C$13, 100%, $E$13) + CHOOSE(CONTROL!$C$28, 0.0226, 0)</f>
        <v>21.600200000000001</v>
      </c>
      <c r="D204" s="4">
        <f>30.3667 * CHOOSE(CONTROL!$C$9, $C$13, 100%, $E$13) + CHOOSE(CONTROL!$C$28, 0.0021, 0)</f>
        <v>30.3688</v>
      </c>
      <c r="E204" s="4">
        <f>138.986730008077 * CHOOSE(CONTROL!$C$9, $C$13, 100%, $E$13) + CHOOSE(CONTROL!$C$28, 0.0021, 0)</f>
        <v>138.988830008077</v>
      </c>
    </row>
    <row r="205" spans="1:5" ht="15">
      <c r="A205" s="13">
        <v>47362</v>
      </c>
      <c r="B205" s="4">
        <f>21.0973 * CHOOSE(CONTROL!$C$9, $C$13, 100%, $E$13) + CHOOSE(CONTROL!$C$28, 0.0226, 0)</f>
        <v>21.119900000000001</v>
      </c>
      <c r="C205" s="4">
        <f>20.7341 * CHOOSE(CONTROL!$C$9, $C$13, 100%, $E$13) + CHOOSE(CONTROL!$C$28, 0.0226, 0)</f>
        <v>20.756700000000002</v>
      </c>
      <c r="D205" s="4">
        <f>30.2208 * CHOOSE(CONTROL!$C$9, $C$13, 100%, $E$13) + CHOOSE(CONTROL!$C$28, 0.0021, 0)</f>
        <v>30.222899999999999</v>
      </c>
      <c r="E205" s="4">
        <f>133.4479905927 * CHOOSE(CONTROL!$C$9, $C$13, 100%, $E$13) + CHOOSE(CONTROL!$C$28, 0.0021, 0)</f>
        <v>133.45009059270001</v>
      </c>
    </row>
    <row r="206" spans="1:5" ht="15">
      <c r="A206" s="13">
        <v>47392</v>
      </c>
      <c r="B206" s="4">
        <f>20.4221 * CHOOSE(CONTROL!$C$9, $C$13, 100%, $E$13) + CHOOSE(CONTROL!$C$28, 0.0226, 0)</f>
        <v>20.444700000000001</v>
      </c>
      <c r="C206" s="4">
        <f>20.0588 * CHOOSE(CONTROL!$C$9, $C$13, 100%, $E$13) + CHOOSE(CONTROL!$C$28, 0.0226, 0)</f>
        <v>20.081400000000002</v>
      </c>
      <c r="D206" s="4">
        <f>29.8299 * CHOOSE(CONTROL!$C$9, $C$13, 100%, $E$13) + CHOOSE(CONTROL!$C$28, 0.0021, 0)</f>
        <v>29.831999999999997</v>
      </c>
      <c r="E206" s="4">
        <f>129.014119923601 * CHOOSE(CONTROL!$C$9, $C$13, 100%, $E$13) + CHOOSE(CONTROL!$C$28, 0.0021, 0)</f>
        <v>129.016219923601</v>
      </c>
    </row>
    <row r="207" spans="1:5" ht="15">
      <c r="A207" s="13">
        <v>47423</v>
      </c>
      <c r="B207" s="4">
        <f>19.9871 * CHOOSE(CONTROL!$C$9, $C$13, 100%, $E$13) + CHOOSE(CONTROL!$C$28, 0.0226, 0)</f>
        <v>20.009700000000002</v>
      </c>
      <c r="C207" s="4">
        <f>19.6239 * CHOOSE(CONTROL!$C$9, $C$13, 100%, $E$13) + CHOOSE(CONTROL!$C$28, 0.0226, 0)</f>
        <v>19.6465</v>
      </c>
      <c r="D207" s="4">
        <f>29.6955 * CHOOSE(CONTROL!$C$9, $C$13, 100%, $E$13) + CHOOSE(CONTROL!$C$28, 0.0021, 0)</f>
        <v>29.697599999999998</v>
      </c>
      <c r="E207" s="4">
        <f>126.158376111969 * CHOOSE(CONTROL!$C$9, $C$13, 100%, $E$13) + CHOOSE(CONTROL!$C$28, 0.0021, 0)</f>
        <v>126.160476111969</v>
      </c>
    </row>
    <row r="208" spans="1:5" ht="15">
      <c r="A208" s="13">
        <v>47453</v>
      </c>
      <c r="B208" s="4">
        <f>19.6862 * CHOOSE(CONTROL!$C$9, $C$13, 100%, $E$13) + CHOOSE(CONTROL!$C$28, 0.0226, 0)</f>
        <v>19.7088</v>
      </c>
      <c r="C208" s="4">
        <f>19.3229 * CHOOSE(CONTROL!$C$9, $C$13, 100%, $E$13) + CHOOSE(CONTROL!$C$28, 0.0226, 0)</f>
        <v>19.345500000000001</v>
      </c>
      <c r="D208" s="4">
        <f>28.7061 * CHOOSE(CONTROL!$C$9, $C$13, 100%, $E$13) + CHOOSE(CONTROL!$C$28, 0.0021, 0)</f>
        <v>28.708199999999998</v>
      </c>
      <c r="E208" s="4">
        <f>124.182568484261 * CHOOSE(CONTROL!$C$9, $C$13, 100%, $E$13) + CHOOSE(CONTROL!$C$28, 0.0021, 0)</f>
        <v>124.184668484261</v>
      </c>
    </row>
    <row r="209" spans="1:5" ht="15">
      <c r="A209" s="13">
        <v>47484</v>
      </c>
      <c r="B209" s="4">
        <f>19.1231 * CHOOSE(CONTROL!$C$9, $C$13, 100%, $E$13) + CHOOSE(CONTROL!$C$28, 0.0226, 0)</f>
        <v>19.145700000000001</v>
      </c>
      <c r="C209" s="4">
        <f>18.7599 * CHOOSE(CONTROL!$C$9, $C$13, 100%, $E$13) + CHOOSE(CONTROL!$C$28, 0.0226, 0)</f>
        <v>18.782499999999999</v>
      </c>
      <c r="D209" s="4">
        <f>27.76 * CHOOSE(CONTROL!$C$9, $C$13, 100%, $E$13) + CHOOSE(CONTROL!$C$28, 0.0021, 0)</f>
        <v>27.7621</v>
      </c>
      <c r="E209" s="4">
        <f>120.400364231509 * CHOOSE(CONTROL!$C$9, $C$13, 100%, $E$13) + CHOOSE(CONTROL!$C$28, 0.0021, 0)</f>
        <v>120.402464231509</v>
      </c>
    </row>
    <row r="210" spans="1:5" ht="15">
      <c r="A210" s="13">
        <v>47515</v>
      </c>
      <c r="B210" s="4">
        <f>19.5588 * CHOOSE(CONTROL!$C$9, $C$13, 100%, $E$13) + CHOOSE(CONTROL!$C$28, 0.0226, 0)</f>
        <v>19.581400000000002</v>
      </c>
      <c r="C210" s="4">
        <f>19.1956 * CHOOSE(CONTROL!$C$9, $C$13, 100%, $E$13) + CHOOSE(CONTROL!$C$28, 0.0226, 0)</f>
        <v>19.2182</v>
      </c>
      <c r="D210" s="4">
        <f>28.6744 * CHOOSE(CONTROL!$C$9, $C$13, 100%, $E$13) + CHOOSE(CONTROL!$C$28, 0.0021, 0)</f>
        <v>28.676499999999997</v>
      </c>
      <c r="E210" s="4">
        <f>123.259143365297 * CHOOSE(CONTROL!$C$9, $C$13, 100%, $E$13) + CHOOSE(CONTROL!$C$28, 0.0021, 0)</f>
        <v>123.26124336529701</v>
      </c>
    </row>
    <row r="211" spans="1:5" ht="15">
      <c r="A211" s="13">
        <v>47543</v>
      </c>
      <c r="B211" s="4">
        <f>20.703 * CHOOSE(CONTROL!$C$9, $C$13, 100%, $E$13) + CHOOSE(CONTROL!$C$28, 0.0226, 0)</f>
        <v>20.7256</v>
      </c>
      <c r="C211" s="4">
        <f>20.3397 * CHOOSE(CONTROL!$C$9, $C$13, 100%, $E$13) + CHOOSE(CONTROL!$C$28, 0.0226, 0)</f>
        <v>20.362300000000001</v>
      </c>
      <c r="D211" s="4">
        <f>30.1058 * CHOOSE(CONTROL!$C$9, $C$13, 100%, $E$13) + CHOOSE(CONTROL!$C$28, 0.0021, 0)</f>
        <v>30.107899999999997</v>
      </c>
      <c r="E211" s="4">
        <f>130.766449295374 * CHOOSE(CONTROL!$C$9, $C$13, 100%, $E$13) + CHOOSE(CONTROL!$C$28, 0.0021, 0)</f>
        <v>130.76854929537402</v>
      </c>
    </row>
    <row r="212" spans="1:5" ht="15">
      <c r="A212" s="13">
        <v>47574</v>
      </c>
      <c r="B212" s="4">
        <f>21.5159 * CHOOSE(CONTROL!$C$9, $C$13, 100%, $E$13) + CHOOSE(CONTROL!$C$28, 0.0226, 0)</f>
        <v>21.538499999999999</v>
      </c>
      <c r="C212" s="4">
        <f>21.1527 * CHOOSE(CONTROL!$C$9, $C$13, 100%, $E$13) + CHOOSE(CONTROL!$C$28, 0.0226, 0)</f>
        <v>21.1753</v>
      </c>
      <c r="D212" s="4">
        <f>30.9304 * CHOOSE(CONTROL!$C$9, $C$13, 100%, $E$13) + CHOOSE(CONTROL!$C$28, 0.0021, 0)</f>
        <v>30.932499999999997</v>
      </c>
      <c r="E212" s="4">
        <f>136.1004902067 * CHOOSE(CONTROL!$C$9, $C$13, 100%, $E$13) + CHOOSE(CONTROL!$C$28, 0.0021, 0)</f>
        <v>136.1025902067</v>
      </c>
    </row>
    <row r="213" spans="1:5" ht="15">
      <c r="A213" s="13">
        <v>47604</v>
      </c>
      <c r="B213" s="4">
        <f>22.0126 * CHOOSE(CONTROL!$C$9, $C$13, 100%, $E$13) + CHOOSE(CONTROL!$C$28, 0.0226, 0)</f>
        <v>22.0352</v>
      </c>
      <c r="C213" s="4">
        <f>21.6493 * CHOOSE(CONTROL!$C$9, $C$13, 100%, $E$13) + CHOOSE(CONTROL!$C$28, 0.0226, 0)</f>
        <v>21.671900000000001</v>
      </c>
      <c r="D213" s="4">
        <f>30.6045 * CHOOSE(CONTROL!$C$9, $C$13, 100%, $E$13) + CHOOSE(CONTROL!$C$28, 0.0021, 0)</f>
        <v>30.6066</v>
      </c>
      <c r="E213" s="4">
        <f>139.359461364401 * CHOOSE(CONTROL!$C$9, $C$13, 100%, $E$13) + CHOOSE(CONTROL!$C$28, 0.0021, 0)</f>
        <v>139.36156136440101</v>
      </c>
    </row>
    <row r="214" spans="1:5" ht="15">
      <c r="A214" s="13">
        <v>47635</v>
      </c>
      <c r="B214" s="4">
        <f>22.0798 * CHOOSE(CONTROL!$C$9, $C$13, 100%, $E$13) + CHOOSE(CONTROL!$C$28, 0.0226, 0)</f>
        <v>22.102399999999999</v>
      </c>
      <c r="C214" s="4">
        <f>21.7165 * CHOOSE(CONTROL!$C$9, $C$13, 100%, $E$13) + CHOOSE(CONTROL!$C$28, 0.0226, 0)</f>
        <v>21.739100000000001</v>
      </c>
      <c r="D214" s="4">
        <f>30.8699 * CHOOSE(CONTROL!$C$9, $C$13, 100%, $E$13) + CHOOSE(CONTROL!$C$28, 0.0021, 0)</f>
        <v>30.872</v>
      </c>
      <c r="E214" s="4">
        <f>139.800413687047 * CHOOSE(CONTROL!$C$9, $C$13, 100%, $E$13) + CHOOSE(CONTROL!$C$28, 0.0021, 0)</f>
        <v>139.80251368704702</v>
      </c>
    </row>
    <row r="215" spans="1:5" ht="15">
      <c r="A215" s="13">
        <v>47665</v>
      </c>
      <c r="B215" s="4">
        <f>22.073 * CHOOSE(CONTROL!$C$9, $C$13, 100%, $E$13) + CHOOSE(CONTROL!$C$28, 0.0226, 0)</f>
        <v>22.095600000000001</v>
      </c>
      <c r="C215" s="4">
        <f>21.7098 * CHOOSE(CONTROL!$C$9, $C$13, 100%, $E$13) + CHOOSE(CONTROL!$C$28, 0.0226, 0)</f>
        <v>21.732400000000002</v>
      </c>
      <c r="D215" s="4">
        <f>31.3487 * CHOOSE(CONTROL!$C$9, $C$13, 100%, $E$13) + CHOOSE(CONTROL!$C$28, 0.0021, 0)</f>
        <v>31.3508</v>
      </c>
      <c r="E215" s="4">
        <f>139.755947906612 * CHOOSE(CONTROL!$C$9, $C$13, 100%, $E$13) + CHOOSE(CONTROL!$C$28, 0.0021, 0)</f>
        <v>139.75804790661201</v>
      </c>
    </row>
    <row r="216" spans="1:5" ht="15">
      <c r="A216" s="13">
        <v>47696</v>
      </c>
      <c r="B216" s="4">
        <f>22.583 * CHOOSE(CONTROL!$C$9, $C$13, 100%, $E$13) + CHOOSE(CONTROL!$C$28, 0.0226, 0)</f>
        <v>22.605599999999999</v>
      </c>
      <c r="C216" s="4">
        <f>22.2197 * CHOOSE(CONTROL!$C$9, $C$13, 100%, $E$13) + CHOOSE(CONTROL!$C$28, 0.0226, 0)</f>
        <v>22.2423</v>
      </c>
      <c r="D216" s="4">
        <f>31.0325 * CHOOSE(CONTROL!$C$9, $C$13, 100%, $E$13) + CHOOSE(CONTROL!$C$28, 0.0021, 0)</f>
        <v>31.034599999999998</v>
      </c>
      <c r="E216" s="4">
        <f>143.101997884331 * CHOOSE(CONTROL!$C$9, $C$13, 100%, $E$13) + CHOOSE(CONTROL!$C$28, 0.0021, 0)</f>
        <v>143.10409788433103</v>
      </c>
    </row>
    <row r="217" spans="1:5" ht="15">
      <c r="A217" s="13">
        <v>47727</v>
      </c>
      <c r="B217" s="4">
        <f>21.7139 * CHOOSE(CONTROL!$C$9, $C$13, 100%, $E$13) + CHOOSE(CONTROL!$C$28, 0.0226, 0)</f>
        <v>21.736499999999999</v>
      </c>
      <c r="C217" s="4">
        <f>21.3506 * CHOOSE(CONTROL!$C$9, $C$13, 100%, $E$13) + CHOOSE(CONTROL!$C$28, 0.0226, 0)</f>
        <v>21.373200000000001</v>
      </c>
      <c r="D217" s="4">
        <f>30.8831 * CHOOSE(CONTROL!$C$9, $C$13, 100%, $E$13) + CHOOSE(CONTROL!$C$28, 0.0021, 0)</f>
        <v>30.885199999999998</v>
      </c>
      <c r="E217" s="4">
        <f>137.399261543567 * CHOOSE(CONTROL!$C$9, $C$13, 100%, $E$13) + CHOOSE(CONTROL!$C$28, 0.0021, 0)</f>
        <v>137.40136154356702</v>
      </c>
    </row>
    <row r="218" spans="1:5" ht="15">
      <c r="A218" s="13">
        <v>47757</v>
      </c>
      <c r="B218" s="4">
        <f>21.0181 * CHOOSE(CONTROL!$C$9, $C$13, 100%, $E$13) + CHOOSE(CONTROL!$C$28, 0.0226, 0)</f>
        <v>21.040700000000001</v>
      </c>
      <c r="C218" s="4">
        <f>20.6548 * CHOOSE(CONTROL!$C$9, $C$13, 100%, $E$13) + CHOOSE(CONTROL!$C$28, 0.0226, 0)</f>
        <v>20.677400000000002</v>
      </c>
      <c r="D218" s="4">
        <f>30.4831 * CHOOSE(CONTROL!$C$9, $C$13, 100%, $E$13) + CHOOSE(CONTROL!$C$28, 0.0021, 0)</f>
        <v>30.485199999999999</v>
      </c>
      <c r="E218" s="4">
        <f>132.834108085593 * CHOOSE(CONTROL!$C$9, $C$13, 100%, $E$13) + CHOOSE(CONTROL!$C$28, 0.0021, 0)</f>
        <v>132.836208085593</v>
      </c>
    </row>
    <row r="219" spans="1:5" ht="15">
      <c r="A219" s="13">
        <v>47788</v>
      </c>
      <c r="B219" s="4">
        <f>20.57 * CHOOSE(CONTROL!$C$9, $C$13, 100%, $E$13) + CHOOSE(CONTROL!$C$28, 0.0226, 0)</f>
        <v>20.592600000000001</v>
      </c>
      <c r="C219" s="4">
        <f>20.2067 * CHOOSE(CONTROL!$C$9, $C$13, 100%, $E$13) + CHOOSE(CONTROL!$C$28, 0.0226, 0)</f>
        <v>20.229300000000002</v>
      </c>
      <c r="D219" s="4">
        <f>30.3456 * CHOOSE(CONTROL!$C$9, $C$13, 100%, $E$13) + CHOOSE(CONTROL!$C$28, 0.0021, 0)</f>
        <v>30.3477</v>
      </c>
      <c r="E219" s="4">
        <f>129.893808354341 * CHOOSE(CONTROL!$C$9, $C$13, 100%, $E$13) + CHOOSE(CONTROL!$C$28, 0.0021, 0)</f>
        <v>129.895908354341</v>
      </c>
    </row>
    <row r="220" spans="1:5" ht="15">
      <c r="A220" s="13">
        <v>47818</v>
      </c>
      <c r="B220" s="4">
        <f>20.26 * CHOOSE(CONTROL!$C$9, $C$13, 100%, $E$13) + CHOOSE(CONTROL!$C$28, 0.0226, 0)</f>
        <v>20.282600000000002</v>
      </c>
      <c r="C220" s="4">
        <f>19.8967 * CHOOSE(CONTROL!$C$9, $C$13, 100%, $E$13) + CHOOSE(CONTROL!$C$28, 0.0226, 0)</f>
        <v>19.9193</v>
      </c>
      <c r="D220" s="4">
        <f>29.3331 * CHOOSE(CONTROL!$C$9, $C$13, 100%, $E$13) + CHOOSE(CONTROL!$C$28, 0.0021, 0)</f>
        <v>29.3352</v>
      </c>
      <c r="E220" s="4">
        <f>127.859498899448 * CHOOSE(CONTROL!$C$9, $C$13, 100%, $E$13) + CHOOSE(CONTROL!$C$28, 0.0021, 0)</f>
        <v>127.861598899448</v>
      </c>
    </row>
    <row r="221" spans="1:5" ht="15">
      <c r="A221" s="13">
        <v>47849</v>
      </c>
      <c r="B221" s="4">
        <f>19.8011 * CHOOSE(CONTROL!$C$9, $C$13, 100%, $E$13) + CHOOSE(CONTROL!$C$28, 0.0226, 0)</f>
        <v>19.823700000000002</v>
      </c>
      <c r="C221" s="4">
        <f>19.4378 * CHOOSE(CONTROL!$C$9, $C$13, 100%, $E$13) + CHOOSE(CONTROL!$C$28, 0.0226, 0)</f>
        <v>19.4604</v>
      </c>
      <c r="D221" s="4">
        <f>28.512 * CHOOSE(CONTROL!$C$9, $C$13, 100%, $E$13) + CHOOSE(CONTROL!$C$28, 0.0021, 0)</f>
        <v>28.514099999999999</v>
      </c>
      <c r="E221" s="4">
        <f>124.788824547872 * CHOOSE(CONTROL!$C$9, $C$13, 100%, $E$13) + CHOOSE(CONTROL!$C$28, 0.0021, 0)</f>
        <v>124.790924547872</v>
      </c>
    </row>
    <row r="222" spans="1:5" ht="15">
      <c r="A222" s="13">
        <v>47880</v>
      </c>
      <c r="B222" s="4">
        <f>20.2529 * CHOOSE(CONTROL!$C$9, $C$13, 100%, $E$13) + CHOOSE(CONTROL!$C$28, 0.0226, 0)</f>
        <v>20.275500000000001</v>
      </c>
      <c r="C222" s="4">
        <f>19.8896 * CHOOSE(CONTROL!$C$9, $C$13, 100%, $E$13) + CHOOSE(CONTROL!$C$28, 0.0226, 0)</f>
        <v>19.912200000000002</v>
      </c>
      <c r="D222" s="4">
        <f>29.4529 * CHOOSE(CONTROL!$C$9, $C$13, 100%, $E$13) + CHOOSE(CONTROL!$C$28, 0.0021, 0)</f>
        <v>29.454999999999998</v>
      </c>
      <c r="E222" s="4">
        <f>127.751803024095 * CHOOSE(CONTROL!$C$9, $C$13, 100%, $E$13) + CHOOSE(CONTROL!$C$28, 0.0021, 0)</f>
        <v>127.753903024095</v>
      </c>
    </row>
    <row r="223" spans="1:5" ht="15">
      <c r="A223" s="13">
        <v>47908</v>
      </c>
      <c r="B223" s="4">
        <f>21.4393 * CHOOSE(CONTROL!$C$9, $C$13, 100%, $E$13) + CHOOSE(CONTROL!$C$28, 0.0226, 0)</f>
        <v>21.4619</v>
      </c>
      <c r="C223" s="4">
        <f>21.076 * CHOOSE(CONTROL!$C$9, $C$13, 100%, $E$13) + CHOOSE(CONTROL!$C$28, 0.0226, 0)</f>
        <v>21.098600000000001</v>
      </c>
      <c r="D223" s="4">
        <f>30.9259 * CHOOSE(CONTROL!$C$9, $C$13, 100%, $E$13) + CHOOSE(CONTROL!$C$28, 0.0021, 0)</f>
        <v>30.927999999999997</v>
      </c>
      <c r="E223" s="4">
        <f>135.532741964897 * CHOOSE(CONTROL!$C$9, $C$13, 100%, $E$13) + CHOOSE(CONTROL!$C$28, 0.0021, 0)</f>
        <v>135.53484196489703</v>
      </c>
    </row>
    <row r="224" spans="1:5" ht="15">
      <c r="A224" s="13">
        <v>47939</v>
      </c>
      <c r="B224" s="4">
        <f>22.2823 * CHOOSE(CONTROL!$C$9, $C$13, 100%, $E$13) + CHOOSE(CONTROL!$C$28, 0.0226, 0)</f>
        <v>22.3049</v>
      </c>
      <c r="C224" s="4">
        <f>21.919 * CHOOSE(CONTROL!$C$9, $C$13, 100%, $E$13) + CHOOSE(CONTROL!$C$28, 0.0226, 0)</f>
        <v>21.941600000000001</v>
      </c>
      <c r="D224" s="4">
        <f>31.7744 * CHOOSE(CONTROL!$C$9, $C$13, 100%, $E$13) + CHOOSE(CONTROL!$C$28, 0.0021, 0)</f>
        <v>31.776499999999999</v>
      </c>
      <c r="E224" s="4">
        <f>141.061202776981 * CHOOSE(CONTROL!$C$9, $C$13, 100%, $E$13) + CHOOSE(CONTROL!$C$28, 0.0021, 0)</f>
        <v>141.063302776981</v>
      </c>
    </row>
    <row r="225" spans="1:5" ht="15">
      <c r="A225" s="13">
        <v>47969</v>
      </c>
      <c r="B225" s="4">
        <f>22.7973 * CHOOSE(CONTROL!$C$9, $C$13, 100%, $E$13) + CHOOSE(CONTROL!$C$28, 0.0226, 0)</f>
        <v>22.819900000000001</v>
      </c>
      <c r="C225" s="4">
        <f>22.4341 * CHOOSE(CONTROL!$C$9, $C$13, 100%, $E$13) + CHOOSE(CONTROL!$C$28, 0.0226, 0)</f>
        <v>22.456700000000001</v>
      </c>
      <c r="D225" s="4">
        <f>31.4391 * CHOOSE(CONTROL!$C$9, $C$13, 100%, $E$13) + CHOOSE(CONTROL!$C$28, 0.0021, 0)</f>
        <v>31.441199999999998</v>
      </c>
      <c r="E225" s="4">
        <f>144.438959834452 * CHOOSE(CONTROL!$C$9, $C$13, 100%, $E$13) + CHOOSE(CONTROL!$C$28, 0.0021, 0)</f>
        <v>144.44105983445201</v>
      </c>
    </row>
    <row r="226" spans="1:5" ht="15">
      <c r="A226" s="13">
        <v>48000</v>
      </c>
      <c r="B226" s="4">
        <f>22.867 * CHOOSE(CONTROL!$C$9, $C$13, 100%, $E$13) + CHOOSE(CONTROL!$C$28, 0.0226, 0)</f>
        <v>22.889600000000002</v>
      </c>
      <c r="C226" s="4">
        <f>22.5037 * CHOOSE(CONTROL!$C$9, $C$13, 100%, $E$13) + CHOOSE(CONTROL!$C$28, 0.0226, 0)</f>
        <v>22.526299999999999</v>
      </c>
      <c r="D226" s="4">
        <f>31.7122 * CHOOSE(CONTROL!$C$9, $C$13, 100%, $E$13) + CHOOSE(CONTROL!$C$28, 0.0021, 0)</f>
        <v>31.714299999999998</v>
      </c>
      <c r="E226" s="4">
        <f>144.895984382307 * CHOOSE(CONTROL!$C$9, $C$13, 100%, $E$13) + CHOOSE(CONTROL!$C$28, 0.0021, 0)</f>
        <v>144.89808438230702</v>
      </c>
    </row>
    <row r="227" spans="1:5" ht="15">
      <c r="A227" s="13">
        <v>48030</v>
      </c>
      <c r="B227" s="4">
        <f>22.86 * CHOOSE(CONTROL!$C$9, $C$13, 100%, $E$13) + CHOOSE(CONTROL!$C$28, 0.0226, 0)</f>
        <v>22.8826</v>
      </c>
      <c r="C227" s="4">
        <f>22.4967 * CHOOSE(CONTROL!$C$9, $C$13, 100%, $E$13) + CHOOSE(CONTROL!$C$28, 0.0226, 0)</f>
        <v>22.519300000000001</v>
      </c>
      <c r="D227" s="4">
        <f>32.2049 * CHOOSE(CONTROL!$C$9, $C$13, 100%, $E$13) + CHOOSE(CONTROL!$C$28, 0.0021, 0)</f>
        <v>32.207000000000001</v>
      </c>
      <c r="E227" s="4">
        <f>144.84989787328 * CHOOSE(CONTROL!$C$9, $C$13, 100%, $E$13) + CHOOSE(CONTROL!$C$28, 0.0021, 0)</f>
        <v>144.85199787328003</v>
      </c>
    </row>
    <row r="228" spans="1:5" ht="15">
      <c r="A228" s="13">
        <v>48061</v>
      </c>
      <c r="B228" s="4">
        <f>23.3888 * CHOOSE(CONTROL!$C$9, $C$13, 100%, $E$13) + CHOOSE(CONTROL!$C$28, 0.0226, 0)</f>
        <v>23.4114</v>
      </c>
      <c r="C228" s="4">
        <f>23.0255 * CHOOSE(CONTROL!$C$9, $C$13, 100%, $E$13) + CHOOSE(CONTROL!$C$28, 0.0226, 0)</f>
        <v>23.048100000000002</v>
      </c>
      <c r="D228" s="4">
        <f>31.8795 * CHOOSE(CONTROL!$C$9, $C$13, 100%, $E$13) + CHOOSE(CONTROL!$C$28, 0.0021, 0)</f>
        <v>31.881599999999999</v>
      </c>
      <c r="E228" s="4">
        <f>148.317907677595 * CHOOSE(CONTROL!$C$9, $C$13, 100%, $E$13) + CHOOSE(CONTROL!$C$28, 0.0021, 0)</f>
        <v>148.32000767759502</v>
      </c>
    </row>
    <row r="229" spans="1:5" ht="15">
      <c r="A229" s="13">
        <v>48092</v>
      </c>
      <c r="B229" s="4">
        <f>22.4876 * CHOOSE(CONTROL!$C$9, $C$13, 100%, $E$13) + CHOOSE(CONTROL!$C$28, 0.0226, 0)</f>
        <v>22.510200000000001</v>
      </c>
      <c r="C229" s="4">
        <f>22.1243 * CHOOSE(CONTROL!$C$9, $C$13, 100%, $E$13) + CHOOSE(CONTROL!$C$28, 0.0226, 0)</f>
        <v>22.146900000000002</v>
      </c>
      <c r="D229" s="4">
        <f>31.7258 * CHOOSE(CONTROL!$C$9, $C$13, 100%, $E$13) + CHOOSE(CONTROL!$C$28, 0.0021, 0)</f>
        <v>31.727899999999998</v>
      </c>
      <c r="E229" s="4">
        <f>142.407312894825 * CHOOSE(CONTROL!$C$9, $C$13, 100%, $E$13) + CHOOSE(CONTROL!$C$28, 0.0021, 0)</f>
        <v>142.40941289482501</v>
      </c>
    </row>
    <row r="230" spans="1:5" ht="15">
      <c r="A230" s="13">
        <v>48122</v>
      </c>
      <c r="B230" s="4">
        <f>21.7661 * CHOOSE(CONTROL!$C$9, $C$13, 100%, $E$13) + CHOOSE(CONTROL!$C$28, 0.0226, 0)</f>
        <v>21.788700000000002</v>
      </c>
      <c r="C230" s="4">
        <f>21.4028 * CHOOSE(CONTROL!$C$9, $C$13, 100%, $E$13) + CHOOSE(CONTROL!$C$28, 0.0226, 0)</f>
        <v>21.4254</v>
      </c>
      <c r="D230" s="4">
        <f>31.3141 * CHOOSE(CONTROL!$C$9, $C$13, 100%, $E$13) + CHOOSE(CONTROL!$C$28, 0.0021, 0)</f>
        <v>31.316199999999998</v>
      </c>
      <c r="E230" s="4">
        <f>137.675764634673 * CHOOSE(CONTROL!$C$9, $C$13, 100%, $E$13) + CHOOSE(CONTROL!$C$28, 0.0021, 0)</f>
        <v>137.677864634673</v>
      </c>
    </row>
    <row r="231" spans="1:5" ht="15">
      <c r="A231" s="13">
        <v>48153</v>
      </c>
      <c r="B231" s="4">
        <f>21.3014 * CHOOSE(CONTROL!$C$9, $C$13, 100%, $E$13) + CHOOSE(CONTROL!$C$28, 0.0226, 0)</f>
        <v>21.324000000000002</v>
      </c>
      <c r="C231" s="4">
        <f>20.9381 * CHOOSE(CONTROL!$C$9, $C$13, 100%, $E$13) + CHOOSE(CONTROL!$C$28, 0.0226, 0)</f>
        <v>20.960699999999999</v>
      </c>
      <c r="D231" s="4">
        <f>31.1726 * CHOOSE(CONTROL!$C$9, $C$13, 100%, $E$13) + CHOOSE(CONTROL!$C$28, 0.0021, 0)</f>
        <v>31.174699999999998</v>
      </c>
      <c r="E231" s="4">
        <f>134.628294225233 * CHOOSE(CONTROL!$C$9, $C$13, 100%, $E$13) + CHOOSE(CONTROL!$C$28, 0.0021, 0)</f>
        <v>134.630394225233</v>
      </c>
    </row>
    <row r="232" spans="1:5" ht="15">
      <c r="A232" s="13">
        <v>48183</v>
      </c>
      <c r="B232" s="4">
        <f>20.9799 * CHOOSE(CONTROL!$C$9, $C$13, 100%, $E$13) + CHOOSE(CONTROL!$C$28, 0.0226, 0)</f>
        <v>21.002500000000001</v>
      </c>
      <c r="C232" s="4">
        <f>20.6166 * CHOOSE(CONTROL!$C$9, $C$13, 100%, $E$13) + CHOOSE(CONTROL!$C$28, 0.0226, 0)</f>
        <v>20.639199999999999</v>
      </c>
      <c r="D232" s="4">
        <f>30.1307 * CHOOSE(CONTROL!$C$9, $C$13, 100%, $E$13) + CHOOSE(CONTROL!$C$28, 0.0021, 0)</f>
        <v>30.1328</v>
      </c>
      <c r="E232" s="4">
        <f>132.519836437227 * CHOOSE(CONTROL!$C$9, $C$13, 100%, $E$13) + CHOOSE(CONTROL!$C$28, 0.0021, 0)</f>
        <v>132.52193643722703</v>
      </c>
    </row>
    <row r="233" spans="1:5" ht="15">
      <c r="A233" s="13">
        <v>48214</v>
      </c>
      <c r="B233" s="4">
        <f>20.4932 * CHOOSE(CONTROL!$C$9, $C$13, 100%, $E$13) + CHOOSE(CONTROL!$C$28, 0.0226, 0)</f>
        <v>20.515800000000002</v>
      </c>
      <c r="C233" s="4">
        <f>20.1299 * CHOOSE(CONTROL!$C$9, $C$13, 100%, $E$13) + CHOOSE(CONTROL!$C$28, 0.0226, 0)</f>
        <v>20.1525</v>
      </c>
      <c r="D233" s="4">
        <f>29.264 * CHOOSE(CONTROL!$C$9, $C$13, 100%, $E$13) + CHOOSE(CONTROL!$C$28, 0.0021, 0)</f>
        <v>29.266099999999998</v>
      </c>
      <c r="E233" s="4">
        <f>129.176885413671 * CHOOSE(CONTROL!$C$9, $C$13, 100%, $E$13) + CHOOSE(CONTROL!$C$28, 0.0021, 0)</f>
        <v>129.178985413671</v>
      </c>
    </row>
    <row r="234" spans="1:5" ht="15">
      <c r="A234" s="13">
        <v>48245</v>
      </c>
      <c r="B234" s="4">
        <f>20.9614 * CHOOSE(CONTROL!$C$9, $C$13, 100%, $E$13) + CHOOSE(CONTROL!$C$28, 0.0226, 0)</f>
        <v>20.984000000000002</v>
      </c>
      <c r="C234" s="4">
        <f>20.5981 * CHOOSE(CONTROL!$C$9, $C$13, 100%, $E$13) + CHOOSE(CONTROL!$C$28, 0.0226, 0)</f>
        <v>20.620699999999999</v>
      </c>
      <c r="D234" s="4">
        <f>30.2315 * CHOOSE(CONTROL!$C$9, $C$13, 100%, $E$13) + CHOOSE(CONTROL!$C$28, 0.0021, 0)</f>
        <v>30.233599999999999</v>
      </c>
      <c r="E234" s="4">
        <f>132.244053747799 * CHOOSE(CONTROL!$C$9, $C$13, 100%, $E$13) + CHOOSE(CONTROL!$C$28, 0.0021, 0)</f>
        <v>132.24615374779901</v>
      </c>
    </row>
    <row r="235" spans="1:5" ht="15">
      <c r="A235" s="13">
        <v>48274</v>
      </c>
      <c r="B235" s="4">
        <f>22.191 * CHOOSE(CONTROL!$C$9, $C$13, 100%, $E$13) + CHOOSE(CONTROL!$C$28, 0.0226, 0)</f>
        <v>22.2136</v>
      </c>
      <c r="C235" s="4">
        <f>21.8277 * CHOOSE(CONTROL!$C$9, $C$13, 100%, $E$13) + CHOOSE(CONTROL!$C$28, 0.0226, 0)</f>
        <v>21.850300000000001</v>
      </c>
      <c r="D235" s="4">
        <f>31.746 * CHOOSE(CONTROL!$C$9, $C$13, 100%, $E$13) + CHOOSE(CONTROL!$C$28, 0.0021, 0)</f>
        <v>31.748099999999997</v>
      </c>
      <c r="E235" s="4">
        <f>140.298600792443 * CHOOSE(CONTROL!$C$9, $C$13, 100%, $E$13) + CHOOSE(CONTROL!$C$28, 0.0021, 0)</f>
        <v>140.30070079244302</v>
      </c>
    </row>
    <row r="236" spans="1:5" ht="15">
      <c r="A236" s="13">
        <v>48305</v>
      </c>
      <c r="B236" s="4">
        <f>23.0646 * CHOOSE(CONTROL!$C$9, $C$13, 100%, $E$13) + CHOOSE(CONTROL!$C$28, 0.0226, 0)</f>
        <v>23.087199999999999</v>
      </c>
      <c r="C236" s="4">
        <f>22.7013 * CHOOSE(CONTROL!$C$9, $C$13, 100%, $E$13) + CHOOSE(CONTROL!$C$28, 0.0226, 0)</f>
        <v>22.7239</v>
      </c>
      <c r="D236" s="4">
        <f>32.6184 * CHOOSE(CONTROL!$C$9, $C$13, 100%, $E$13) + CHOOSE(CONTROL!$C$28, 0.0021, 0)</f>
        <v>32.6205</v>
      </c>
      <c r="E236" s="4">
        <f>146.021463808616 * CHOOSE(CONTROL!$C$9, $C$13, 100%, $E$13) + CHOOSE(CONTROL!$C$28, 0.0021, 0)</f>
        <v>146.02356380861602</v>
      </c>
    </row>
    <row r="237" spans="1:5" ht="15">
      <c r="A237" s="13">
        <v>48335</v>
      </c>
      <c r="B237" s="4">
        <f>23.5984 * CHOOSE(CONTROL!$C$9, $C$13, 100%, $E$13) + CHOOSE(CONTROL!$C$28, 0.0226, 0)</f>
        <v>23.621000000000002</v>
      </c>
      <c r="C237" s="4">
        <f>23.2351 * CHOOSE(CONTROL!$C$9, $C$13, 100%, $E$13) + CHOOSE(CONTROL!$C$28, 0.0226, 0)</f>
        <v>23.2577</v>
      </c>
      <c r="D237" s="4">
        <f>32.2737 * CHOOSE(CONTROL!$C$9, $C$13, 100%, $E$13) + CHOOSE(CONTROL!$C$28, 0.0021, 0)</f>
        <v>32.275799999999997</v>
      </c>
      <c r="E237" s="4">
        <f>149.517995953613 * CHOOSE(CONTROL!$C$9, $C$13, 100%, $E$13) + CHOOSE(CONTROL!$C$28, 0.0021, 0)</f>
        <v>149.52009595361301</v>
      </c>
    </row>
    <row r="238" spans="1:5" ht="15">
      <c r="A238" s="13">
        <v>48366</v>
      </c>
      <c r="B238" s="4">
        <f>23.6706 * CHOOSE(CONTROL!$C$9, $C$13, 100%, $E$13) + CHOOSE(CONTROL!$C$28, 0.0226, 0)</f>
        <v>23.693200000000001</v>
      </c>
      <c r="C238" s="4">
        <f>23.3073 * CHOOSE(CONTROL!$C$9, $C$13, 100%, $E$13) + CHOOSE(CONTROL!$C$28, 0.0226, 0)</f>
        <v>23.329900000000002</v>
      </c>
      <c r="D238" s="4">
        <f>32.5544 * CHOOSE(CONTROL!$C$9, $C$13, 100%, $E$13) + CHOOSE(CONTROL!$C$28, 0.0021, 0)</f>
        <v>32.5565</v>
      </c>
      <c r="E238" s="4">
        <f>149.991091263738 * CHOOSE(CONTROL!$C$9, $C$13, 100%, $E$13) + CHOOSE(CONTROL!$C$28, 0.0021, 0)</f>
        <v>149.99319126373803</v>
      </c>
    </row>
    <row r="239" spans="1:5" ht="15">
      <c r="A239" s="13">
        <v>48396</v>
      </c>
      <c r="B239" s="4">
        <f>23.6633 * CHOOSE(CONTROL!$C$9, $C$13, 100%, $E$13) + CHOOSE(CONTROL!$C$28, 0.0226, 0)</f>
        <v>23.6859</v>
      </c>
      <c r="C239" s="4">
        <f>23.3 * CHOOSE(CONTROL!$C$9, $C$13, 100%, $E$13) + CHOOSE(CONTROL!$C$28, 0.0226, 0)</f>
        <v>23.322600000000001</v>
      </c>
      <c r="D239" s="4">
        <f>33.061 * CHOOSE(CONTROL!$C$9, $C$13, 100%, $E$13) + CHOOSE(CONTROL!$C$28, 0.0021, 0)</f>
        <v>33.063099999999999</v>
      </c>
      <c r="E239" s="4">
        <f>149.943384173641 * CHOOSE(CONTROL!$C$9, $C$13, 100%, $E$13) + CHOOSE(CONTROL!$C$28, 0.0021, 0)</f>
        <v>149.94548417364101</v>
      </c>
    </row>
    <row r="240" spans="1:5" ht="15">
      <c r="A240" s="13">
        <v>48427</v>
      </c>
      <c r="B240" s="4">
        <f>24.2114 * CHOOSE(CONTROL!$C$9, $C$13, 100%, $E$13) + CHOOSE(CONTROL!$C$28, 0.0226, 0)</f>
        <v>24.234000000000002</v>
      </c>
      <c r="C240" s="4">
        <f>23.8481 * CHOOSE(CONTROL!$C$9, $C$13, 100%, $E$13) + CHOOSE(CONTROL!$C$28, 0.0226, 0)</f>
        <v>23.870699999999999</v>
      </c>
      <c r="D240" s="4">
        <f>32.7265 * CHOOSE(CONTROL!$C$9, $C$13, 100%, $E$13) + CHOOSE(CONTROL!$C$28, 0.0021, 0)</f>
        <v>32.7286</v>
      </c>
      <c r="E240" s="4">
        <f>153.533342703411 * CHOOSE(CONTROL!$C$9, $C$13, 100%, $E$13) + CHOOSE(CONTROL!$C$28, 0.0021, 0)</f>
        <v>153.53544270341101</v>
      </c>
    </row>
    <row r="241" spans="1:5" ht="15">
      <c r="A241" s="13">
        <v>48458</v>
      </c>
      <c r="B241" s="4">
        <f>23.2773 * CHOOSE(CONTROL!$C$9, $C$13, 100%, $E$13) + CHOOSE(CONTROL!$C$28, 0.0226, 0)</f>
        <v>23.299900000000001</v>
      </c>
      <c r="C241" s="4">
        <f>22.9141 * CHOOSE(CONTROL!$C$9, $C$13, 100%, $E$13) + CHOOSE(CONTROL!$C$28, 0.0226, 0)</f>
        <v>22.936700000000002</v>
      </c>
      <c r="D241" s="4">
        <f>32.5684 * CHOOSE(CONTROL!$C$9, $C$13, 100%, $E$13) + CHOOSE(CONTROL!$C$28, 0.0021, 0)</f>
        <v>32.570499999999996</v>
      </c>
      <c r="E241" s="4">
        <f>147.414908398521 * CHOOSE(CONTROL!$C$9, $C$13, 100%, $E$13) + CHOOSE(CONTROL!$C$28, 0.0021, 0)</f>
        <v>147.41700839852101</v>
      </c>
    </row>
    <row r="242" spans="1:5" ht="15">
      <c r="A242" s="13">
        <v>48488</v>
      </c>
      <c r="B242" s="4">
        <f>22.5296 * CHOOSE(CONTROL!$C$9, $C$13, 100%, $E$13) + CHOOSE(CONTROL!$C$28, 0.0226, 0)</f>
        <v>22.552199999999999</v>
      </c>
      <c r="C242" s="4">
        <f>22.1664 * CHOOSE(CONTROL!$C$9, $C$13, 100%, $E$13) + CHOOSE(CONTROL!$C$28, 0.0226, 0)</f>
        <v>22.189</v>
      </c>
      <c r="D242" s="4">
        <f>32.1452 * CHOOSE(CONTROL!$C$9, $C$13, 100%, $E$13) + CHOOSE(CONTROL!$C$28, 0.0021, 0)</f>
        <v>32.147300000000001</v>
      </c>
      <c r="E242" s="4">
        <f>142.516980481936 * CHOOSE(CONTROL!$C$9, $C$13, 100%, $E$13) + CHOOSE(CONTROL!$C$28, 0.0021, 0)</f>
        <v>142.51908048193602</v>
      </c>
    </row>
    <row r="243" spans="1:5" ht="15">
      <c r="A243" s="13">
        <v>48519</v>
      </c>
      <c r="B243" s="4">
        <f>22.0481 * CHOOSE(CONTROL!$C$9, $C$13, 100%, $E$13) + CHOOSE(CONTROL!$C$28, 0.0226, 0)</f>
        <v>22.070700000000002</v>
      </c>
      <c r="C243" s="4">
        <f>21.6848 * CHOOSE(CONTROL!$C$9, $C$13, 100%, $E$13) + CHOOSE(CONTROL!$C$28, 0.0226, 0)</f>
        <v>21.7074</v>
      </c>
      <c r="D243" s="4">
        <f>31.9997 * CHOOSE(CONTROL!$C$9, $C$13, 100%, $E$13) + CHOOSE(CONTROL!$C$28, 0.0021, 0)</f>
        <v>32.001800000000003</v>
      </c>
      <c r="E243" s="4">
        <f>139.362349149297 * CHOOSE(CONTROL!$C$9, $C$13, 100%, $E$13) + CHOOSE(CONTROL!$C$28, 0.0021, 0)</f>
        <v>139.364449149297</v>
      </c>
    </row>
    <row r="244" spans="1:5" ht="15">
      <c r="A244" s="13">
        <v>48549</v>
      </c>
      <c r="B244" s="4">
        <f>21.7149 * CHOOSE(CONTROL!$C$9, $C$13, 100%, $E$13) + CHOOSE(CONTROL!$C$28, 0.0226, 0)</f>
        <v>21.737500000000001</v>
      </c>
      <c r="C244" s="4">
        <f>21.3516 * CHOOSE(CONTROL!$C$9, $C$13, 100%, $E$13) + CHOOSE(CONTROL!$C$28, 0.0226, 0)</f>
        <v>21.374200000000002</v>
      </c>
      <c r="D244" s="4">
        <f>30.9284 * CHOOSE(CONTROL!$C$9, $C$13, 100%, $E$13) + CHOOSE(CONTROL!$C$28, 0.0021, 0)</f>
        <v>30.930499999999999</v>
      </c>
      <c r="E244" s="4">
        <f>137.179749777377 * CHOOSE(CONTROL!$C$9, $C$13, 100%, $E$13) + CHOOSE(CONTROL!$C$28, 0.0021, 0)</f>
        <v>137.18184977737701</v>
      </c>
    </row>
    <row r="245" spans="1:5" ht="15">
      <c r="A245" s="13">
        <v>48580</v>
      </c>
      <c r="B245" s="4">
        <f>21.1852 * CHOOSE(CONTROL!$C$9, $C$13, 100%, $E$13) + CHOOSE(CONTROL!$C$28, 0.0226, 0)</f>
        <v>21.207799999999999</v>
      </c>
      <c r="C245" s="4">
        <f>20.822 * CHOOSE(CONTROL!$C$9, $C$13, 100%, $E$13) + CHOOSE(CONTROL!$C$28, 0.0226, 0)</f>
        <v>20.8446</v>
      </c>
      <c r="D245" s="4">
        <f>30.016 * CHOOSE(CONTROL!$C$9, $C$13, 100%, $E$13) + CHOOSE(CONTROL!$C$28, 0.0021, 0)</f>
        <v>30.018099999999997</v>
      </c>
      <c r="E245" s="4">
        <f>133.564533054749 * CHOOSE(CONTROL!$C$9, $C$13, 100%, $E$13) + CHOOSE(CONTROL!$C$28, 0.0021, 0)</f>
        <v>133.56663305474902</v>
      </c>
    </row>
    <row r="246" spans="1:5" ht="15">
      <c r="A246" s="13">
        <v>48611</v>
      </c>
      <c r="B246" s="4">
        <f>21.6699 * CHOOSE(CONTROL!$C$9, $C$13, 100%, $E$13) + CHOOSE(CONTROL!$C$28, 0.0226, 0)</f>
        <v>21.692499999999999</v>
      </c>
      <c r="C246" s="4">
        <f>21.3066 * CHOOSE(CONTROL!$C$9, $C$13, 100%, $E$13) + CHOOSE(CONTROL!$C$28, 0.0226, 0)</f>
        <v>21.3292</v>
      </c>
      <c r="D246" s="4">
        <f>31.01 * CHOOSE(CONTROL!$C$9, $C$13, 100%, $E$13) + CHOOSE(CONTROL!$C$28, 0.0021, 0)</f>
        <v>31.0121</v>
      </c>
      <c r="E246" s="4">
        <f>136.735881435198 * CHOOSE(CONTROL!$C$9, $C$13, 100%, $E$13) + CHOOSE(CONTROL!$C$28, 0.0021, 0)</f>
        <v>136.73798143519801</v>
      </c>
    </row>
    <row r="247" spans="1:5" ht="15">
      <c r="A247" s="13">
        <v>48639</v>
      </c>
      <c r="B247" s="4">
        <f>22.9426 * CHOOSE(CONTROL!$C$9, $C$13, 100%, $E$13) + CHOOSE(CONTROL!$C$28, 0.0226, 0)</f>
        <v>22.965199999999999</v>
      </c>
      <c r="C247" s="4">
        <f>22.5794 * CHOOSE(CONTROL!$C$9, $C$13, 100%, $E$13) + CHOOSE(CONTROL!$C$28, 0.0226, 0)</f>
        <v>22.602</v>
      </c>
      <c r="D247" s="4">
        <f>32.5661 * CHOOSE(CONTROL!$C$9, $C$13, 100%, $E$13) + CHOOSE(CONTROL!$C$28, 0.0021, 0)</f>
        <v>32.568199999999997</v>
      </c>
      <c r="E247" s="4">
        <f>145.064010817946 * CHOOSE(CONTROL!$C$9, $C$13, 100%, $E$13) + CHOOSE(CONTROL!$C$28, 0.0021, 0)</f>
        <v>145.06611081794603</v>
      </c>
    </row>
    <row r="248" spans="1:5" ht="15">
      <c r="A248" s="13">
        <v>48670</v>
      </c>
      <c r="B248" s="4">
        <f>23.8469 * CHOOSE(CONTROL!$C$9, $C$13, 100%, $E$13) + CHOOSE(CONTROL!$C$28, 0.0226, 0)</f>
        <v>23.869500000000002</v>
      </c>
      <c r="C248" s="4">
        <f>23.4837 * CHOOSE(CONTROL!$C$9, $C$13, 100%, $E$13) + CHOOSE(CONTROL!$C$28, 0.0226, 0)</f>
        <v>23.5063</v>
      </c>
      <c r="D248" s="4">
        <f>33.4624 * CHOOSE(CONTROL!$C$9, $C$13, 100%, $E$13) + CHOOSE(CONTROL!$C$28, 0.0021, 0)</f>
        <v>33.464500000000001</v>
      </c>
      <c r="E248" s="4">
        <f>150.981257731304 * CHOOSE(CONTROL!$C$9, $C$13, 100%, $E$13) + CHOOSE(CONTROL!$C$28, 0.0021, 0)</f>
        <v>150.98335773130401</v>
      </c>
    </row>
    <row r="249" spans="1:5" ht="15">
      <c r="A249" s="13">
        <v>48700</v>
      </c>
      <c r="B249" s="4">
        <f>24.3994 * CHOOSE(CONTROL!$C$9, $C$13, 100%, $E$13) + CHOOSE(CONTROL!$C$28, 0.0226, 0)</f>
        <v>24.422000000000001</v>
      </c>
      <c r="C249" s="4">
        <f>24.0362 * CHOOSE(CONTROL!$C$9, $C$13, 100%, $E$13) + CHOOSE(CONTROL!$C$28, 0.0226, 0)</f>
        <v>24.058800000000002</v>
      </c>
      <c r="D249" s="4">
        <f>33.1082 * CHOOSE(CONTROL!$C$9, $C$13, 100%, $E$13) + CHOOSE(CONTROL!$C$28, 0.0021, 0)</f>
        <v>33.110299999999995</v>
      </c>
      <c r="E249" s="4">
        <f>154.596553778751 * CHOOSE(CONTROL!$C$9, $C$13, 100%, $E$13) + CHOOSE(CONTROL!$C$28, 0.0021, 0)</f>
        <v>154.59865377875101</v>
      </c>
    </row>
    <row r="250" spans="1:5" ht="15">
      <c r="A250" s="13">
        <v>48731</v>
      </c>
      <c r="B250" s="4">
        <f>24.4742 * CHOOSE(CONTROL!$C$9, $C$13, 100%, $E$13) + CHOOSE(CONTROL!$C$28, 0.0226, 0)</f>
        <v>24.4968</v>
      </c>
      <c r="C250" s="4">
        <f>24.1109 * CHOOSE(CONTROL!$C$9, $C$13, 100%, $E$13) + CHOOSE(CONTROL!$C$28, 0.0226, 0)</f>
        <v>24.133500000000002</v>
      </c>
      <c r="D250" s="4">
        <f>33.3967 * CHOOSE(CONTROL!$C$9, $C$13, 100%, $E$13) + CHOOSE(CONTROL!$C$28, 0.0021, 0)</f>
        <v>33.398800000000001</v>
      </c>
      <c r="E250" s="4">
        <f>155.085718337757 * CHOOSE(CONTROL!$C$9, $C$13, 100%, $E$13) + CHOOSE(CONTROL!$C$28, 0.0021, 0)</f>
        <v>155.087818337757</v>
      </c>
    </row>
    <row r="251" spans="1:5" ht="15">
      <c r="A251" s="13">
        <v>48761</v>
      </c>
      <c r="B251" s="4">
        <f>24.4667 * CHOOSE(CONTROL!$C$9, $C$13, 100%, $E$13) + CHOOSE(CONTROL!$C$28, 0.0226, 0)</f>
        <v>24.4893</v>
      </c>
      <c r="C251" s="4">
        <f>24.1034 * CHOOSE(CONTROL!$C$9, $C$13, 100%, $E$13) + CHOOSE(CONTROL!$C$28, 0.0226, 0)</f>
        <v>24.126000000000001</v>
      </c>
      <c r="D251" s="4">
        <f>33.9172 * CHOOSE(CONTROL!$C$9, $C$13, 100%, $E$13) + CHOOSE(CONTROL!$C$28, 0.0021, 0)</f>
        <v>33.9193</v>
      </c>
      <c r="E251" s="4">
        <f>155.036390819202 * CHOOSE(CONTROL!$C$9, $C$13, 100%, $E$13) + CHOOSE(CONTROL!$C$28, 0.0021, 0)</f>
        <v>155.03849081920202</v>
      </c>
    </row>
    <row r="252" spans="1:5" ht="15">
      <c r="A252" s="13">
        <v>48792</v>
      </c>
      <c r="B252" s="4">
        <f>25.0339 * CHOOSE(CONTROL!$C$9, $C$13, 100%, $E$13) + CHOOSE(CONTROL!$C$28, 0.0226, 0)</f>
        <v>25.0565</v>
      </c>
      <c r="C252" s="4">
        <f>24.6706 * CHOOSE(CONTROL!$C$9, $C$13, 100%, $E$13) + CHOOSE(CONTROL!$C$28, 0.0226, 0)</f>
        <v>24.693200000000001</v>
      </c>
      <c r="D252" s="4">
        <f>33.5735 * CHOOSE(CONTROL!$C$9, $C$13, 100%, $E$13) + CHOOSE(CONTROL!$C$28, 0.0021, 0)</f>
        <v>33.575600000000001</v>
      </c>
      <c r="E252" s="4">
        <f>158.748286590486 * CHOOSE(CONTROL!$C$9, $C$13, 100%, $E$13) + CHOOSE(CONTROL!$C$28, 0.0021, 0)</f>
        <v>158.75038659048602</v>
      </c>
    </row>
    <row r="253" spans="1:5" ht="15">
      <c r="A253" s="13">
        <v>48823</v>
      </c>
      <c r="B253" s="4">
        <f>24.0671 * CHOOSE(CONTROL!$C$9, $C$13, 100%, $E$13) + CHOOSE(CONTROL!$C$28, 0.0226, 0)</f>
        <v>24.089700000000001</v>
      </c>
      <c r="C253" s="4">
        <f>23.7038 * CHOOSE(CONTROL!$C$9, $C$13, 100%, $E$13) + CHOOSE(CONTROL!$C$28, 0.0226, 0)</f>
        <v>23.726400000000002</v>
      </c>
      <c r="D253" s="4">
        <f>33.4111 * CHOOSE(CONTROL!$C$9, $C$13, 100%, $E$13) + CHOOSE(CONTROL!$C$28, 0.0021, 0)</f>
        <v>33.413199999999996</v>
      </c>
      <c r="E253" s="4">
        <f>152.422032335773 * CHOOSE(CONTROL!$C$9, $C$13, 100%, $E$13) + CHOOSE(CONTROL!$C$28, 0.0021, 0)</f>
        <v>152.42413233577301</v>
      </c>
    </row>
    <row r="254" spans="1:5" ht="15">
      <c r="A254" s="13">
        <v>48853</v>
      </c>
      <c r="B254" s="4">
        <f>23.2932 * CHOOSE(CONTROL!$C$9, $C$13, 100%, $E$13) + CHOOSE(CONTROL!$C$28, 0.0226, 0)</f>
        <v>23.315799999999999</v>
      </c>
      <c r="C254" s="4">
        <f>22.9299 * CHOOSE(CONTROL!$C$9, $C$13, 100%, $E$13) + CHOOSE(CONTROL!$C$28, 0.0226, 0)</f>
        <v>22.952500000000001</v>
      </c>
      <c r="D254" s="4">
        <f>32.9762 * CHOOSE(CONTROL!$C$9, $C$13, 100%, $E$13) + CHOOSE(CONTROL!$C$28, 0.0021, 0)</f>
        <v>32.978299999999997</v>
      </c>
      <c r="E254" s="4">
        <f>147.357740430765 * CHOOSE(CONTROL!$C$9, $C$13, 100%, $E$13) + CHOOSE(CONTROL!$C$28, 0.0021, 0)</f>
        <v>147.35984043076502</v>
      </c>
    </row>
    <row r="255" spans="1:5" ht="15">
      <c r="A255" s="13">
        <v>48884</v>
      </c>
      <c r="B255" s="4">
        <f>22.7947 * CHOOSE(CONTROL!$C$9, $C$13, 100%, $E$13) + CHOOSE(CONTROL!$C$28, 0.0226, 0)</f>
        <v>22.817299999999999</v>
      </c>
      <c r="C255" s="4">
        <f>22.4314 * CHOOSE(CONTROL!$C$9, $C$13, 100%, $E$13) + CHOOSE(CONTROL!$C$28, 0.0226, 0)</f>
        <v>22.454000000000001</v>
      </c>
      <c r="D255" s="4">
        <f>32.8267 * CHOOSE(CONTROL!$C$9, $C$13, 100%, $E$13) + CHOOSE(CONTROL!$C$28, 0.0021, 0)</f>
        <v>32.828800000000001</v>
      </c>
      <c r="E255" s="4">
        <f>144.095958266299 * CHOOSE(CONTROL!$C$9, $C$13, 100%, $E$13) + CHOOSE(CONTROL!$C$28, 0.0021, 0)</f>
        <v>144.09805826629901</v>
      </c>
    </row>
    <row r="256" spans="1:5" ht="15">
      <c r="A256" s="13">
        <v>48914</v>
      </c>
      <c r="B256" s="4">
        <f>22.4498 * CHOOSE(CONTROL!$C$9, $C$13, 100%, $E$13) + CHOOSE(CONTROL!$C$28, 0.0226, 0)</f>
        <v>22.4724</v>
      </c>
      <c r="C256" s="4">
        <f>22.0865 * CHOOSE(CONTROL!$C$9, $C$13, 100%, $E$13) + CHOOSE(CONTROL!$C$28, 0.0226, 0)</f>
        <v>22.109100000000002</v>
      </c>
      <c r="D256" s="4">
        <f>31.7261 * CHOOSE(CONTROL!$C$9, $C$13, 100%, $E$13) + CHOOSE(CONTROL!$C$28, 0.0021, 0)</f>
        <v>31.728199999999998</v>
      </c>
      <c r="E256" s="4">
        <f>141.839224292395 * CHOOSE(CONTROL!$C$9, $C$13, 100%, $E$13) + CHOOSE(CONTROL!$C$28, 0.0021, 0)</f>
        <v>141.841324292395</v>
      </c>
    </row>
    <row r="257" spans="1:5" ht="15">
      <c r="A257" s="13">
        <v>48945</v>
      </c>
      <c r="B257" s="4">
        <f>21.8773 * CHOOSE(CONTROL!$C$9, $C$13, 100%, $E$13) + CHOOSE(CONTROL!$C$28, 0.0226, 0)</f>
        <v>21.899900000000002</v>
      </c>
      <c r="C257" s="4">
        <f>21.514 * CHOOSE(CONTROL!$C$9, $C$13, 100%, $E$13) + CHOOSE(CONTROL!$C$28, 0.0226, 0)</f>
        <v>21.5366</v>
      </c>
      <c r="D257" s="4">
        <f>30.768 * CHOOSE(CONTROL!$C$9, $C$13, 100%, $E$13) + CHOOSE(CONTROL!$C$28, 0.0021, 0)</f>
        <v>30.770099999999999</v>
      </c>
      <c r="E257" s="4">
        <f>137.951753696948 * CHOOSE(CONTROL!$C$9, $C$13, 100%, $E$13) + CHOOSE(CONTROL!$C$28, 0.0021, 0)</f>
        <v>137.95385369694802</v>
      </c>
    </row>
    <row r="258" spans="1:5" ht="15">
      <c r="A258" s="13">
        <v>48976</v>
      </c>
      <c r="B258" s="4">
        <f>22.3784 * CHOOSE(CONTROL!$C$9, $C$13, 100%, $E$13) + CHOOSE(CONTROL!$C$28, 0.0226, 0)</f>
        <v>22.401</v>
      </c>
      <c r="C258" s="4">
        <f>22.0151 * CHOOSE(CONTROL!$C$9, $C$13, 100%, $E$13) + CHOOSE(CONTROL!$C$28, 0.0226, 0)</f>
        <v>22.037700000000001</v>
      </c>
      <c r="D258" s="4">
        <f>31.7886 * CHOOSE(CONTROL!$C$9, $C$13, 100%, $E$13) + CHOOSE(CONTROL!$C$28, 0.0021, 0)</f>
        <v>31.790699999999998</v>
      </c>
      <c r="E258" s="4">
        <f>141.227271985082 * CHOOSE(CONTROL!$C$9, $C$13, 100%, $E$13) + CHOOSE(CONTROL!$C$28, 0.0021, 0)</f>
        <v>141.22937198508203</v>
      </c>
    </row>
    <row r="259" spans="1:5" ht="15">
      <c r="A259" s="13">
        <v>49004</v>
      </c>
      <c r="B259" s="4">
        <f>23.6943 * CHOOSE(CONTROL!$C$9, $C$13, 100%, $E$13) + CHOOSE(CONTROL!$C$28, 0.0226, 0)</f>
        <v>23.716899999999999</v>
      </c>
      <c r="C259" s="4">
        <f>23.331 * CHOOSE(CONTROL!$C$9, $C$13, 100%, $E$13) + CHOOSE(CONTROL!$C$28, 0.0226, 0)</f>
        <v>23.3536</v>
      </c>
      <c r="D259" s="4">
        <f>33.3862 * CHOOSE(CONTROL!$C$9, $C$13, 100%, $E$13) + CHOOSE(CONTROL!$C$28, 0.0021, 0)</f>
        <v>33.388300000000001</v>
      </c>
      <c r="E259" s="4">
        <f>149.828957081336 * CHOOSE(CONTROL!$C$9, $C$13, 100%, $E$13) + CHOOSE(CONTROL!$C$28, 0.0021, 0)</f>
        <v>149.83105708133601</v>
      </c>
    </row>
    <row r="260" spans="1:5" ht="15">
      <c r="A260" s="13">
        <v>49035</v>
      </c>
      <c r="B260" s="4">
        <f>24.6293 * CHOOSE(CONTROL!$C$9, $C$13, 100%, $E$13) + CHOOSE(CONTROL!$C$28, 0.0226, 0)</f>
        <v>24.651900000000001</v>
      </c>
      <c r="C260" s="4">
        <f>24.266 * CHOOSE(CONTROL!$C$9, $C$13, 100%, $E$13) + CHOOSE(CONTROL!$C$28, 0.0226, 0)</f>
        <v>24.288599999999999</v>
      </c>
      <c r="D260" s="4">
        <f>34.3065 * CHOOSE(CONTROL!$C$9, $C$13, 100%, $E$13) + CHOOSE(CONTROL!$C$28, 0.0021, 0)</f>
        <v>34.308599999999998</v>
      </c>
      <c r="E260" s="4">
        <f>155.94056897475 * CHOOSE(CONTROL!$C$9, $C$13, 100%, $E$13) + CHOOSE(CONTROL!$C$28, 0.0021, 0)</f>
        <v>155.94266897475001</v>
      </c>
    </row>
    <row r="261" spans="1:5" ht="15">
      <c r="A261" s="13">
        <v>49065</v>
      </c>
      <c r="B261" s="4">
        <f>25.2005 * CHOOSE(CONTROL!$C$9, $C$13, 100%, $E$13) + CHOOSE(CONTROL!$C$28, 0.0226, 0)</f>
        <v>25.223100000000002</v>
      </c>
      <c r="C261" s="4">
        <f>24.8372 * CHOOSE(CONTROL!$C$9, $C$13, 100%, $E$13) + CHOOSE(CONTROL!$C$28, 0.0226, 0)</f>
        <v>24.8598</v>
      </c>
      <c r="D261" s="4">
        <f>33.9428 * CHOOSE(CONTROL!$C$9, $C$13, 100%, $E$13) + CHOOSE(CONTROL!$C$28, 0.0021, 0)</f>
        <v>33.944899999999997</v>
      </c>
      <c r="E261" s="4">
        <f>159.674617366731 * CHOOSE(CONTROL!$C$9, $C$13, 100%, $E$13) + CHOOSE(CONTROL!$C$28, 0.0021, 0)</f>
        <v>159.67671736673103</v>
      </c>
    </row>
    <row r="262" spans="1:5" ht="15">
      <c r="A262" s="13">
        <v>49096</v>
      </c>
      <c r="B262" s="4">
        <f>25.2778 * CHOOSE(CONTROL!$C$9, $C$13, 100%, $E$13) + CHOOSE(CONTROL!$C$28, 0.0226, 0)</f>
        <v>25.3004</v>
      </c>
      <c r="C262" s="4">
        <f>24.9145 * CHOOSE(CONTROL!$C$9, $C$13, 100%, $E$13) + CHOOSE(CONTROL!$C$28, 0.0226, 0)</f>
        <v>24.937100000000001</v>
      </c>
      <c r="D262" s="4">
        <f>34.239 * CHOOSE(CONTROL!$C$9, $C$13, 100%, $E$13) + CHOOSE(CONTROL!$C$28, 0.0021, 0)</f>
        <v>34.241099999999996</v>
      </c>
      <c r="E262" s="4">
        <f>160.179849610786 * CHOOSE(CONTROL!$C$9, $C$13, 100%, $E$13) + CHOOSE(CONTROL!$C$28, 0.0021, 0)</f>
        <v>160.18194961078601</v>
      </c>
    </row>
    <row r="263" spans="1:5" ht="15">
      <c r="A263" s="13">
        <v>49126</v>
      </c>
      <c r="B263" s="4">
        <f>25.27 * CHOOSE(CONTROL!$C$9, $C$13, 100%, $E$13) + CHOOSE(CONTROL!$C$28, 0.0226, 0)</f>
        <v>25.2926</v>
      </c>
      <c r="C263" s="4">
        <f>24.9067 * CHOOSE(CONTROL!$C$9, $C$13, 100%, $E$13) + CHOOSE(CONTROL!$C$28, 0.0226, 0)</f>
        <v>24.929300000000001</v>
      </c>
      <c r="D263" s="4">
        <f>34.7734 * CHOOSE(CONTROL!$C$9, $C$13, 100%, $E$13) + CHOOSE(CONTROL!$C$28, 0.0021, 0)</f>
        <v>34.775500000000001</v>
      </c>
      <c r="E263" s="4">
        <f>160.128901821469 * CHOOSE(CONTROL!$C$9, $C$13, 100%, $E$13) + CHOOSE(CONTROL!$C$28, 0.0021, 0)</f>
        <v>160.131001821469</v>
      </c>
    </row>
    <row r="264" spans="1:5" ht="15">
      <c r="A264" s="13">
        <v>49157</v>
      </c>
      <c r="B264" s="4">
        <f>25.8565 * CHOOSE(CONTROL!$C$9, $C$13, 100%, $E$13) + CHOOSE(CONTROL!$C$28, 0.0226, 0)</f>
        <v>25.879100000000001</v>
      </c>
      <c r="C264" s="4">
        <f>25.4932 * CHOOSE(CONTROL!$C$9, $C$13, 100%, $E$13) + CHOOSE(CONTROL!$C$28, 0.0226, 0)</f>
        <v>25.515800000000002</v>
      </c>
      <c r="D264" s="4">
        <f>34.4205 * CHOOSE(CONTROL!$C$9, $C$13, 100%, $E$13) + CHOOSE(CONTROL!$C$28, 0.0021, 0)</f>
        <v>34.422599999999996</v>
      </c>
      <c r="E264" s="4">
        <f>163.962722967529 * CHOOSE(CONTROL!$C$9, $C$13, 100%, $E$13) + CHOOSE(CONTROL!$C$28, 0.0021, 0)</f>
        <v>163.96482296752902</v>
      </c>
    </row>
    <row r="265" spans="1:5" ht="15">
      <c r="A265" s="13">
        <v>49188</v>
      </c>
      <c r="B265" s="4">
        <f>24.8569 * CHOOSE(CONTROL!$C$9, $C$13, 100%, $E$13) + CHOOSE(CONTROL!$C$28, 0.0226, 0)</f>
        <v>24.8795</v>
      </c>
      <c r="C265" s="4">
        <f>24.4936 * CHOOSE(CONTROL!$C$9, $C$13, 100%, $E$13) + CHOOSE(CONTROL!$C$28, 0.0226, 0)</f>
        <v>24.516200000000001</v>
      </c>
      <c r="D265" s="4">
        <f>34.2537 * CHOOSE(CONTROL!$C$9, $C$13, 100%, $E$13) + CHOOSE(CONTROL!$C$28, 0.0021, 0)</f>
        <v>34.255800000000001</v>
      </c>
      <c r="E265" s="4">
        <f>157.4286689877 * CHOOSE(CONTROL!$C$9, $C$13, 100%, $E$13) + CHOOSE(CONTROL!$C$28, 0.0021, 0)</f>
        <v>157.43076898770002</v>
      </c>
    </row>
    <row r="266" spans="1:5" ht="15">
      <c r="A266" s="13">
        <v>49218</v>
      </c>
      <c r="B266" s="4">
        <f>24.0567 * CHOOSE(CONTROL!$C$9, $C$13, 100%, $E$13) + CHOOSE(CONTROL!$C$28, 0.0226, 0)</f>
        <v>24.0793</v>
      </c>
      <c r="C266" s="4">
        <f>23.6934 * CHOOSE(CONTROL!$C$9, $C$13, 100%, $E$13) + CHOOSE(CONTROL!$C$28, 0.0226, 0)</f>
        <v>23.716000000000001</v>
      </c>
      <c r="D266" s="4">
        <f>33.8072 * CHOOSE(CONTROL!$C$9, $C$13, 100%, $E$13) + CHOOSE(CONTROL!$C$28, 0.0021, 0)</f>
        <v>33.8093</v>
      </c>
      <c r="E266" s="4">
        <f>152.198029284549 * CHOOSE(CONTROL!$C$9, $C$13, 100%, $E$13) + CHOOSE(CONTROL!$C$28, 0.0021, 0)</f>
        <v>152.20012928454901</v>
      </c>
    </row>
    <row r="267" spans="1:5" ht="15">
      <c r="A267" s="13">
        <v>49249</v>
      </c>
      <c r="B267" s="4">
        <f>23.5413 * CHOOSE(CONTROL!$C$9, $C$13, 100%, $E$13) + CHOOSE(CONTROL!$C$28, 0.0226, 0)</f>
        <v>23.5639</v>
      </c>
      <c r="C267" s="4">
        <f>23.1781 * CHOOSE(CONTROL!$C$9, $C$13, 100%, $E$13) + CHOOSE(CONTROL!$C$28, 0.0226, 0)</f>
        <v>23.200700000000001</v>
      </c>
      <c r="D267" s="4">
        <f>33.6538 * CHOOSE(CONTROL!$C$9, $C$13, 100%, $E$13) + CHOOSE(CONTROL!$C$28, 0.0021, 0)</f>
        <v>33.655899999999995</v>
      </c>
      <c r="E267" s="4">
        <f>148.829106716001 * CHOOSE(CONTROL!$C$9, $C$13, 100%, $E$13) + CHOOSE(CONTROL!$C$28, 0.0021, 0)</f>
        <v>148.83120671600102</v>
      </c>
    </row>
    <row r="268" spans="1:5" ht="15">
      <c r="A268" s="13">
        <v>49279</v>
      </c>
      <c r="B268" s="4">
        <f>23.1848 * CHOOSE(CONTROL!$C$9, $C$13, 100%, $E$13) + CHOOSE(CONTROL!$C$28, 0.0226, 0)</f>
        <v>23.2074</v>
      </c>
      <c r="C268" s="4">
        <f>22.8215 * CHOOSE(CONTROL!$C$9, $C$13, 100%, $E$13) + CHOOSE(CONTROL!$C$28, 0.0226, 0)</f>
        <v>22.844100000000001</v>
      </c>
      <c r="D268" s="4">
        <f>32.5237 * CHOOSE(CONTROL!$C$9, $C$13, 100%, $E$13) + CHOOSE(CONTROL!$C$28, 0.0021, 0)</f>
        <v>32.525799999999997</v>
      </c>
      <c r="E268" s="4">
        <f>146.498245354775 * CHOOSE(CONTROL!$C$9, $C$13, 100%, $E$13) + CHOOSE(CONTROL!$C$28, 0.0021, 0)</f>
        <v>146.50034535477502</v>
      </c>
    </row>
    <row r="269" spans="1:5" ht="15">
      <c r="A269" s="13">
        <v>49310</v>
      </c>
      <c r="B269" s="4">
        <f>22.5694 * CHOOSE(CONTROL!$C$9, $C$13, 100%, $E$13) + CHOOSE(CONTROL!$C$28, 0.0226, 0)</f>
        <v>22.592000000000002</v>
      </c>
      <c r="C269" s="4">
        <f>22.2061 * CHOOSE(CONTROL!$C$9, $C$13, 100%, $E$13) + CHOOSE(CONTROL!$C$28, 0.0226, 0)</f>
        <v>22.2287</v>
      </c>
      <c r="D269" s="4">
        <f>31.5451 * CHOOSE(CONTROL!$C$9, $C$13, 100%, $E$13) + CHOOSE(CONTROL!$C$28, 0.0021, 0)</f>
        <v>31.5472</v>
      </c>
      <c r="E269" s="4">
        <f>142.338561114426 * CHOOSE(CONTROL!$C$9, $C$13, 100%, $E$13) + CHOOSE(CONTROL!$C$28, 0.0021, 0)</f>
        <v>142.34066111442601</v>
      </c>
    </row>
    <row r="270" spans="1:5" ht="15">
      <c r="A270" s="13">
        <v>49341</v>
      </c>
      <c r="B270" s="4">
        <f>23.0869 * CHOOSE(CONTROL!$C$9, $C$13, 100%, $E$13) + CHOOSE(CONTROL!$C$28, 0.0226, 0)</f>
        <v>23.109500000000001</v>
      </c>
      <c r="C270" s="4">
        <f>22.7236 * CHOOSE(CONTROL!$C$9, $C$13, 100%, $E$13) + CHOOSE(CONTROL!$C$28, 0.0226, 0)</f>
        <v>22.746200000000002</v>
      </c>
      <c r="D270" s="4">
        <f>32.5931 * CHOOSE(CONTROL!$C$9, $C$13, 100%, $E$13) + CHOOSE(CONTROL!$C$28, 0.0021, 0)</f>
        <v>32.595199999999998</v>
      </c>
      <c r="E270" s="4">
        <f>145.718239498661 * CHOOSE(CONTROL!$C$9, $C$13, 100%, $E$13) + CHOOSE(CONTROL!$C$28, 0.0021, 0)</f>
        <v>145.72033949866102</v>
      </c>
    </row>
    <row r="271" spans="1:5" ht="15">
      <c r="A271" s="13">
        <v>49369</v>
      </c>
      <c r="B271" s="4">
        <f>24.446 * CHOOSE(CONTROL!$C$9, $C$13, 100%, $E$13) + CHOOSE(CONTROL!$C$28, 0.0226, 0)</f>
        <v>24.468600000000002</v>
      </c>
      <c r="C271" s="4">
        <f>24.0827 * CHOOSE(CONTROL!$C$9, $C$13, 100%, $E$13) + CHOOSE(CONTROL!$C$28, 0.0226, 0)</f>
        <v>24.1053</v>
      </c>
      <c r="D271" s="4">
        <f>34.2336 * CHOOSE(CONTROL!$C$9, $C$13, 100%, $E$13) + CHOOSE(CONTROL!$C$28, 0.0021, 0)</f>
        <v>34.235700000000001</v>
      </c>
      <c r="E271" s="4">
        <f>154.593454542681 * CHOOSE(CONTROL!$C$9, $C$13, 100%, $E$13) + CHOOSE(CONTROL!$C$28, 0.0021, 0)</f>
        <v>154.59555454268101</v>
      </c>
    </row>
    <row r="272" spans="1:5" ht="15">
      <c r="A272" s="13">
        <v>49400</v>
      </c>
      <c r="B272" s="4">
        <f>25.4116 * CHOOSE(CONTROL!$C$9, $C$13, 100%, $E$13) + CHOOSE(CONTROL!$C$28, 0.0226, 0)</f>
        <v>25.434200000000001</v>
      </c>
      <c r="C272" s="4">
        <f>25.0483 * CHOOSE(CONTROL!$C$9, $C$13, 100%, $E$13) + CHOOSE(CONTROL!$C$28, 0.0226, 0)</f>
        <v>25.070900000000002</v>
      </c>
      <c r="D272" s="4">
        <f>35.1786 * CHOOSE(CONTROL!$C$9, $C$13, 100%, $E$13) + CHOOSE(CONTROL!$C$28, 0.0021, 0)</f>
        <v>35.180700000000002</v>
      </c>
      <c r="E272" s="4">
        <f>160.89941310925 * CHOOSE(CONTROL!$C$9, $C$13, 100%, $E$13) + CHOOSE(CONTROL!$C$28, 0.0021, 0)</f>
        <v>160.90151310925</v>
      </c>
    </row>
    <row r="273" spans="1:5" ht="15">
      <c r="A273" s="13">
        <v>49430</v>
      </c>
      <c r="B273" s="4">
        <f>26.0015 * CHOOSE(CONTROL!$C$9, $C$13, 100%, $E$13) + CHOOSE(CONTROL!$C$28, 0.0226, 0)</f>
        <v>26.024100000000001</v>
      </c>
      <c r="C273" s="4">
        <f>25.6383 * CHOOSE(CONTROL!$C$9, $C$13, 100%, $E$13) + CHOOSE(CONTROL!$C$28, 0.0226, 0)</f>
        <v>25.660900000000002</v>
      </c>
      <c r="D273" s="4">
        <f>34.8052 * CHOOSE(CONTROL!$C$9, $C$13, 100%, $E$13) + CHOOSE(CONTROL!$C$28, 0.0021, 0)</f>
        <v>34.807299999999998</v>
      </c>
      <c r="E273" s="4">
        <f>164.752202660689 * CHOOSE(CONTROL!$C$9, $C$13, 100%, $E$13) + CHOOSE(CONTROL!$C$28, 0.0021, 0)</f>
        <v>164.75430266068901</v>
      </c>
    </row>
    <row r="274" spans="1:5" ht="15">
      <c r="A274" s="14">
        <v>49461</v>
      </c>
      <c r="B274" s="4">
        <f>26.0814 * CHOOSE(CONTROL!$C$9, $C$13, 100%, $E$13) + CHOOSE(CONTROL!$C$28, 0.0226, 0)</f>
        <v>26.103999999999999</v>
      </c>
      <c r="C274" s="4">
        <f>25.7181 * CHOOSE(CONTROL!$C$9, $C$13, 100%, $E$13) + CHOOSE(CONTROL!$C$28, 0.0226, 0)</f>
        <v>25.7407</v>
      </c>
      <c r="D274" s="4">
        <f>35.1093 * CHOOSE(CONTROL!$C$9, $C$13, 100%, $E$13) + CHOOSE(CONTROL!$C$28, 0.0021, 0)</f>
        <v>35.111399999999996</v>
      </c>
      <c r="E274" s="4">
        <f>165.273501076404 * CHOOSE(CONTROL!$C$9, $C$13, 100%, $E$13) + CHOOSE(CONTROL!$C$28, 0.0021, 0)</f>
        <v>165.275601076404</v>
      </c>
    </row>
    <row r="275" spans="1:5" ht="15">
      <c r="A275" s="14">
        <v>49491</v>
      </c>
      <c r="B275" s="4">
        <f>26.0733 * CHOOSE(CONTROL!$C$9, $C$13, 100%, $E$13) + CHOOSE(CONTROL!$C$28, 0.0226, 0)</f>
        <v>26.0959</v>
      </c>
      <c r="C275" s="4">
        <f>25.71 * CHOOSE(CONTROL!$C$9, $C$13, 100%, $E$13) + CHOOSE(CONTROL!$C$28, 0.0226, 0)</f>
        <v>25.732600000000001</v>
      </c>
      <c r="D275" s="4">
        <f>35.6581 * CHOOSE(CONTROL!$C$9, $C$13, 100%, $E$13) + CHOOSE(CONTROL!$C$28, 0.0021, 0)</f>
        <v>35.660199999999996</v>
      </c>
      <c r="E275" s="4">
        <f>165.220933168937 * CHOOSE(CONTROL!$C$9, $C$13, 100%, $E$13) + CHOOSE(CONTROL!$C$28, 0.0021, 0)</f>
        <v>165.22303316893701</v>
      </c>
    </row>
    <row r="276" spans="1:5" ht="15">
      <c r="A276" s="14">
        <v>49522</v>
      </c>
      <c r="B276" s="4">
        <f>26.679 * CHOOSE(CONTROL!$C$9, $C$13, 100%, $E$13) + CHOOSE(CONTROL!$C$28, 0.0226, 0)</f>
        <v>26.701599999999999</v>
      </c>
      <c r="C276" s="4">
        <f>26.3158 * CHOOSE(CONTROL!$C$9, $C$13, 100%, $E$13) + CHOOSE(CONTROL!$C$28, 0.0226, 0)</f>
        <v>26.3384</v>
      </c>
      <c r="D276" s="4">
        <f>35.2957 * CHOOSE(CONTROL!$C$9, $C$13, 100%, $E$13) + CHOOSE(CONTROL!$C$28, 0.0021, 0)</f>
        <v>35.297799999999995</v>
      </c>
      <c r="E276" s="4">
        <f>169.176668205832 * CHOOSE(CONTROL!$C$9, $C$13, 100%, $E$13) + CHOOSE(CONTROL!$C$28, 0.0021, 0)</f>
        <v>169.178768205832</v>
      </c>
    </row>
    <row r="277" spans="1:5" ht="15">
      <c r="A277" s="14">
        <v>49553</v>
      </c>
      <c r="B277" s="4">
        <f>25.6467 * CHOOSE(CONTROL!$C$9, $C$13, 100%, $E$13) + CHOOSE(CONTROL!$C$28, 0.0226, 0)</f>
        <v>25.6693</v>
      </c>
      <c r="C277" s="4">
        <f>25.2834 * CHOOSE(CONTROL!$C$9, $C$13, 100%, $E$13) + CHOOSE(CONTROL!$C$28, 0.0226, 0)</f>
        <v>25.306000000000001</v>
      </c>
      <c r="D277" s="4">
        <f>35.1245 * CHOOSE(CONTROL!$C$9, $C$13, 100%, $E$13) + CHOOSE(CONTROL!$C$28, 0.0021, 0)</f>
        <v>35.126599999999996</v>
      </c>
      <c r="E277" s="4">
        <f>162.434834073183 * CHOOSE(CONTROL!$C$9, $C$13, 100%, $E$13) + CHOOSE(CONTROL!$C$28, 0.0021, 0)</f>
        <v>162.43693407318301</v>
      </c>
    </row>
    <row r="278" spans="1:5" ht="15">
      <c r="A278" s="14">
        <v>49583</v>
      </c>
      <c r="B278" s="4">
        <f>24.8203 * CHOOSE(CONTROL!$C$9, $C$13, 100%, $E$13) + CHOOSE(CONTROL!$C$28, 0.0226, 0)</f>
        <v>24.8429</v>
      </c>
      <c r="C278" s="4">
        <f>24.457 * CHOOSE(CONTROL!$C$9, $C$13, 100%, $E$13) + CHOOSE(CONTROL!$C$28, 0.0226, 0)</f>
        <v>24.479600000000001</v>
      </c>
      <c r="D278" s="4">
        <f>34.666 * CHOOSE(CONTROL!$C$9, $C$13, 100%, $E$13) + CHOOSE(CONTROL!$C$28, 0.0021, 0)</f>
        <v>34.668099999999995</v>
      </c>
      <c r="E278" s="4">
        <f>157.037862239899 * CHOOSE(CONTROL!$C$9, $C$13, 100%, $E$13) + CHOOSE(CONTROL!$C$28, 0.0021, 0)</f>
        <v>157.03996223989901</v>
      </c>
    </row>
    <row r="279" spans="1:5" ht="15">
      <c r="A279" s="14">
        <v>49614</v>
      </c>
      <c r="B279" s="4">
        <f>24.288 * CHOOSE(CONTROL!$C$9, $C$13, 100%, $E$13) + CHOOSE(CONTROL!$C$28, 0.0226, 0)</f>
        <v>24.310600000000001</v>
      </c>
      <c r="C279" s="4">
        <f>23.9247 * CHOOSE(CONTROL!$C$9, $C$13, 100%, $E$13) + CHOOSE(CONTROL!$C$28, 0.0226, 0)</f>
        <v>23.947300000000002</v>
      </c>
      <c r="D279" s="4">
        <f>34.5084 * CHOOSE(CONTROL!$C$9, $C$13, 100%, $E$13) + CHOOSE(CONTROL!$C$28, 0.0021, 0)</f>
        <v>34.5105</v>
      </c>
      <c r="E279" s="4">
        <f>153.561809358641 * CHOOSE(CONTROL!$C$9, $C$13, 100%, $E$13) + CHOOSE(CONTROL!$C$28, 0.0021, 0)</f>
        <v>153.56390935864101</v>
      </c>
    </row>
    <row r="280" spans="1:5" ht="15">
      <c r="A280" s="14">
        <v>49644</v>
      </c>
      <c r="B280" s="4">
        <f>23.9197 * CHOOSE(CONTROL!$C$9, $C$13, 100%, $E$13) + CHOOSE(CONTROL!$C$28, 0.0226, 0)</f>
        <v>23.942299999999999</v>
      </c>
      <c r="C280" s="4">
        <f>23.5564 * CHOOSE(CONTROL!$C$9, $C$13, 100%, $E$13) + CHOOSE(CONTROL!$C$28, 0.0226, 0)</f>
        <v>23.579000000000001</v>
      </c>
      <c r="D280" s="4">
        <f>33.348 * CHOOSE(CONTROL!$C$9, $C$13, 100%, $E$13) + CHOOSE(CONTROL!$C$28, 0.0021, 0)</f>
        <v>33.350099999999998</v>
      </c>
      <c r="E280" s="4">
        <f>151.156827592023 * CHOOSE(CONTROL!$C$9, $C$13, 100%, $E$13) + CHOOSE(CONTROL!$C$28, 0.0021, 0)</f>
        <v>151.15892759202302</v>
      </c>
    </row>
    <row r="281" spans="1:5" ht="15">
      <c r="A281" s="14">
        <v>49675</v>
      </c>
      <c r="B281" s="4">
        <f>22.9121 * CHOOSE(CONTROL!$C$9, $C$13, 100%, $E$13) + CHOOSE(CONTROL!$C$28, 0.0226, 0)</f>
        <v>22.934699999999999</v>
      </c>
      <c r="C281" s="4">
        <f>22.5488 * CHOOSE(CONTROL!$C$9, $C$13, 100%, $E$13) + CHOOSE(CONTROL!$C$28, 0.0226, 0)</f>
        <v>22.571400000000001</v>
      </c>
      <c r="D281" s="4">
        <f>32.0697 * CHOOSE(CONTROL!$C$9, $C$13, 100%, $E$13) + CHOOSE(CONTROL!$C$28, 0.0021, 0)</f>
        <v>32.071799999999996</v>
      </c>
      <c r="E281" s="4">
        <f>144.860531510632 * CHOOSE(CONTROL!$C$9, $C$13, 100%, $E$13) + CHOOSE(CONTROL!$C$28, 0.0021, 0)</f>
        <v>144.86263151063201</v>
      </c>
    </row>
    <row r="282" spans="1:5" ht="15">
      <c r="A282" s="14">
        <v>49706</v>
      </c>
      <c r="B282" s="4">
        <f>23.4378 * CHOOSE(CONTROL!$C$9, $C$13, 100%, $E$13) + CHOOSE(CONTROL!$C$28, 0.0226, 0)</f>
        <v>23.4604</v>
      </c>
      <c r="C282" s="4">
        <f>23.0745 * CHOOSE(CONTROL!$C$9, $C$13, 100%, $E$13) + CHOOSE(CONTROL!$C$28, 0.0226, 0)</f>
        <v>23.097100000000001</v>
      </c>
      <c r="D282" s="4">
        <f>33.1362 * CHOOSE(CONTROL!$C$9, $C$13, 100%, $E$13) + CHOOSE(CONTROL!$C$28, 0.0021, 0)</f>
        <v>33.138300000000001</v>
      </c>
      <c r="E282" s="4">
        <f>148.300091410931 * CHOOSE(CONTROL!$C$9, $C$13, 100%, $E$13) + CHOOSE(CONTROL!$C$28, 0.0021, 0)</f>
        <v>148.30219141093102</v>
      </c>
    </row>
    <row r="283" spans="1:5" ht="15">
      <c r="A283" s="14">
        <v>49735</v>
      </c>
      <c r="B283" s="4">
        <f>24.8182 * CHOOSE(CONTROL!$C$9, $C$13, 100%, $E$13) + CHOOSE(CONTROL!$C$28, 0.0226, 0)</f>
        <v>24.840800000000002</v>
      </c>
      <c r="C283" s="4">
        <f>24.4549 * CHOOSE(CONTROL!$C$9, $C$13, 100%, $E$13) + CHOOSE(CONTROL!$C$28, 0.0226, 0)</f>
        <v>24.477499999999999</v>
      </c>
      <c r="D283" s="4">
        <f>34.8058 * CHOOSE(CONTROL!$C$9, $C$13, 100%, $E$13) + CHOOSE(CONTROL!$C$28, 0.0021, 0)</f>
        <v>34.807899999999997</v>
      </c>
      <c r="E283" s="4">
        <f>157.332558498429 * CHOOSE(CONTROL!$C$9, $C$13, 100%, $E$13) + CHOOSE(CONTROL!$C$28, 0.0021, 0)</f>
        <v>157.33465849842901</v>
      </c>
    </row>
    <row r="284" spans="1:5" ht="15">
      <c r="A284" s="14">
        <v>49766</v>
      </c>
      <c r="B284" s="4">
        <f>25.799 * CHOOSE(CONTROL!$C$9, $C$13, 100%, $E$13) + CHOOSE(CONTROL!$C$28, 0.0226, 0)</f>
        <v>25.8216</v>
      </c>
      <c r="C284" s="4">
        <f>25.4357 * CHOOSE(CONTROL!$C$9, $C$13, 100%, $E$13) + CHOOSE(CONTROL!$C$28, 0.0226, 0)</f>
        <v>25.458300000000001</v>
      </c>
      <c r="D284" s="4">
        <f>35.7675 * CHOOSE(CONTROL!$C$9, $C$13, 100%, $E$13) + CHOOSE(CONTROL!$C$28, 0.0021, 0)</f>
        <v>35.769599999999997</v>
      </c>
      <c r="E284" s="4">
        <f>163.750246737548 * CHOOSE(CONTROL!$C$9, $C$13, 100%, $E$13) + CHOOSE(CONTROL!$C$28, 0.0021, 0)</f>
        <v>163.75234673754801</v>
      </c>
    </row>
    <row r="285" spans="1:5" ht="15">
      <c r="A285" s="14">
        <v>49796</v>
      </c>
      <c r="B285" s="4">
        <f>26.3982 * CHOOSE(CONTROL!$C$9, $C$13, 100%, $E$13) + CHOOSE(CONTROL!$C$28, 0.0226, 0)</f>
        <v>26.4208</v>
      </c>
      <c r="C285" s="4">
        <f>26.035 * CHOOSE(CONTROL!$C$9, $C$13, 100%, $E$13) + CHOOSE(CONTROL!$C$28, 0.0226, 0)</f>
        <v>26.057600000000001</v>
      </c>
      <c r="D285" s="4">
        <f>35.3874 * CHOOSE(CONTROL!$C$9, $C$13, 100%, $E$13) + CHOOSE(CONTROL!$C$28, 0.0021, 0)</f>
        <v>35.389499999999998</v>
      </c>
      <c r="E285" s="4">
        <f>167.671300441129 * CHOOSE(CONTROL!$C$9, $C$13, 100%, $E$13) + CHOOSE(CONTROL!$C$28, 0.0021, 0)</f>
        <v>167.67340044112902</v>
      </c>
    </row>
    <row r="286" spans="1:5" ht="15">
      <c r="A286" s="14">
        <v>49827</v>
      </c>
      <c r="B286" s="4">
        <f>26.4793 * CHOOSE(CONTROL!$C$9, $C$13, 100%, $E$13) + CHOOSE(CONTROL!$C$28, 0.0226, 0)</f>
        <v>26.501899999999999</v>
      </c>
      <c r="C286" s="4">
        <f>26.116 * CHOOSE(CONTROL!$C$9, $C$13, 100%, $E$13) + CHOOSE(CONTROL!$C$28, 0.0226, 0)</f>
        <v>26.1386</v>
      </c>
      <c r="D286" s="4">
        <f>35.6969 * CHOOSE(CONTROL!$C$9, $C$13, 100%, $E$13) + CHOOSE(CONTROL!$C$28, 0.0021, 0)</f>
        <v>35.698999999999998</v>
      </c>
      <c r="E286" s="4">
        <f>168.20183527993 * CHOOSE(CONTROL!$C$9, $C$13, 100%, $E$13) + CHOOSE(CONTROL!$C$28, 0.0021, 0)</f>
        <v>168.20393527993002</v>
      </c>
    </row>
    <row r="287" spans="1:5" ht="15">
      <c r="A287" s="14">
        <v>49857</v>
      </c>
      <c r="B287" s="4">
        <f>26.4711 * CHOOSE(CONTROL!$C$9, $C$13, 100%, $E$13) + CHOOSE(CONTROL!$C$28, 0.0226, 0)</f>
        <v>26.4937</v>
      </c>
      <c r="C287" s="4">
        <f>26.1079 * CHOOSE(CONTROL!$C$9, $C$13, 100%, $E$13) + CHOOSE(CONTROL!$C$28, 0.0226, 0)</f>
        <v>26.130500000000001</v>
      </c>
      <c r="D287" s="4">
        <f>36.2554 * CHOOSE(CONTROL!$C$9, $C$13, 100%, $E$13) + CHOOSE(CONTROL!$C$28, 0.0021, 0)</f>
        <v>36.2575</v>
      </c>
      <c r="E287" s="4">
        <f>168.148335968454 * CHOOSE(CONTROL!$C$9, $C$13, 100%, $E$13) + CHOOSE(CONTROL!$C$28, 0.0021, 0)</f>
        <v>168.15043596845402</v>
      </c>
    </row>
    <row r="288" spans="1:5" ht="15">
      <c r="A288" s="14">
        <v>49888</v>
      </c>
      <c r="B288" s="4">
        <f>27.0864 * CHOOSE(CONTROL!$C$9, $C$13, 100%, $E$13) + CHOOSE(CONTROL!$C$28, 0.0226, 0)</f>
        <v>27.109000000000002</v>
      </c>
      <c r="C288" s="4">
        <f>26.7231 * CHOOSE(CONTROL!$C$9, $C$13, 100%, $E$13) + CHOOSE(CONTROL!$C$28, 0.0226, 0)</f>
        <v>26.745699999999999</v>
      </c>
      <c r="D288" s="4">
        <f>35.8866 * CHOOSE(CONTROL!$C$9, $C$13, 100%, $E$13) + CHOOSE(CONTROL!$C$28, 0.0021, 0)</f>
        <v>35.8887</v>
      </c>
      <c r="E288" s="4">
        <f>172.174159157009 * CHOOSE(CONTROL!$C$9, $C$13, 100%, $E$13) + CHOOSE(CONTROL!$C$28, 0.0021, 0)</f>
        <v>172.17625915700901</v>
      </c>
    </row>
    <row r="289" spans="1:5" ht="15">
      <c r="A289" s="14">
        <v>49919</v>
      </c>
      <c r="B289" s="4">
        <f>26.0378 * CHOOSE(CONTROL!$C$9, $C$13, 100%, $E$13) + CHOOSE(CONTROL!$C$28, 0.0226, 0)</f>
        <v>26.060400000000001</v>
      </c>
      <c r="C289" s="4">
        <f>25.6745 * CHOOSE(CONTROL!$C$9, $C$13, 100%, $E$13) + CHOOSE(CONTROL!$C$28, 0.0226, 0)</f>
        <v>25.697099999999999</v>
      </c>
      <c r="D289" s="4">
        <f>35.7123 * CHOOSE(CONTROL!$C$9, $C$13, 100%, $E$13) + CHOOSE(CONTROL!$C$28, 0.0021, 0)</f>
        <v>35.714399999999998</v>
      </c>
      <c r="E289" s="4">
        <f>165.312872460237 * CHOOSE(CONTROL!$C$9, $C$13, 100%, $E$13) + CHOOSE(CONTROL!$C$28, 0.0021, 0)</f>
        <v>165.31497246023702</v>
      </c>
    </row>
    <row r="290" spans="1:5" ht="15">
      <c r="A290" s="14">
        <v>49949</v>
      </c>
      <c r="B290" s="4">
        <f>25.1984 * CHOOSE(CONTROL!$C$9, $C$13, 100%, $E$13) + CHOOSE(CONTROL!$C$28, 0.0226, 0)</f>
        <v>25.221</v>
      </c>
      <c r="C290" s="4">
        <f>24.8351 * CHOOSE(CONTROL!$C$9, $C$13, 100%, $E$13) + CHOOSE(CONTROL!$C$28, 0.0226, 0)</f>
        <v>24.857700000000001</v>
      </c>
      <c r="D290" s="4">
        <f>35.2458 * CHOOSE(CONTROL!$C$9, $C$13, 100%, $E$13) + CHOOSE(CONTROL!$C$28, 0.0021, 0)</f>
        <v>35.247900000000001</v>
      </c>
      <c r="E290" s="4">
        <f>159.820276482054 * CHOOSE(CONTROL!$C$9, $C$13, 100%, $E$13) + CHOOSE(CONTROL!$C$28, 0.0021, 0)</f>
        <v>159.82237648205401</v>
      </c>
    </row>
    <row r="291" spans="1:5" ht="15">
      <c r="A291" s="14">
        <v>49980</v>
      </c>
      <c r="B291" s="4">
        <f>24.6577 * CHOOSE(CONTROL!$C$9, $C$13, 100%, $E$13) + CHOOSE(CONTROL!$C$28, 0.0226, 0)</f>
        <v>24.680299999999999</v>
      </c>
      <c r="C291" s="4">
        <f>24.2945 * CHOOSE(CONTROL!$C$9, $C$13, 100%, $E$13) + CHOOSE(CONTROL!$C$28, 0.0226, 0)</f>
        <v>24.3171</v>
      </c>
      <c r="D291" s="4">
        <f>35.0854 * CHOOSE(CONTROL!$C$9, $C$13, 100%, $E$13) + CHOOSE(CONTROL!$C$28, 0.0021, 0)</f>
        <v>35.087499999999999</v>
      </c>
      <c r="E291" s="4">
        <f>156.282634510717 * CHOOSE(CONTROL!$C$9, $C$13, 100%, $E$13) + CHOOSE(CONTROL!$C$28, 0.0021, 0)</f>
        <v>156.28473451071702</v>
      </c>
    </row>
    <row r="292" spans="1:5" ht="15">
      <c r="A292" s="14">
        <v>50010</v>
      </c>
      <c r="B292" s="4">
        <f>24.2837 * CHOOSE(CONTROL!$C$9, $C$13, 100%, $E$13) + CHOOSE(CONTROL!$C$28, 0.0226, 0)</f>
        <v>24.3063</v>
      </c>
      <c r="C292" s="4">
        <f>23.9204 * CHOOSE(CONTROL!$C$9, $C$13, 100%, $E$13) + CHOOSE(CONTROL!$C$28, 0.0226, 0)</f>
        <v>23.943000000000001</v>
      </c>
      <c r="D292" s="4">
        <f>33.9045 * CHOOSE(CONTROL!$C$9, $C$13, 100%, $E$13) + CHOOSE(CONTROL!$C$28, 0.0021, 0)</f>
        <v>33.906599999999997</v>
      </c>
      <c r="E292" s="4">
        <f>153.835041010699 * CHOOSE(CONTROL!$C$9, $C$13, 100%, $E$13) + CHOOSE(CONTROL!$C$28, 0.0021, 0)</f>
        <v>153.83714101069901</v>
      </c>
    </row>
    <row r="293" spans="1:5" ht="15">
      <c r="A293" s="14">
        <v>50041</v>
      </c>
      <c r="B293" s="4">
        <f>23.2603 * CHOOSE(CONTROL!$C$9, $C$13, 100%, $E$13) + CHOOSE(CONTROL!$C$28, 0.0226, 0)</f>
        <v>23.282900000000001</v>
      </c>
      <c r="C293" s="4">
        <f>22.897 * CHOOSE(CONTROL!$C$9, $C$13, 100%, $E$13) + CHOOSE(CONTROL!$C$28, 0.0226, 0)</f>
        <v>22.919599999999999</v>
      </c>
      <c r="D293" s="4">
        <f>32.6036 * CHOOSE(CONTROL!$C$9, $C$13, 100%, $E$13) + CHOOSE(CONTROL!$C$28, 0.0021, 0)</f>
        <v>32.605699999999999</v>
      </c>
      <c r="E293" s="4">
        <f>147.42718645774 * CHOOSE(CONTROL!$C$9, $C$13, 100%, $E$13) + CHOOSE(CONTROL!$C$28, 0.0021, 0)</f>
        <v>147.42928645774001</v>
      </c>
    </row>
    <row r="294" spans="1:5" ht="15">
      <c r="A294" s="14">
        <v>50072</v>
      </c>
      <c r="B294" s="4">
        <f>23.7942 * CHOOSE(CONTROL!$C$9, $C$13, 100%, $E$13) + CHOOSE(CONTROL!$C$28, 0.0226, 0)</f>
        <v>23.816800000000001</v>
      </c>
      <c r="C294" s="4">
        <f>23.4309 * CHOOSE(CONTROL!$C$9, $C$13, 100%, $E$13) + CHOOSE(CONTROL!$C$28, 0.0226, 0)</f>
        <v>23.453500000000002</v>
      </c>
      <c r="D294" s="4">
        <f>33.689 * CHOOSE(CONTROL!$C$9, $C$13, 100%, $E$13) + CHOOSE(CONTROL!$C$28, 0.0021, 0)</f>
        <v>33.691099999999999</v>
      </c>
      <c r="E294" s="4">
        <f>150.927688861438 * CHOOSE(CONTROL!$C$9, $C$13, 100%, $E$13) + CHOOSE(CONTROL!$C$28, 0.0021, 0)</f>
        <v>150.92978886143803</v>
      </c>
    </row>
    <row r="295" spans="1:5" ht="15">
      <c r="A295" s="14">
        <v>50100</v>
      </c>
      <c r="B295" s="4">
        <f>25.1963 * CHOOSE(CONTROL!$C$9, $C$13, 100%, $E$13) + CHOOSE(CONTROL!$C$28, 0.0226, 0)</f>
        <v>25.218900000000001</v>
      </c>
      <c r="C295" s="4">
        <f>24.833 * CHOOSE(CONTROL!$C$9, $C$13, 100%, $E$13) + CHOOSE(CONTROL!$C$28, 0.0226, 0)</f>
        <v>24.855599999999999</v>
      </c>
      <c r="D295" s="4">
        <f>35.388 * CHOOSE(CONTROL!$C$9, $C$13, 100%, $E$13) + CHOOSE(CONTROL!$C$28, 0.0021, 0)</f>
        <v>35.390099999999997</v>
      </c>
      <c r="E295" s="4">
        <f>160.120194201544 * CHOOSE(CONTROL!$C$9, $C$13, 100%, $E$13) + CHOOSE(CONTROL!$C$28, 0.0021, 0)</f>
        <v>160.12229420154401</v>
      </c>
    </row>
    <row r="296" spans="1:5" ht="15">
      <c r="A296" s="14">
        <v>50131</v>
      </c>
      <c r="B296" s="4">
        <f>26.1925 * CHOOSE(CONTROL!$C$9, $C$13, 100%, $E$13) + CHOOSE(CONTROL!$C$28, 0.0226, 0)</f>
        <v>26.2151</v>
      </c>
      <c r="C296" s="4">
        <f>25.8292 * CHOOSE(CONTROL!$C$9, $C$13, 100%, $E$13) + CHOOSE(CONTROL!$C$28, 0.0226, 0)</f>
        <v>25.851800000000001</v>
      </c>
      <c r="D296" s="4">
        <f>36.3667 * CHOOSE(CONTROL!$C$9, $C$13, 100%, $E$13) + CHOOSE(CONTROL!$C$28, 0.0021, 0)</f>
        <v>36.3688</v>
      </c>
      <c r="E296" s="4">
        <f>166.65159175193 * CHOOSE(CONTROL!$C$9, $C$13, 100%, $E$13) + CHOOSE(CONTROL!$C$28, 0.0021, 0)</f>
        <v>166.65369175193001</v>
      </c>
    </row>
    <row r="297" spans="1:5" ht="15">
      <c r="A297" s="14">
        <v>50161</v>
      </c>
      <c r="B297" s="4">
        <f>26.8012 * CHOOSE(CONTROL!$C$9, $C$13, 100%, $E$13) + CHOOSE(CONTROL!$C$28, 0.0226, 0)</f>
        <v>26.823800000000002</v>
      </c>
      <c r="C297" s="4">
        <f>26.4379 * CHOOSE(CONTROL!$C$9, $C$13, 100%, $E$13) + CHOOSE(CONTROL!$C$28, 0.0226, 0)</f>
        <v>26.4605</v>
      </c>
      <c r="D297" s="4">
        <f>35.98 * CHOOSE(CONTROL!$C$9, $C$13, 100%, $E$13) + CHOOSE(CONTROL!$C$28, 0.0021, 0)</f>
        <v>35.982099999999996</v>
      </c>
      <c r="E297" s="4">
        <f>170.642119119463 * CHOOSE(CONTROL!$C$9, $C$13, 100%, $E$13) + CHOOSE(CONTROL!$C$28, 0.0021, 0)</f>
        <v>170.644219119463</v>
      </c>
    </row>
    <row r="298" spans="1:5" ht="15">
      <c r="A298" s="14">
        <v>50192</v>
      </c>
      <c r="B298" s="4">
        <f>26.8835 * CHOOSE(CONTROL!$C$9, $C$13, 100%, $E$13) + CHOOSE(CONTROL!$C$28, 0.0226, 0)</f>
        <v>26.906100000000002</v>
      </c>
      <c r="C298" s="4">
        <f>26.5203 * CHOOSE(CONTROL!$C$9, $C$13, 100%, $E$13) + CHOOSE(CONTROL!$C$28, 0.0226, 0)</f>
        <v>26.542899999999999</v>
      </c>
      <c r="D298" s="4">
        <f>36.2949 * CHOOSE(CONTROL!$C$9, $C$13, 100%, $E$13) + CHOOSE(CONTROL!$C$28, 0.0021, 0)</f>
        <v>36.296999999999997</v>
      </c>
      <c r="E298" s="4">
        <f>171.182054033319 * CHOOSE(CONTROL!$C$9, $C$13, 100%, $E$13) + CHOOSE(CONTROL!$C$28, 0.0021, 0)</f>
        <v>171.184154033319</v>
      </c>
    </row>
    <row r="299" spans="1:5" ht="15">
      <c r="A299" s="14">
        <v>50222</v>
      </c>
      <c r="B299" s="4">
        <f>26.8752 * CHOOSE(CONTROL!$C$9, $C$13, 100%, $E$13) + CHOOSE(CONTROL!$C$28, 0.0226, 0)</f>
        <v>26.8978</v>
      </c>
      <c r="C299" s="4">
        <f>26.512 * CHOOSE(CONTROL!$C$9, $C$13, 100%, $E$13) + CHOOSE(CONTROL!$C$28, 0.0226, 0)</f>
        <v>26.534600000000001</v>
      </c>
      <c r="D299" s="4">
        <f>36.8632 * CHOOSE(CONTROL!$C$9, $C$13, 100%, $E$13) + CHOOSE(CONTROL!$C$28, 0.0021, 0)</f>
        <v>36.865299999999998</v>
      </c>
      <c r="E299" s="4">
        <f>171.127606815115 * CHOOSE(CONTROL!$C$9, $C$13, 100%, $E$13) + CHOOSE(CONTROL!$C$28, 0.0021, 0)</f>
        <v>171.12970681511501</v>
      </c>
    </row>
    <row r="300" spans="1:5" ht="15">
      <c r="A300" s="14">
        <v>50253</v>
      </c>
      <c r="B300" s="4">
        <f>27.5002 * CHOOSE(CONTROL!$C$9, $C$13, 100%, $E$13) + CHOOSE(CONTROL!$C$28, 0.0226, 0)</f>
        <v>27.5228</v>
      </c>
      <c r="C300" s="4">
        <f>27.1369 * CHOOSE(CONTROL!$C$9, $C$13, 100%, $E$13) + CHOOSE(CONTROL!$C$28, 0.0226, 0)</f>
        <v>27.159500000000001</v>
      </c>
      <c r="D300" s="4">
        <f>36.4879 * CHOOSE(CONTROL!$C$9, $C$13, 100%, $E$13) + CHOOSE(CONTROL!$C$28, 0.0021, 0)</f>
        <v>36.49</v>
      </c>
      <c r="E300" s="4">
        <f>175.224759984965 * CHOOSE(CONTROL!$C$9, $C$13, 100%, $E$13) + CHOOSE(CONTROL!$C$28, 0.0021, 0)</f>
        <v>175.22685998496502</v>
      </c>
    </row>
    <row r="301" spans="1:5" ht="15">
      <c r="A301" s="14">
        <v>50284</v>
      </c>
      <c r="B301" s="4">
        <f>26.4351 * CHOOSE(CONTROL!$C$9, $C$13, 100%, $E$13) + CHOOSE(CONTROL!$C$28, 0.0226, 0)</f>
        <v>26.457699999999999</v>
      </c>
      <c r="C301" s="4">
        <f>26.0718 * CHOOSE(CONTROL!$C$9, $C$13, 100%, $E$13) + CHOOSE(CONTROL!$C$28, 0.0226, 0)</f>
        <v>26.0944</v>
      </c>
      <c r="D301" s="4">
        <f>36.3106 * CHOOSE(CONTROL!$C$9, $C$13, 100%, $E$13) + CHOOSE(CONTROL!$C$28, 0.0021, 0)</f>
        <v>36.3127</v>
      </c>
      <c r="E301" s="4">
        <f>168.241904250304 * CHOOSE(CONTROL!$C$9, $C$13, 100%, $E$13) + CHOOSE(CONTROL!$C$28, 0.0021, 0)</f>
        <v>168.24400425030402</v>
      </c>
    </row>
    <row r="302" spans="1:5" ht="15">
      <c r="A302" s="14">
        <v>50314</v>
      </c>
      <c r="B302" s="4">
        <f>25.5825 * CHOOSE(CONTROL!$C$9, $C$13, 100%, $E$13) + CHOOSE(CONTROL!$C$28, 0.0226, 0)</f>
        <v>25.6051</v>
      </c>
      <c r="C302" s="4">
        <f>25.2192 * CHOOSE(CONTROL!$C$9, $C$13, 100%, $E$13) + CHOOSE(CONTROL!$C$28, 0.0226, 0)</f>
        <v>25.241800000000001</v>
      </c>
      <c r="D302" s="4">
        <f>35.8358 * CHOOSE(CONTROL!$C$9, $C$13, 100%, $E$13) + CHOOSE(CONTROL!$C$28, 0.0021, 0)</f>
        <v>35.837899999999998</v>
      </c>
      <c r="E302" s="4">
        <f>162.651989848029 * CHOOSE(CONTROL!$C$9, $C$13, 100%, $E$13) + CHOOSE(CONTROL!$C$28, 0.0021, 0)</f>
        <v>162.654089848029</v>
      </c>
    </row>
    <row r="303" spans="1:5" ht="15">
      <c r="A303" s="14">
        <v>50345</v>
      </c>
      <c r="B303" s="4">
        <f>25.0333 * CHOOSE(CONTROL!$C$9, $C$13, 100%, $E$13) + CHOOSE(CONTROL!$C$28, 0.0226, 0)</f>
        <v>25.055900000000001</v>
      </c>
      <c r="C303" s="4">
        <f>24.67 * CHOOSE(CONTROL!$C$9, $C$13, 100%, $E$13) + CHOOSE(CONTROL!$C$28, 0.0226, 0)</f>
        <v>24.692600000000002</v>
      </c>
      <c r="D303" s="4">
        <f>35.6726 * CHOOSE(CONTROL!$C$9, $C$13, 100%, $E$13) + CHOOSE(CONTROL!$C$28, 0.0021, 0)</f>
        <v>35.674700000000001</v>
      </c>
      <c r="E303" s="4">
        <f>159.051667544291 * CHOOSE(CONTROL!$C$9, $C$13, 100%, $E$13) + CHOOSE(CONTROL!$C$28, 0.0021, 0)</f>
        <v>159.05376754429102</v>
      </c>
    </row>
    <row r="304" spans="1:5" ht="15">
      <c r="A304" s="14">
        <v>50375</v>
      </c>
      <c r="B304" s="4">
        <f>24.6534 * CHOOSE(CONTROL!$C$9, $C$13, 100%, $E$13) + CHOOSE(CONTROL!$C$28, 0.0226, 0)</f>
        <v>24.676000000000002</v>
      </c>
      <c r="C304" s="4">
        <f>24.2901 * CHOOSE(CONTROL!$C$9, $C$13, 100%, $E$13) + CHOOSE(CONTROL!$C$28, 0.0226, 0)</f>
        <v>24.3127</v>
      </c>
      <c r="D304" s="4">
        <f>34.4708 * CHOOSE(CONTROL!$C$9, $C$13, 100%, $E$13) + CHOOSE(CONTROL!$C$28, 0.0021, 0)</f>
        <v>34.472899999999996</v>
      </c>
      <c r="E304" s="4">
        <f>156.560707311458 * CHOOSE(CONTROL!$C$9, $C$13, 100%, $E$13) + CHOOSE(CONTROL!$C$28, 0.0021, 0)</f>
        <v>156.56280731145802</v>
      </c>
    </row>
    <row r="305" spans="1:5" ht="15">
      <c r="A305" s="13">
        <v>50436</v>
      </c>
      <c r="B305" s="4">
        <f>23.6139 * CHOOSE(CONTROL!$C$9, $C$13, 100%, $E$13) + CHOOSE(CONTROL!$C$28, 0.0226, 0)</f>
        <v>23.636500000000002</v>
      </c>
      <c r="C305" s="4">
        <f>23.2506 * CHOOSE(CONTROL!$C$9, $C$13, 100%, $E$13) + CHOOSE(CONTROL!$C$28, 0.0226, 0)</f>
        <v>23.273199999999999</v>
      </c>
      <c r="D305" s="4">
        <f>33.1469 * CHOOSE(CONTROL!$C$9, $C$13, 100%, $E$13) + CHOOSE(CONTROL!$C$28, 0.0021, 0)</f>
        <v>33.149000000000001</v>
      </c>
      <c r="E305" s="4">
        <f>150.039317681574 * CHOOSE(CONTROL!$C$9, $C$13, 100%, $E$13) + CHOOSE(CONTROL!$C$28, 0.0021, 0)</f>
        <v>150.04141768157402</v>
      </c>
    </row>
    <row r="306" spans="1:5" ht="15">
      <c r="A306" s="13">
        <v>50464</v>
      </c>
      <c r="B306" s="4">
        <f>24.1562 * CHOOSE(CONTROL!$C$9, $C$13, 100%, $E$13) + CHOOSE(CONTROL!$C$28, 0.0226, 0)</f>
        <v>24.178799999999999</v>
      </c>
      <c r="C306" s="4">
        <f>23.7929 * CHOOSE(CONTROL!$C$9, $C$13, 100%, $E$13) + CHOOSE(CONTROL!$C$28, 0.0226, 0)</f>
        <v>23.8155</v>
      </c>
      <c r="D306" s="4">
        <f>34.2515 * CHOOSE(CONTROL!$C$9, $C$13, 100%, $E$13) + CHOOSE(CONTROL!$C$28, 0.0021, 0)</f>
        <v>34.253599999999999</v>
      </c>
      <c r="E306" s="4">
        <f>153.601842374698 * CHOOSE(CONTROL!$C$9, $C$13, 100%, $E$13) + CHOOSE(CONTROL!$C$28, 0.0021, 0)</f>
        <v>153.60394237469802</v>
      </c>
    </row>
    <row r="307" spans="1:5" ht="15">
      <c r="A307" s="13">
        <v>50495</v>
      </c>
      <c r="B307" s="4">
        <f>25.5803 * CHOOSE(CONTROL!$C$9, $C$13, 100%, $E$13) + CHOOSE(CONTROL!$C$28, 0.0226, 0)</f>
        <v>25.602900000000002</v>
      </c>
      <c r="C307" s="4">
        <f>25.2171 * CHOOSE(CONTROL!$C$9, $C$13, 100%, $E$13) + CHOOSE(CONTROL!$C$28, 0.0226, 0)</f>
        <v>25.239699999999999</v>
      </c>
      <c r="D307" s="4">
        <f>35.9805 * CHOOSE(CONTROL!$C$9, $C$13, 100%, $E$13) + CHOOSE(CONTROL!$C$28, 0.0021, 0)</f>
        <v>35.982599999999998</v>
      </c>
      <c r="E307" s="4">
        <f>162.957221542902 * CHOOSE(CONTROL!$C$9, $C$13, 100%, $E$13) + CHOOSE(CONTROL!$C$28, 0.0021, 0)</f>
        <v>162.95932154290202</v>
      </c>
    </row>
    <row r="308" spans="1:5" ht="15">
      <c r="A308" s="13">
        <v>50525</v>
      </c>
      <c r="B308" s="4">
        <f>26.5922 * CHOOSE(CONTROL!$C$9, $C$13, 100%, $E$13) + CHOOSE(CONTROL!$C$28, 0.0226, 0)</f>
        <v>26.614799999999999</v>
      </c>
      <c r="C308" s="4">
        <f>26.229 * CHOOSE(CONTROL!$C$9, $C$13, 100%, $E$13) + CHOOSE(CONTROL!$C$28, 0.0226, 0)</f>
        <v>26.2516</v>
      </c>
      <c r="D308" s="4">
        <f>36.9765 * CHOOSE(CONTROL!$C$9, $C$13, 100%, $E$13) + CHOOSE(CONTROL!$C$28, 0.0021, 0)</f>
        <v>36.9786</v>
      </c>
      <c r="E308" s="4">
        <f>169.604343118731 * CHOOSE(CONTROL!$C$9, $C$13, 100%, $E$13) + CHOOSE(CONTROL!$C$28, 0.0021, 0)</f>
        <v>169.60644311873102</v>
      </c>
    </row>
    <row r="309" spans="1:5" ht="15">
      <c r="A309" s="13">
        <v>50556</v>
      </c>
      <c r="B309" s="4">
        <f>27.2105 * CHOOSE(CONTROL!$C$9, $C$13, 100%, $E$13) + CHOOSE(CONTROL!$C$28, 0.0226, 0)</f>
        <v>27.2331</v>
      </c>
      <c r="C309" s="4">
        <f>26.8472 * CHOOSE(CONTROL!$C$9, $C$13, 100%, $E$13) + CHOOSE(CONTROL!$C$28, 0.0226, 0)</f>
        <v>26.869800000000001</v>
      </c>
      <c r="D309" s="4">
        <f>36.5829 * CHOOSE(CONTROL!$C$9, $C$13, 100%, $E$13) + CHOOSE(CONTROL!$C$28, 0.0021, 0)</f>
        <v>36.585000000000001</v>
      </c>
      <c r="E309" s="4">
        <f>173.665575092292 * CHOOSE(CONTROL!$C$9, $C$13, 100%, $E$13) + CHOOSE(CONTROL!$C$28, 0.0021, 0)</f>
        <v>173.667675092292</v>
      </c>
    </row>
    <row r="310" spans="1:5" ht="15">
      <c r="A310" s="13">
        <v>50586</v>
      </c>
      <c r="B310" s="4">
        <f>27.2941 * CHOOSE(CONTROL!$C$9, $C$13, 100%, $E$13) + CHOOSE(CONTROL!$C$28, 0.0226, 0)</f>
        <v>27.316700000000001</v>
      </c>
      <c r="C310" s="4">
        <f>26.9308 * CHOOSE(CONTROL!$C$9, $C$13, 100%, $E$13) + CHOOSE(CONTROL!$C$28, 0.0226, 0)</f>
        <v>26.953400000000002</v>
      </c>
      <c r="D310" s="4">
        <f>36.9035 * CHOOSE(CONTROL!$C$9, $C$13, 100%, $E$13) + CHOOSE(CONTROL!$C$28, 0.0021, 0)</f>
        <v>36.9056</v>
      </c>
      <c r="E310" s="4">
        <f>174.215076632774 * CHOOSE(CONTROL!$C$9, $C$13, 100%, $E$13) + CHOOSE(CONTROL!$C$28, 0.0021, 0)</f>
        <v>174.217176632774</v>
      </c>
    </row>
    <row r="311" spans="1:5" ht="15">
      <c r="A311" s="13">
        <v>50617</v>
      </c>
      <c r="B311" s="4">
        <f>27.2857 * CHOOSE(CONTROL!$C$9, $C$13, 100%, $E$13) + CHOOSE(CONTROL!$C$28, 0.0226, 0)</f>
        <v>27.308299999999999</v>
      </c>
      <c r="C311" s="4">
        <f>26.9224 * CHOOSE(CONTROL!$C$9, $C$13, 100%, $E$13) + CHOOSE(CONTROL!$C$28, 0.0226, 0)</f>
        <v>26.945</v>
      </c>
      <c r="D311" s="4">
        <f>37.4818 * CHOOSE(CONTROL!$C$9, $C$13, 100%, $E$13) + CHOOSE(CONTROL!$C$28, 0.0021, 0)</f>
        <v>37.483899999999998</v>
      </c>
      <c r="E311" s="4">
        <f>174.159664712725 * CHOOSE(CONTROL!$C$9, $C$13, 100%, $E$13) + CHOOSE(CONTROL!$C$28, 0.0021, 0)</f>
        <v>174.16176471272502</v>
      </c>
    </row>
    <row r="312" spans="1:5" ht="15">
      <c r="A312" s="13">
        <v>50648</v>
      </c>
      <c r="B312" s="4">
        <f>27.9205 * CHOOSE(CONTROL!$C$9, $C$13, 100%, $E$13) + CHOOSE(CONTROL!$C$28, 0.0226, 0)</f>
        <v>27.943100000000001</v>
      </c>
      <c r="C312" s="4">
        <f>27.5572 * CHOOSE(CONTROL!$C$9, $C$13, 100%, $E$13) + CHOOSE(CONTROL!$C$28, 0.0226, 0)</f>
        <v>27.579800000000002</v>
      </c>
      <c r="D312" s="4">
        <f>37.0999 * CHOOSE(CONTROL!$C$9, $C$13, 100%, $E$13) + CHOOSE(CONTROL!$C$28, 0.0021, 0)</f>
        <v>37.101999999999997</v>
      </c>
      <c r="E312" s="4">
        <f>178.329411696382 * CHOOSE(CONTROL!$C$9, $C$13, 100%, $E$13) + CHOOSE(CONTROL!$C$28, 0.0021, 0)</f>
        <v>178.33151169638202</v>
      </c>
    </row>
    <row r="313" spans="1:5" ht="15">
      <c r="A313" s="13">
        <v>50678</v>
      </c>
      <c r="B313" s="4">
        <f>26.8386 * CHOOSE(CONTROL!$C$9, $C$13, 100%, $E$13) + CHOOSE(CONTROL!$C$28, 0.0226, 0)</f>
        <v>26.8612</v>
      </c>
      <c r="C313" s="4">
        <f>26.4753 * CHOOSE(CONTROL!$C$9, $C$13, 100%, $E$13) + CHOOSE(CONTROL!$C$28, 0.0226, 0)</f>
        <v>26.497900000000001</v>
      </c>
      <c r="D313" s="4">
        <f>36.9194 * CHOOSE(CONTROL!$C$9, $C$13, 100%, $E$13) + CHOOSE(CONTROL!$C$28, 0.0021, 0)</f>
        <v>36.921500000000002</v>
      </c>
      <c r="E313" s="4">
        <f>171.22283295015 * CHOOSE(CONTROL!$C$9, $C$13, 100%, $E$13) + CHOOSE(CONTROL!$C$28, 0.0021, 0)</f>
        <v>171.22493295015002</v>
      </c>
    </row>
    <row r="314" spans="1:5" ht="15">
      <c r="A314" s="13">
        <v>50709</v>
      </c>
      <c r="B314" s="4">
        <f>25.9726 * CHOOSE(CONTROL!$C$9, $C$13, 100%, $E$13) + CHOOSE(CONTROL!$C$28, 0.0226, 0)</f>
        <v>25.995200000000001</v>
      </c>
      <c r="C314" s="4">
        <f>25.6093 * CHOOSE(CONTROL!$C$9, $C$13, 100%, $E$13) + CHOOSE(CONTROL!$C$28, 0.0226, 0)</f>
        <v>25.631900000000002</v>
      </c>
      <c r="D314" s="4">
        <f>36.4362 * CHOOSE(CONTROL!$C$9, $C$13, 100%, $E$13) + CHOOSE(CONTROL!$C$28, 0.0021, 0)</f>
        <v>36.438299999999998</v>
      </c>
      <c r="E314" s="4">
        <f>165.533875825161 * CHOOSE(CONTROL!$C$9, $C$13, 100%, $E$13) + CHOOSE(CONTROL!$C$28, 0.0021, 0)</f>
        <v>165.53597582516102</v>
      </c>
    </row>
    <row r="315" spans="1:5" ht="15">
      <c r="A315" s="13">
        <v>50739</v>
      </c>
      <c r="B315" s="4">
        <f>25.4148 * CHOOSE(CONTROL!$C$9, $C$13, 100%, $E$13) + CHOOSE(CONTROL!$C$28, 0.0226, 0)</f>
        <v>25.4374</v>
      </c>
      <c r="C315" s="4">
        <f>25.0515 * CHOOSE(CONTROL!$C$9, $C$13, 100%, $E$13) + CHOOSE(CONTROL!$C$28, 0.0226, 0)</f>
        <v>25.074100000000001</v>
      </c>
      <c r="D315" s="4">
        <f>36.2701 * CHOOSE(CONTROL!$C$9, $C$13, 100%, $E$13) + CHOOSE(CONTROL!$C$28, 0.0021, 0)</f>
        <v>36.272199999999998</v>
      </c>
      <c r="E315" s="4">
        <f>161.869762611948 * CHOOSE(CONTROL!$C$9, $C$13, 100%, $E$13) + CHOOSE(CONTROL!$C$28, 0.0021, 0)</f>
        <v>161.87186261194802</v>
      </c>
    </row>
    <row r="316" spans="1:5" ht="15">
      <c r="A316" s="13">
        <v>50770</v>
      </c>
      <c r="B316" s="4">
        <f>25.0289 * CHOOSE(CONTROL!$C$9, $C$13, 100%, $E$13) + CHOOSE(CONTROL!$C$28, 0.0226, 0)</f>
        <v>25.051500000000001</v>
      </c>
      <c r="C316" s="4">
        <f>24.6656 * CHOOSE(CONTROL!$C$9, $C$13, 100%, $E$13) + CHOOSE(CONTROL!$C$28, 0.0226, 0)</f>
        <v>24.688200000000002</v>
      </c>
      <c r="D316" s="4">
        <f>35.0471 * CHOOSE(CONTROL!$C$9, $C$13, 100%, $E$13) + CHOOSE(CONTROL!$C$28, 0.0021, 0)</f>
        <v>35.049199999999999</v>
      </c>
      <c r="E316" s="4">
        <f>159.334667269725 * CHOOSE(CONTROL!$C$9, $C$13, 100%, $E$13) + CHOOSE(CONTROL!$C$28, 0.0021, 0)</f>
        <v>159.33676726972502</v>
      </c>
    </row>
    <row r="317" spans="1:5" ht="15">
      <c r="A317" s="13">
        <v>50801</v>
      </c>
      <c r="B317" s="4">
        <f>23.973 * CHOOSE(CONTROL!$C$9, $C$13, 100%, $E$13) + CHOOSE(CONTROL!$C$28, 0.0226, 0)</f>
        <v>23.9956</v>
      </c>
      <c r="C317" s="4">
        <f>23.6097 * CHOOSE(CONTROL!$C$9, $C$13, 100%, $E$13) + CHOOSE(CONTROL!$C$28, 0.0226, 0)</f>
        <v>23.632300000000001</v>
      </c>
      <c r="D317" s="4">
        <f>33.6999 * CHOOSE(CONTROL!$C$9, $C$13, 100%, $E$13) + CHOOSE(CONTROL!$C$28, 0.0021, 0)</f>
        <v>33.701999999999998</v>
      </c>
      <c r="E317" s="4">
        <f>152.697730935841 * CHOOSE(CONTROL!$C$9, $C$13, 100%, $E$13) + CHOOSE(CONTROL!$C$28, 0.0021, 0)</f>
        <v>152.69983093584102</v>
      </c>
    </row>
    <row r="318" spans="1:5" ht="15">
      <c r="A318" s="13">
        <v>50829</v>
      </c>
      <c r="B318" s="4">
        <f>24.5239 * CHOOSE(CONTROL!$C$9, $C$13, 100%, $E$13) + CHOOSE(CONTROL!$C$28, 0.0226, 0)</f>
        <v>24.546500000000002</v>
      </c>
      <c r="C318" s="4">
        <f>24.1606 * CHOOSE(CONTROL!$C$9, $C$13, 100%, $E$13) + CHOOSE(CONTROL!$C$28, 0.0226, 0)</f>
        <v>24.183199999999999</v>
      </c>
      <c r="D318" s="4">
        <f>34.8239 * CHOOSE(CONTROL!$C$9, $C$13, 100%, $E$13) + CHOOSE(CONTROL!$C$28, 0.0021, 0)</f>
        <v>34.826000000000001</v>
      </c>
      <c r="E318" s="4">
        <f>156.323376836188 * CHOOSE(CONTROL!$C$9, $C$13, 100%, $E$13) + CHOOSE(CONTROL!$C$28, 0.0021, 0)</f>
        <v>156.32547683618802</v>
      </c>
    </row>
    <row r="319" spans="1:5" ht="15">
      <c r="A319" s="13">
        <v>50860</v>
      </c>
      <c r="B319" s="4">
        <f>25.9704 * CHOOSE(CONTROL!$C$9, $C$13, 100%, $E$13) + CHOOSE(CONTROL!$C$28, 0.0226, 0)</f>
        <v>25.993000000000002</v>
      </c>
      <c r="C319" s="4">
        <f>25.6072 * CHOOSE(CONTROL!$C$9, $C$13, 100%, $E$13) + CHOOSE(CONTROL!$C$28, 0.0226, 0)</f>
        <v>25.629799999999999</v>
      </c>
      <c r="D319" s="4">
        <f>36.5835 * CHOOSE(CONTROL!$C$9, $C$13, 100%, $E$13) + CHOOSE(CONTROL!$C$28, 0.0021, 0)</f>
        <v>36.585599999999999</v>
      </c>
      <c r="E319" s="4">
        <f>165.844515649022 * CHOOSE(CONTROL!$C$9, $C$13, 100%, $E$13) + CHOOSE(CONTROL!$C$28, 0.0021, 0)</f>
        <v>165.846615649022</v>
      </c>
    </row>
    <row r="320" spans="1:5" ht="15">
      <c r="A320" s="13">
        <v>50890</v>
      </c>
      <c r="B320" s="4">
        <f>26.9982 * CHOOSE(CONTROL!$C$9, $C$13, 100%, $E$13) + CHOOSE(CONTROL!$C$28, 0.0226, 0)</f>
        <v>27.020800000000001</v>
      </c>
      <c r="C320" s="4">
        <f>26.635 * CHOOSE(CONTROL!$C$9, $C$13, 100%, $E$13) + CHOOSE(CONTROL!$C$28, 0.0226, 0)</f>
        <v>26.657600000000002</v>
      </c>
      <c r="D320" s="4">
        <f>37.5971 * CHOOSE(CONTROL!$C$9, $C$13, 100%, $E$13) + CHOOSE(CONTROL!$C$28, 0.0021, 0)</f>
        <v>37.599199999999996</v>
      </c>
      <c r="E320" s="4">
        <f>172.609411661398 * CHOOSE(CONTROL!$C$9, $C$13, 100%, $E$13) + CHOOSE(CONTROL!$C$28, 0.0021, 0)</f>
        <v>172.61151166139803</v>
      </c>
    </row>
    <row r="321" spans="1:5" ht="15">
      <c r="A321" s="13">
        <v>50921</v>
      </c>
      <c r="B321" s="4">
        <f>27.6262 * CHOOSE(CONTROL!$C$9, $C$13, 100%, $E$13) + CHOOSE(CONTROL!$C$28, 0.0226, 0)</f>
        <v>27.648800000000001</v>
      </c>
      <c r="C321" s="4">
        <f>27.2629 * CHOOSE(CONTROL!$C$9, $C$13, 100%, $E$13) + CHOOSE(CONTROL!$C$28, 0.0226, 0)</f>
        <v>27.285499999999999</v>
      </c>
      <c r="D321" s="4">
        <f>37.1966 * CHOOSE(CONTROL!$C$9, $C$13, 100%, $E$13) + CHOOSE(CONTROL!$C$28, 0.0021, 0)</f>
        <v>37.198699999999995</v>
      </c>
      <c r="E321" s="4">
        <f>176.742600993031 * CHOOSE(CONTROL!$C$9, $C$13, 100%, $E$13) + CHOOSE(CONTROL!$C$28, 0.0021, 0)</f>
        <v>176.74470099303102</v>
      </c>
    </row>
    <row r="322" spans="1:5" ht="15">
      <c r="A322" s="13">
        <v>50951</v>
      </c>
      <c r="B322" s="4">
        <f>27.7112 * CHOOSE(CONTROL!$C$9, $C$13, 100%, $E$13) + CHOOSE(CONTROL!$C$28, 0.0226, 0)</f>
        <v>27.733800000000002</v>
      </c>
      <c r="C322" s="4">
        <f>27.3479 * CHOOSE(CONTROL!$C$9, $C$13, 100%, $E$13) + CHOOSE(CONTROL!$C$28, 0.0226, 0)</f>
        <v>27.3705</v>
      </c>
      <c r="D322" s="4">
        <f>37.5228 * CHOOSE(CONTROL!$C$9, $C$13, 100%, $E$13) + CHOOSE(CONTROL!$C$28, 0.0021, 0)</f>
        <v>37.524899999999995</v>
      </c>
      <c r="E322" s="4">
        <f>177.301838662689 * CHOOSE(CONTROL!$C$9, $C$13, 100%, $E$13) + CHOOSE(CONTROL!$C$28, 0.0021, 0)</f>
        <v>177.30393866268901</v>
      </c>
    </row>
    <row r="323" spans="1:5" ht="15">
      <c r="A323" s="13">
        <v>50982</v>
      </c>
      <c r="B323" s="4">
        <f>27.7026 * CHOOSE(CONTROL!$C$9, $C$13, 100%, $E$13) + CHOOSE(CONTROL!$C$28, 0.0226, 0)</f>
        <v>27.725200000000001</v>
      </c>
      <c r="C323" s="4">
        <f>27.3393 * CHOOSE(CONTROL!$C$9, $C$13, 100%, $E$13) + CHOOSE(CONTROL!$C$28, 0.0226, 0)</f>
        <v>27.361900000000002</v>
      </c>
      <c r="D323" s="4">
        <f>38.1114 * CHOOSE(CONTROL!$C$9, $C$13, 100%, $E$13) + CHOOSE(CONTROL!$C$28, 0.0021, 0)</f>
        <v>38.113500000000002</v>
      </c>
      <c r="E323" s="4">
        <f>177.245444948102 * CHOOSE(CONTROL!$C$9, $C$13, 100%, $E$13) + CHOOSE(CONTROL!$C$28, 0.0021, 0)</f>
        <v>177.24754494810202</v>
      </c>
    </row>
    <row r="324" spans="1:5" ht="15">
      <c r="A324" s="13">
        <v>51013</v>
      </c>
      <c r="B324" s="4">
        <f>28.3473 * CHOOSE(CONTROL!$C$9, $C$13, 100%, $E$13) + CHOOSE(CONTROL!$C$28, 0.0226, 0)</f>
        <v>28.369900000000001</v>
      </c>
      <c r="C324" s="4">
        <f>27.9841 * CHOOSE(CONTROL!$C$9, $C$13, 100%, $E$13) + CHOOSE(CONTROL!$C$28, 0.0226, 0)</f>
        <v>28.006700000000002</v>
      </c>
      <c r="D324" s="4">
        <f>37.7227 * CHOOSE(CONTROL!$C$9, $C$13, 100%, $E$13) + CHOOSE(CONTROL!$C$28, 0.0021, 0)</f>
        <v>37.724800000000002</v>
      </c>
      <c r="E324" s="4">
        <f>181.489071970801 * CHOOSE(CONTROL!$C$9, $C$13, 100%, $E$13) + CHOOSE(CONTROL!$C$28, 0.0021, 0)</f>
        <v>181.49117197080102</v>
      </c>
    </row>
    <row r="325" spans="1:5" ht="15">
      <c r="A325" s="13">
        <v>51043</v>
      </c>
      <c r="B325" s="4">
        <f>27.2485 * CHOOSE(CONTROL!$C$9, $C$13, 100%, $E$13) + CHOOSE(CONTROL!$C$28, 0.0226, 0)</f>
        <v>27.271100000000001</v>
      </c>
      <c r="C325" s="4">
        <f>26.8852 * CHOOSE(CONTROL!$C$9, $C$13, 100%, $E$13) + CHOOSE(CONTROL!$C$28, 0.0226, 0)</f>
        <v>26.907800000000002</v>
      </c>
      <c r="D325" s="4">
        <f>37.539 * CHOOSE(CONTROL!$C$9, $C$13, 100%, $E$13) + CHOOSE(CONTROL!$C$28, 0.0021, 0)</f>
        <v>37.5411</v>
      </c>
      <c r="E325" s="4">
        <f>174.256578074971 * CHOOSE(CONTROL!$C$9, $C$13, 100%, $E$13) + CHOOSE(CONTROL!$C$28, 0.0021, 0)</f>
        <v>174.25867807497102</v>
      </c>
    </row>
    <row r="326" spans="1:5" ht="15">
      <c r="A326" s="13">
        <v>51074</v>
      </c>
      <c r="B326" s="4">
        <f>26.3688 * CHOOSE(CONTROL!$C$9, $C$13, 100%, $E$13) + CHOOSE(CONTROL!$C$28, 0.0226, 0)</f>
        <v>26.391400000000001</v>
      </c>
      <c r="C326" s="4">
        <f>26.0056 * CHOOSE(CONTROL!$C$9, $C$13, 100%, $E$13) + CHOOSE(CONTROL!$C$28, 0.0226, 0)</f>
        <v>26.028200000000002</v>
      </c>
      <c r="D326" s="4">
        <f>37.0473 * CHOOSE(CONTROL!$C$9, $C$13, 100%, $E$13) + CHOOSE(CONTROL!$C$28, 0.0021, 0)</f>
        <v>37.049399999999999</v>
      </c>
      <c r="E326" s="4">
        <f>168.466823377334 * CHOOSE(CONTROL!$C$9, $C$13, 100%, $E$13) + CHOOSE(CONTROL!$C$28, 0.0021, 0)</f>
        <v>168.46892337733402</v>
      </c>
    </row>
    <row r="327" spans="1:5" ht="15">
      <c r="A327" s="13">
        <v>51104</v>
      </c>
      <c r="B327" s="4">
        <f>25.8023 * CHOOSE(CONTROL!$C$9, $C$13, 100%, $E$13) + CHOOSE(CONTROL!$C$28, 0.0226, 0)</f>
        <v>25.8249</v>
      </c>
      <c r="C327" s="4">
        <f>25.439 * CHOOSE(CONTROL!$C$9, $C$13, 100%, $E$13) + CHOOSE(CONTROL!$C$28, 0.0226, 0)</f>
        <v>25.461600000000001</v>
      </c>
      <c r="D327" s="4">
        <f>36.8782 * CHOOSE(CONTROL!$C$9, $C$13, 100%, $E$13) + CHOOSE(CONTROL!$C$28, 0.0021, 0)</f>
        <v>36.880299999999998</v>
      </c>
      <c r="E327" s="4">
        <f>164.737789000245 * CHOOSE(CONTROL!$C$9, $C$13, 100%, $E$13) + CHOOSE(CONTROL!$C$28, 0.0021, 0)</f>
        <v>164.739889000245</v>
      </c>
    </row>
    <row r="328" spans="1:5" ht="15">
      <c r="A328" s="13">
        <v>51135</v>
      </c>
      <c r="B328" s="4">
        <f>25.4103 * CHOOSE(CONTROL!$C$9, $C$13, 100%, $E$13) + CHOOSE(CONTROL!$C$28, 0.0226, 0)</f>
        <v>25.4329</v>
      </c>
      <c r="C328" s="4">
        <f>25.047 * CHOOSE(CONTROL!$C$9, $C$13, 100%, $E$13) + CHOOSE(CONTROL!$C$28, 0.0226, 0)</f>
        <v>25.069600000000001</v>
      </c>
      <c r="D328" s="4">
        <f>35.6336 * CHOOSE(CONTROL!$C$9, $C$13, 100%, $E$13) + CHOOSE(CONTROL!$C$28, 0.0021, 0)</f>
        <v>35.6357</v>
      </c>
      <c r="E328" s="4">
        <f>162.157776557873 * CHOOSE(CONTROL!$C$9, $C$13, 100%, $E$13) + CHOOSE(CONTROL!$C$28, 0.0021, 0)</f>
        <v>162.15987655787302</v>
      </c>
    </row>
    <row r="329" spans="1:5" ht="15">
      <c r="A329" s="13">
        <v>51166</v>
      </c>
      <c r="B329" s="4">
        <f>24.3378 * CHOOSE(CONTROL!$C$9, $C$13, 100%, $E$13) + CHOOSE(CONTROL!$C$28, 0.0226, 0)</f>
        <v>24.360400000000002</v>
      </c>
      <c r="C329" s="4">
        <f>23.9746 * CHOOSE(CONTROL!$C$9, $C$13, 100%, $E$13) + CHOOSE(CONTROL!$C$28, 0.0226, 0)</f>
        <v>23.997199999999999</v>
      </c>
      <c r="D329" s="4">
        <f>34.2626 * CHOOSE(CONTROL!$C$9, $C$13, 100%, $E$13) + CHOOSE(CONTROL!$C$28, 0.0021, 0)</f>
        <v>34.264699999999998</v>
      </c>
      <c r="E329" s="4">
        <f>155.403246250687 * CHOOSE(CONTROL!$C$9, $C$13, 100%, $E$13) + CHOOSE(CONTROL!$C$28, 0.0021, 0)</f>
        <v>155.40534625068702</v>
      </c>
    </row>
    <row r="330" spans="1:5" ht="15">
      <c r="A330" s="13">
        <v>51194</v>
      </c>
      <c r="B330" s="4">
        <f>24.8973 * CHOOSE(CONTROL!$C$9, $C$13, 100%, $E$13) + CHOOSE(CONTROL!$C$28, 0.0226, 0)</f>
        <v>24.919900000000002</v>
      </c>
      <c r="C330" s="4">
        <f>24.5341 * CHOOSE(CONTROL!$C$9, $C$13, 100%, $E$13) + CHOOSE(CONTROL!$C$28, 0.0226, 0)</f>
        <v>24.556699999999999</v>
      </c>
      <c r="D330" s="4">
        <f>35.4065 * CHOOSE(CONTROL!$C$9, $C$13, 100%, $E$13) + CHOOSE(CONTROL!$C$28, 0.0021, 0)</f>
        <v>35.4086</v>
      </c>
      <c r="E330" s="4">
        <f>159.093131746798 * CHOOSE(CONTROL!$C$9, $C$13, 100%, $E$13) + CHOOSE(CONTROL!$C$28, 0.0021, 0)</f>
        <v>159.09523174679802</v>
      </c>
    </row>
    <row r="331" spans="1:5" ht="15">
      <c r="A331" s="13">
        <v>51226</v>
      </c>
      <c r="B331" s="4">
        <f>26.3667 * CHOOSE(CONTROL!$C$9, $C$13, 100%, $E$13) + CHOOSE(CONTROL!$C$28, 0.0226, 0)</f>
        <v>26.389300000000002</v>
      </c>
      <c r="C331" s="4">
        <f>26.0034 * CHOOSE(CONTROL!$C$9, $C$13, 100%, $E$13) + CHOOSE(CONTROL!$C$28, 0.0226, 0)</f>
        <v>26.026</v>
      </c>
      <c r="D331" s="4">
        <f>37.1972 * CHOOSE(CONTROL!$C$9, $C$13, 100%, $E$13) + CHOOSE(CONTROL!$C$28, 0.0021, 0)</f>
        <v>37.199300000000001</v>
      </c>
      <c r="E331" s="4">
        <f>168.782967152012 * CHOOSE(CONTROL!$C$9, $C$13, 100%, $E$13) + CHOOSE(CONTROL!$C$28, 0.0021, 0)</f>
        <v>168.785067152012</v>
      </c>
    </row>
    <row r="332" spans="1:5" ht="15">
      <c r="A332" s="13">
        <v>51256</v>
      </c>
      <c r="B332" s="4">
        <f>27.4106 * CHOOSE(CONTROL!$C$9, $C$13, 100%, $E$13) + CHOOSE(CONTROL!$C$28, 0.0226, 0)</f>
        <v>27.433199999999999</v>
      </c>
      <c r="C332" s="4">
        <f>27.0473 * CHOOSE(CONTROL!$C$9, $C$13, 100%, $E$13) + CHOOSE(CONTROL!$C$28, 0.0226, 0)</f>
        <v>27.069900000000001</v>
      </c>
      <c r="D332" s="4">
        <f>38.2287 * CHOOSE(CONTROL!$C$9, $C$13, 100%, $E$13) + CHOOSE(CONTROL!$C$28, 0.0021, 0)</f>
        <v>38.230800000000002</v>
      </c>
      <c r="E332" s="4">
        <f>175.667724341451 * CHOOSE(CONTROL!$C$9, $C$13, 100%, $E$13) + CHOOSE(CONTROL!$C$28, 0.0021, 0)</f>
        <v>175.669824341451</v>
      </c>
    </row>
    <row r="333" spans="1:5" ht="15">
      <c r="A333" s="13">
        <v>51287</v>
      </c>
      <c r="B333" s="4">
        <f>28.0485 * CHOOSE(CONTROL!$C$9, $C$13, 100%, $E$13) + CHOOSE(CONTROL!$C$28, 0.0226, 0)</f>
        <v>28.071100000000001</v>
      </c>
      <c r="C333" s="4">
        <f>27.6852 * CHOOSE(CONTROL!$C$9, $C$13, 100%, $E$13) + CHOOSE(CONTROL!$C$28, 0.0226, 0)</f>
        <v>27.707799999999999</v>
      </c>
      <c r="D333" s="4">
        <f>37.8211 * CHOOSE(CONTROL!$C$9, $C$13, 100%, $E$13) + CHOOSE(CONTROL!$C$28, 0.0021, 0)</f>
        <v>37.8232</v>
      </c>
      <c r="E333" s="4">
        <f>179.874145979598 * CHOOSE(CONTROL!$C$9, $C$13, 100%, $E$13) + CHOOSE(CONTROL!$C$28, 0.0021, 0)</f>
        <v>179.87624597959802</v>
      </c>
    </row>
    <row r="334" spans="1:5" ht="15">
      <c r="A334" s="13">
        <v>51317</v>
      </c>
      <c r="B334" s="4">
        <f>28.1348 * CHOOSE(CONTROL!$C$9, $C$13, 100%, $E$13) + CHOOSE(CONTROL!$C$28, 0.0226, 0)</f>
        <v>28.157399999999999</v>
      </c>
      <c r="C334" s="4">
        <f>27.7715 * CHOOSE(CONTROL!$C$9, $C$13, 100%, $E$13) + CHOOSE(CONTROL!$C$28, 0.0226, 0)</f>
        <v>27.7941</v>
      </c>
      <c r="D334" s="4">
        <f>38.153 * CHOOSE(CONTROL!$C$9, $C$13, 100%, $E$13) + CHOOSE(CONTROL!$C$28, 0.0021, 0)</f>
        <v>38.155099999999997</v>
      </c>
      <c r="E334" s="4">
        <f>180.443292284247 * CHOOSE(CONTROL!$C$9, $C$13, 100%, $E$13) + CHOOSE(CONTROL!$C$28, 0.0021, 0)</f>
        <v>180.44539228424702</v>
      </c>
    </row>
    <row r="335" spans="1:5" ht="15">
      <c r="A335" s="13">
        <v>51348</v>
      </c>
      <c r="B335" s="4">
        <f>28.1261 * CHOOSE(CONTROL!$C$9, $C$13, 100%, $E$13) + CHOOSE(CONTROL!$C$28, 0.0226, 0)</f>
        <v>28.148700000000002</v>
      </c>
      <c r="C335" s="4">
        <f>27.7628 * CHOOSE(CONTROL!$C$9, $C$13, 100%, $E$13) + CHOOSE(CONTROL!$C$28, 0.0226, 0)</f>
        <v>27.785399999999999</v>
      </c>
      <c r="D335" s="4">
        <f>38.752 * CHOOSE(CONTROL!$C$9, $C$13, 100%, $E$13) + CHOOSE(CONTROL!$C$28, 0.0021, 0)</f>
        <v>38.754100000000001</v>
      </c>
      <c r="E335" s="4">
        <f>180.385899379577 * CHOOSE(CONTROL!$C$9, $C$13, 100%, $E$13) + CHOOSE(CONTROL!$C$28, 0.0021, 0)</f>
        <v>180.38799937957702</v>
      </c>
    </row>
    <row r="336" spans="1:5" ht="15">
      <c r="A336" s="13">
        <v>51379</v>
      </c>
      <c r="B336" s="4">
        <f>28.7809 * CHOOSE(CONTROL!$C$9, $C$13, 100%, $E$13) + CHOOSE(CONTROL!$C$28, 0.0226, 0)</f>
        <v>28.8035</v>
      </c>
      <c r="C336" s="4">
        <f>28.4177 * CHOOSE(CONTROL!$C$9, $C$13, 100%, $E$13) + CHOOSE(CONTROL!$C$28, 0.0226, 0)</f>
        <v>28.440300000000001</v>
      </c>
      <c r="D336" s="4">
        <f>38.3564 * CHOOSE(CONTROL!$C$9, $C$13, 100%, $E$13) + CHOOSE(CONTROL!$C$28, 0.0021, 0)</f>
        <v>38.358499999999999</v>
      </c>
      <c r="E336" s="4">
        <f>184.704715456037 * CHOOSE(CONTROL!$C$9, $C$13, 100%, $E$13) + CHOOSE(CONTROL!$C$28, 0.0021, 0)</f>
        <v>184.70681545603702</v>
      </c>
    </row>
    <row r="337" spans="1:5" ht="15">
      <c r="A337" s="13">
        <v>51409</v>
      </c>
      <c r="B337" s="4">
        <f>27.6648 * CHOOSE(CONTROL!$C$9, $C$13, 100%, $E$13) + CHOOSE(CONTROL!$C$28, 0.0226, 0)</f>
        <v>27.6874</v>
      </c>
      <c r="C337" s="4">
        <f>27.3015 * CHOOSE(CONTROL!$C$9, $C$13, 100%, $E$13) + CHOOSE(CONTROL!$C$28, 0.0226, 0)</f>
        <v>27.324100000000001</v>
      </c>
      <c r="D337" s="4">
        <f>38.1695 * CHOOSE(CONTROL!$C$9, $C$13, 100%, $E$13) + CHOOSE(CONTROL!$C$28, 0.0021, 0)</f>
        <v>38.171599999999998</v>
      </c>
      <c r="E337" s="4">
        <f>177.344075432037 * CHOOSE(CONTROL!$C$9, $C$13, 100%, $E$13) + CHOOSE(CONTROL!$C$28, 0.0021, 0)</f>
        <v>177.346175432037</v>
      </c>
    </row>
    <row r="338" spans="1:5" ht="15">
      <c r="A338" s="13">
        <v>51440</v>
      </c>
      <c r="B338" s="4">
        <f>26.7713 * CHOOSE(CONTROL!$C$9, $C$13, 100%, $E$13) + CHOOSE(CONTROL!$C$28, 0.0226, 0)</f>
        <v>26.793900000000001</v>
      </c>
      <c r="C338" s="4">
        <f>26.4081 * CHOOSE(CONTROL!$C$9, $C$13, 100%, $E$13) + CHOOSE(CONTROL!$C$28, 0.0226, 0)</f>
        <v>26.430700000000002</v>
      </c>
      <c r="D338" s="4">
        <f>37.6691 * CHOOSE(CONTROL!$C$9, $C$13, 100%, $E$13) + CHOOSE(CONTROL!$C$28, 0.0021, 0)</f>
        <v>37.671199999999999</v>
      </c>
      <c r="E338" s="4">
        <f>171.451737219193 * CHOOSE(CONTROL!$C$9, $C$13, 100%, $E$13) + CHOOSE(CONTROL!$C$28, 0.0021, 0)</f>
        <v>171.45383721919302</v>
      </c>
    </row>
    <row r="339" spans="1:5" ht="15">
      <c r="A339" s="13">
        <v>51470</v>
      </c>
      <c r="B339" s="4">
        <f>26.1959 * CHOOSE(CONTROL!$C$9, $C$13, 100%, $E$13) + CHOOSE(CONTROL!$C$28, 0.0226, 0)</f>
        <v>26.218500000000002</v>
      </c>
      <c r="C339" s="4">
        <f>25.8326 * CHOOSE(CONTROL!$C$9, $C$13, 100%, $E$13) + CHOOSE(CONTROL!$C$28, 0.0226, 0)</f>
        <v>25.8552</v>
      </c>
      <c r="D339" s="4">
        <f>37.4971 * CHOOSE(CONTROL!$C$9, $C$13, 100%, $E$13) + CHOOSE(CONTROL!$C$28, 0.0021, 0)</f>
        <v>37.499200000000002</v>
      </c>
      <c r="E339" s="4">
        <f>167.656631397852 * CHOOSE(CONTROL!$C$9, $C$13, 100%, $E$13) + CHOOSE(CONTROL!$C$28, 0.0021, 0)</f>
        <v>167.65873139785202</v>
      </c>
    </row>
    <row r="340" spans="1:5" ht="15">
      <c r="A340" s="13">
        <v>51501</v>
      </c>
      <c r="B340" s="4">
        <f>25.7977 * CHOOSE(CONTROL!$C$9, $C$13, 100%, $E$13) + CHOOSE(CONTROL!$C$28, 0.0226, 0)</f>
        <v>25.8203</v>
      </c>
      <c r="C340" s="4">
        <f>25.4344 * CHOOSE(CONTROL!$C$9, $C$13, 100%, $E$13) + CHOOSE(CONTROL!$C$28, 0.0226, 0)</f>
        <v>25.457000000000001</v>
      </c>
      <c r="D340" s="4">
        <f>36.2305 * CHOOSE(CONTROL!$C$9, $C$13, 100%, $E$13) + CHOOSE(CONTROL!$C$28, 0.0021, 0)</f>
        <v>36.232599999999998</v>
      </c>
      <c r="E340" s="4">
        <f>165.030906009174 * CHOOSE(CONTROL!$C$9, $C$13, 100%, $E$13) + CHOOSE(CONTROL!$C$28, 0.0021, 0)</f>
        <v>165.03300600917402</v>
      </c>
    </row>
    <row r="341" spans="1:5" ht="15">
      <c r="A341" s="13">
        <v>51532</v>
      </c>
      <c r="B341" s="4">
        <f>24.7084 * CHOOSE(CONTROL!$C$9, $C$13, 100%, $E$13) + CHOOSE(CONTROL!$C$28, 0.0226, 0)</f>
        <v>24.731000000000002</v>
      </c>
      <c r="C341" s="4">
        <f>24.3451 * CHOOSE(CONTROL!$C$9, $C$13, 100%, $E$13) + CHOOSE(CONTROL!$C$28, 0.0226, 0)</f>
        <v>24.367699999999999</v>
      </c>
      <c r="D341" s="4">
        <f>34.8352 * CHOOSE(CONTROL!$C$9, $C$13, 100%, $E$13) + CHOOSE(CONTROL!$C$28, 0.0021, 0)</f>
        <v>34.837299999999999</v>
      </c>
      <c r="E341" s="4">
        <f>158.156698185638 * CHOOSE(CONTROL!$C$9, $C$13, 100%, $E$13) + CHOOSE(CONTROL!$C$28, 0.0021, 0)</f>
        <v>158.15879818563801</v>
      </c>
    </row>
    <row r="342" spans="1:5" ht="15">
      <c r="A342" s="13">
        <v>51560</v>
      </c>
      <c r="B342" s="4">
        <f>25.2767 * CHOOSE(CONTROL!$C$9, $C$13, 100%, $E$13) + CHOOSE(CONTROL!$C$28, 0.0226, 0)</f>
        <v>25.299300000000002</v>
      </c>
      <c r="C342" s="4">
        <f>24.9134 * CHOOSE(CONTROL!$C$9, $C$13, 100%, $E$13) + CHOOSE(CONTROL!$C$28, 0.0226, 0)</f>
        <v>24.936</v>
      </c>
      <c r="D342" s="4">
        <f>35.9993 * CHOOSE(CONTROL!$C$9, $C$13, 100%, $E$13) + CHOOSE(CONTROL!$C$28, 0.0021, 0)</f>
        <v>36.001399999999997</v>
      </c>
      <c r="E342" s="4">
        <f>161.91196148179 * CHOOSE(CONTROL!$C$9, $C$13, 100%, $E$13) + CHOOSE(CONTROL!$C$28, 0.0021, 0)</f>
        <v>161.91406148179001</v>
      </c>
    </row>
    <row r="343" spans="1:5" ht="15">
      <c r="A343" s="13">
        <v>51591</v>
      </c>
      <c r="B343" s="4">
        <f>26.7691 * CHOOSE(CONTROL!$C$9, $C$13, 100%, $E$13) + CHOOSE(CONTROL!$C$28, 0.0226, 0)</f>
        <v>26.791700000000002</v>
      </c>
      <c r="C343" s="4">
        <f>26.4058 * CHOOSE(CONTROL!$C$9, $C$13, 100%, $E$13) + CHOOSE(CONTROL!$C$28, 0.0226, 0)</f>
        <v>26.4284</v>
      </c>
      <c r="D343" s="4">
        <f>37.8217 * CHOOSE(CONTROL!$C$9, $C$13, 100%, $E$13) + CHOOSE(CONTROL!$C$28, 0.0021, 0)</f>
        <v>37.823799999999999</v>
      </c>
      <c r="E343" s="4">
        <f>171.773482464297 * CHOOSE(CONTROL!$C$9, $C$13, 100%, $E$13) + CHOOSE(CONTROL!$C$28, 0.0021, 0)</f>
        <v>171.775582464297</v>
      </c>
    </row>
    <row r="344" spans="1:5" ht="15">
      <c r="A344" s="13">
        <v>51621</v>
      </c>
      <c r="B344" s="4">
        <f>27.8295 * CHOOSE(CONTROL!$C$9, $C$13, 100%, $E$13) + CHOOSE(CONTROL!$C$28, 0.0226, 0)</f>
        <v>27.8521</v>
      </c>
      <c r="C344" s="4">
        <f>27.4662 * CHOOSE(CONTROL!$C$9, $C$13, 100%, $E$13) + CHOOSE(CONTROL!$C$28, 0.0226, 0)</f>
        <v>27.488800000000001</v>
      </c>
      <c r="D344" s="4">
        <f>38.8714 * CHOOSE(CONTROL!$C$9, $C$13, 100%, $E$13) + CHOOSE(CONTROL!$C$28, 0.0021, 0)</f>
        <v>38.8735</v>
      </c>
      <c r="E344" s="4">
        <f>178.780224544414 * CHOOSE(CONTROL!$C$9, $C$13, 100%, $E$13) + CHOOSE(CONTROL!$C$28, 0.0021, 0)</f>
        <v>178.78232454441402</v>
      </c>
    </row>
    <row r="345" spans="1:5" ht="15">
      <c r="A345" s="13">
        <v>51652</v>
      </c>
      <c r="B345" s="4">
        <f>28.4774 * CHOOSE(CONTROL!$C$9, $C$13, 100%, $E$13) + CHOOSE(CONTROL!$C$28, 0.0226, 0)</f>
        <v>28.5</v>
      </c>
      <c r="C345" s="4">
        <f>28.1141 * CHOOSE(CONTROL!$C$9, $C$13, 100%, $E$13) + CHOOSE(CONTROL!$C$28, 0.0226, 0)</f>
        <v>28.136700000000001</v>
      </c>
      <c r="D345" s="4">
        <f>38.4566 * CHOOSE(CONTROL!$C$9, $C$13, 100%, $E$13) + CHOOSE(CONTROL!$C$28, 0.0021, 0)</f>
        <v>38.4587</v>
      </c>
      <c r="E345" s="4">
        <f>183.061176027196 * CHOOSE(CONTROL!$C$9, $C$13, 100%, $E$13) + CHOOSE(CONTROL!$C$28, 0.0021, 0)</f>
        <v>183.06327602719603</v>
      </c>
    </row>
    <row r="346" spans="1:5" ht="15">
      <c r="A346" s="13">
        <v>51682</v>
      </c>
      <c r="B346" s="4">
        <f>28.565 * CHOOSE(CONTROL!$C$9, $C$13, 100%, $E$13) + CHOOSE(CONTROL!$C$28, 0.0226, 0)</f>
        <v>28.587600000000002</v>
      </c>
      <c r="C346" s="4">
        <f>28.2017 * CHOOSE(CONTROL!$C$9, $C$13, 100%, $E$13) + CHOOSE(CONTROL!$C$28, 0.0226, 0)</f>
        <v>28.224299999999999</v>
      </c>
      <c r="D346" s="4">
        <f>38.7944 * CHOOSE(CONTROL!$C$9, $C$13, 100%, $E$13) + CHOOSE(CONTROL!$C$28, 0.0021, 0)</f>
        <v>38.796500000000002</v>
      </c>
      <c r="E346" s="4">
        <f>183.64040652913 * CHOOSE(CONTROL!$C$9, $C$13, 100%, $E$13) + CHOOSE(CONTROL!$C$28, 0.0021, 0)</f>
        <v>183.64250652913</v>
      </c>
    </row>
    <row r="347" spans="1:5" ht="15">
      <c r="A347" s="13">
        <v>51713</v>
      </c>
      <c r="B347" s="4">
        <f>28.5562 * CHOOSE(CONTROL!$C$9, $C$13, 100%, $E$13) + CHOOSE(CONTROL!$C$28, 0.0226, 0)</f>
        <v>28.578800000000001</v>
      </c>
      <c r="C347" s="4">
        <f>28.1929 * CHOOSE(CONTROL!$C$9, $C$13, 100%, $E$13) + CHOOSE(CONTROL!$C$28, 0.0226, 0)</f>
        <v>28.215500000000002</v>
      </c>
      <c r="D347" s="4">
        <f>39.404 * CHOOSE(CONTROL!$C$9, $C$13, 100%, $E$13) + CHOOSE(CONTROL!$C$28, 0.0021, 0)</f>
        <v>39.406100000000002</v>
      </c>
      <c r="E347" s="4">
        <f>183.581996730615 * CHOOSE(CONTROL!$C$9, $C$13, 100%, $E$13) + CHOOSE(CONTROL!$C$28, 0.0021, 0)</f>
        <v>183.58409673061502</v>
      </c>
    </row>
    <row r="348" spans="1:5" ht="15">
      <c r="A348" s="13">
        <v>51744</v>
      </c>
      <c r="B348" s="4">
        <f>29.2213 * CHOOSE(CONTROL!$C$9, $C$13, 100%, $E$13) + CHOOSE(CONTROL!$C$28, 0.0226, 0)</f>
        <v>29.2439</v>
      </c>
      <c r="C348" s="4">
        <f>28.8581 * CHOOSE(CONTROL!$C$9, $C$13, 100%, $E$13) + CHOOSE(CONTROL!$C$28, 0.0226, 0)</f>
        <v>28.880700000000001</v>
      </c>
      <c r="D348" s="4">
        <f>39.0014 * CHOOSE(CONTROL!$C$9, $C$13, 100%, $E$13) + CHOOSE(CONTROL!$C$28, 0.0021, 0)</f>
        <v>39.003499999999995</v>
      </c>
      <c r="E348" s="4">
        <f>187.97733406882 * CHOOSE(CONTROL!$C$9, $C$13, 100%, $E$13) + CHOOSE(CONTROL!$C$28, 0.0021, 0)</f>
        <v>187.97943406882001</v>
      </c>
    </row>
    <row r="349" spans="1:5" ht="15">
      <c r="A349" s="13">
        <v>51774</v>
      </c>
      <c r="B349" s="4">
        <f>28.0877 * CHOOSE(CONTROL!$C$9, $C$13, 100%, $E$13) + CHOOSE(CONTROL!$C$28, 0.0226, 0)</f>
        <v>28.110300000000002</v>
      </c>
      <c r="C349" s="4">
        <f>27.7244 * CHOOSE(CONTROL!$C$9, $C$13, 100%, $E$13) + CHOOSE(CONTROL!$C$28, 0.0226, 0)</f>
        <v>27.747</v>
      </c>
      <c r="D349" s="4">
        <f>38.8112 * CHOOSE(CONTROL!$C$9, $C$13, 100%, $E$13) + CHOOSE(CONTROL!$C$28, 0.0021, 0)</f>
        <v>38.813299999999998</v>
      </c>
      <c r="E349" s="4">
        <f>180.486277409354 * CHOOSE(CONTROL!$C$9, $C$13, 100%, $E$13) + CHOOSE(CONTROL!$C$28, 0.0021, 0)</f>
        <v>180.488377409354</v>
      </c>
    </row>
    <row r="350" spans="1:5" ht="15">
      <c r="A350" s="13">
        <v>51805</v>
      </c>
      <c r="B350" s="4">
        <f>27.1801 * CHOOSE(CONTROL!$C$9, $C$13, 100%, $E$13) + CHOOSE(CONTROL!$C$28, 0.0226, 0)</f>
        <v>27.2027</v>
      </c>
      <c r="C350" s="4">
        <f>26.8169 * CHOOSE(CONTROL!$C$9, $C$13, 100%, $E$13) + CHOOSE(CONTROL!$C$28, 0.0226, 0)</f>
        <v>26.839500000000001</v>
      </c>
      <c r="D350" s="4">
        <f>38.302 * CHOOSE(CONTROL!$C$9, $C$13, 100%, $E$13) + CHOOSE(CONTROL!$C$28, 0.0021, 0)</f>
        <v>38.304099999999998</v>
      </c>
      <c r="E350" s="4">
        <f>174.489538095214 * CHOOSE(CONTROL!$C$9, $C$13, 100%, $E$13) + CHOOSE(CONTROL!$C$28, 0.0021, 0)</f>
        <v>174.491638095214</v>
      </c>
    </row>
    <row r="351" spans="1:5" ht="15">
      <c r="A351" s="13">
        <v>51835</v>
      </c>
      <c r="B351" s="4">
        <f>26.5956 * CHOOSE(CONTROL!$C$9, $C$13, 100%, $E$13) + CHOOSE(CONTROL!$C$28, 0.0226, 0)</f>
        <v>26.618200000000002</v>
      </c>
      <c r="C351" s="4">
        <f>26.2323 * CHOOSE(CONTROL!$C$9, $C$13, 100%, $E$13) + CHOOSE(CONTROL!$C$28, 0.0226, 0)</f>
        <v>26.254899999999999</v>
      </c>
      <c r="D351" s="4">
        <f>38.1269 * CHOOSE(CONTROL!$C$9, $C$13, 100%, $E$13) + CHOOSE(CONTROL!$C$28, 0.0021, 0)</f>
        <v>38.128999999999998</v>
      </c>
      <c r="E351" s="4">
        <f>170.627190168452 * CHOOSE(CONTROL!$C$9, $C$13, 100%, $E$13) + CHOOSE(CONTROL!$C$28, 0.0021, 0)</f>
        <v>170.629290168452</v>
      </c>
    </row>
    <row r="352" spans="1:5" ht="15">
      <c r="A352" s="13">
        <v>51866</v>
      </c>
      <c r="B352" s="4">
        <f>26.1912 * CHOOSE(CONTROL!$C$9, $C$13, 100%, $E$13) + CHOOSE(CONTROL!$C$28, 0.0226, 0)</f>
        <v>26.213799999999999</v>
      </c>
      <c r="C352" s="4">
        <f>25.8279 * CHOOSE(CONTROL!$C$9, $C$13, 100%, $E$13) + CHOOSE(CONTROL!$C$28, 0.0226, 0)</f>
        <v>25.8505</v>
      </c>
      <c r="D352" s="4">
        <f>36.8379 * CHOOSE(CONTROL!$C$9, $C$13, 100%, $E$13) + CHOOSE(CONTROL!$C$28, 0.0021, 0)</f>
        <v>36.839999999999996</v>
      </c>
      <c r="E352" s="4">
        <f>167.954941886421 * CHOOSE(CONTROL!$C$9, $C$13, 100%, $E$13) + CHOOSE(CONTROL!$C$28, 0.0021, 0)</f>
        <v>167.95704188642102</v>
      </c>
    </row>
    <row r="353" spans="1:5" ht="15">
      <c r="A353" s="13">
        <v>51897</v>
      </c>
      <c r="B353" s="4">
        <f>25.0848 * CHOOSE(CONTROL!$C$9, $C$13, 100%, $E$13) + CHOOSE(CONTROL!$C$28, 0.0226, 0)</f>
        <v>25.107400000000002</v>
      </c>
      <c r="C353" s="4">
        <f>24.7215 * CHOOSE(CONTROL!$C$9, $C$13, 100%, $E$13) + CHOOSE(CONTROL!$C$28, 0.0226, 0)</f>
        <v>24.7441</v>
      </c>
      <c r="D353" s="4">
        <f>35.418 * CHOOSE(CONTROL!$C$9, $C$13, 100%, $E$13) + CHOOSE(CONTROL!$C$28, 0.0021, 0)</f>
        <v>35.420099999999998</v>
      </c>
      <c r="E353" s="4">
        <f>160.958936087041 * CHOOSE(CONTROL!$C$9, $C$13, 100%, $E$13) + CHOOSE(CONTROL!$C$28, 0.0021, 0)</f>
        <v>160.96103608704101</v>
      </c>
    </row>
    <row r="354" spans="1:5" ht="15">
      <c r="A354" s="13">
        <v>51925</v>
      </c>
      <c r="B354" s="4">
        <f>25.662 * CHOOSE(CONTROL!$C$9, $C$13, 100%, $E$13) + CHOOSE(CONTROL!$C$28, 0.0226, 0)</f>
        <v>25.6846</v>
      </c>
      <c r="C354" s="4">
        <f>25.2987 * CHOOSE(CONTROL!$C$9, $C$13, 100%, $E$13) + CHOOSE(CONTROL!$C$28, 0.0226, 0)</f>
        <v>25.321300000000001</v>
      </c>
      <c r="D354" s="4">
        <f>36.6027 * CHOOSE(CONTROL!$C$9, $C$13, 100%, $E$13) + CHOOSE(CONTROL!$C$28, 0.0021, 0)</f>
        <v>36.604799999999997</v>
      </c>
      <c r="E354" s="4">
        <f>164.780735554338 * CHOOSE(CONTROL!$C$9, $C$13, 100%, $E$13) + CHOOSE(CONTROL!$C$28, 0.0021, 0)</f>
        <v>164.78283555433802</v>
      </c>
    </row>
    <row r="355" spans="1:5" ht="15">
      <c r="A355" s="13">
        <v>51956</v>
      </c>
      <c r="B355" s="4">
        <f>27.1779 * CHOOSE(CONTROL!$C$9, $C$13, 100%, $E$13) + CHOOSE(CONTROL!$C$28, 0.0226, 0)</f>
        <v>27.200500000000002</v>
      </c>
      <c r="C355" s="4">
        <f>26.8146 * CHOOSE(CONTROL!$C$9, $C$13, 100%, $E$13) + CHOOSE(CONTROL!$C$28, 0.0226, 0)</f>
        <v>26.837199999999999</v>
      </c>
      <c r="D355" s="4">
        <f>38.4572 * CHOOSE(CONTROL!$C$9, $C$13, 100%, $E$13) + CHOOSE(CONTROL!$C$28, 0.0021, 0)</f>
        <v>38.459299999999999</v>
      </c>
      <c r="E355" s="4">
        <f>174.816984058218 * CHOOSE(CONTROL!$C$9, $C$13, 100%, $E$13) + CHOOSE(CONTROL!$C$28, 0.0021, 0)</f>
        <v>174.81908405821801</v>
      </c>
    </row>
    <row r="356" spans="1:5" ht="15">
      <c r="A356" s="13">
        <v>51986</v>
      </c>
      <c r="B356" s="4">
        <f>28.2549 * CHOOSE(CONTROL!$C$9, $C$13, 100%, $E$13) + CHOOSE(CONTROL!$C$28, 0.0226, 0)</f>
        <v>28.2775</v>
      </c>
      <c r="C356" s="4">
        <f>27.8917 * CHOOSE(CONTROL!$C$9, $C$13, 100%, $E$13) + CHOOSE(CONTROL!$C$28, 0.0226, 0)</f>
        <v>27.914300000000001</v>
      </c>
      <c r="D356" s="4">
        <f>39.5255 * CHOOSE(CONTROL!$C$9, $C$13, 100%, $E$13) + CHOOSE(CONTROL!$C$28, 0.0021, 0)</f>
        <v>39.5276</v>
      </c>
      <c r="E356" s="4">
        <f>181.947872370823 * CHOOSE(CONTROL!$C$9, $C$13, 100%, $E$13) + CHOOSE(CONTROL!$C$28, 0.0021, 0)</f>
        <v>181.94997237082302</v>
      </c>
    </row>
    <row r="357" spans="1:5" ht="15">
      <c r="A357" s="13">
        <v>52017</v>
      </c>
      <c r="B357" s="4">
        <f>28.913 * CHOOSE(CONTROL!$C$9, $C$13, 100%, $E$13) + CHOOSE(CONTROL!$C$28, 0.0226, 0)</f>
        <v>28.935600000000001</v>
      </c>
      <c r="C357" s="4">
        <f>28.5497 * CHOOSE(CONTROL!$C$9, $C$13, 100%, $E$13) + CHOOSE(CONTROL!$C$28, 0.0226, 0)</f>
        <v>28.572300000000002</v>
      </c>
      <c r="D357" s="4">
        <f>39.1033 * CHOOSE(CONTROL!$C$9, $C$13, 100%, $E$13) + CHOOSE(CONTROL!$C$28, 0.0021, 0)</f>
        <v>39.105399999999996</v>
      </c>
      <c r="E357" s="4">
        <f>186.304674226283 * CHOOSE(CONTROL!$C$9, $C$13, 100%, $E$13) + CHOOSE(CONTROL!$C$28, 0.0021, 0)</f>
        <v>186.30677422628301</v>
      </c>
    </row>
    <row r="358" spans="1:5" ht="15">
      <c r="A358" s="13">
        <v>52047</v>
      </c>
      <c r="B358" s="4">
        <f>29.002 * CHOOSE(CONTROL!$C$9, $C$13, 100%, $E$13) + CHOOSE(CONTROL!$C$28, 0.0226, 0)</f>
        <v>29.0246</v>
      </c>
      <c r="C358" s="4">
        <f>28.6388 * CHOOSE(CONTROL!$C$9, $C$13, 100%, $E$13) + CHOOSE(CONTROL!$C$28, 0.0226, 0)</f>
        <v>28.6614</v>
      </c>
      <c r="D358" s="4">
        <f>39.4471 * CHOOSE(CONTROL!$C$9, $C$13, 100%, $E$13) + CHOOSE(CONTROL!$C$28, 0.0021, 0)</f>
        <v>39.449199999999998</v>
      </c>
      <c r="E358" s="4">
        <f>186.894167598426 * CHOOSE(CONTROL!$C$9, $C$13, 100%, $E$13) + CHOOSE(CONTROL!$C$28, 0.0021, 0)</f>
        <v>186.89626759842602</v>
      </c>
    </row>
    <row r="359" spans="1:5" ht="15">
      <c r="A359" s="13">
        <v>52078</v>
      </c>
      <c r="B359" s="4">
        <f>28.9931 * CHOOSE(CONTROL!$C$9, $C$13, 100%, $E$13) + CHOOSE(CONTROL!$C$28, 0.0226, 0)</f>
        <v>29.015699999999999</v>
      </c>
      <c r="C359" s="4">
        <f>28.6298 * CHOOSE(CONTROL!$C$9, $C$13, 100%, $E$13) + CHOOSE(CONTROL!$C$28, 0.0226, 0)</f>
        <v>28.6524</v>
      </c>
      <c r="D359" s="4">
        <f>40.0674 * CHOOSE(CONTROL!$C$9, $C$13, 100%, $E$13) + CHOOSE(CONTROL!$C$28, 0.0021, 0)</f>
        <v>40.069499999999998</v>
      </c>
      <c r="E359" s="4">
        <f>186.83472288863 * CHOOSE(CONTROL!$C$9, $C$13, 100%, $E$13) + CHOOSE(CONTROL!$C$28, 0.0021, 0)</f>
        <v>186.83682288863002</v>
      </c>
    </row>
    <row r="360" spans="1:5" ht="15">
      <c r="A360" s="13">
        <v>52109</v>
      </c>
      <c r="B360" s="4">
        <f>29.6687 * CHOOSE(CONTROL!$C$9, $C$13, 100%, $E$13) + CHOOSE(CONTROL!$C$28, 0.0226, 0)</f>
        <v>29.691300000000002</v>
      </c>
      <c r="C360" s="4">
        <f>29.3054 * CHOOSE(CONTROL!$C$9, $C$13, 100%, $E$13) + CHOOSE(CONTROL!$C$28, 0.0226, 0)</f>
        <v>29.327999999999999</v>
      </c>
      <c r="D360" s="4">
        <f>39.6578 * CHOOSE(CONTROL!$C$9, $C$13, 100%, $E$13) + CHOOSE(CONTROL!$C$28, 0.0021, 0)</f>
        <v>39.6599</v>
      </c>
      <c r="E360" s="4">
        <f>191.307937300775 * CHOOSE(CONTROL!$C$9, $C$13, 100%, $E$13) + CHOOSE(CONTROL!$C$28, 0.0021, 0)</f>
        <v>191.31003730077501</v>
      </c>
    </row>
    <row r="361" spans="1:5" ht="15">
      <c r="A361" s="13">
        <v>52139</v>
      </c>
      <c r="B361" s="4">
        <f>28.5172 * CHOOSE(CONTROL!$C$9, $C$13, 100%, $E$13) + CHOOSE(CONTROL!$C$28, 0.0226, 0)</f>
        <v>28.5398</v>
      </c>
      <c r="C361" s="4">
        <f>28.1539 * CHOOSE(CONTROL!$C$9, $C$13, 100%, $E$13) + CHOOSE(CONTROL!$C$28, 0.0226, 0)</f>
        <v>28.176500000000001</v>
      </c>
      <c r="D361" s="4">
        <f>39.4642 * CHOOSE(CONTROL!$C$9, $C$13, 100%, $E$13) + CHOOSE(CONTROL!$C$28, 0.0021, 0)</f>
        <v>39.466299999999997</v>
      </c>
      <c r="E361" s="4">
        <f>183.684153269446 * CHOOSE(CONTROL!$C$9, $C$13, 100%, $E$13) + CHOOSE(CONTROL!$C$28, 0.0021, 0)</f>
        <v>183.68625326944601</v>
      </c>
    </row>
    <row r="362" spans="1:5" ht="15">
      <c r="A362" s="13">
        <v>52170</v>
      </c>
      <c r="B362" s="4">
        <f>27.5954 * CHOOSE(CONTROL!$C$9, $C$13, 100%, $E$13) + CHOOSE(CONTROL!$C$28, 0.0226, 0)</f>
        <v>27.618000000000002</v>
      </c>
      <c r="C362" s="4">
        <f>27.2321 * CHOOSE(CONTROL!$C$9, $C$13, 100%, $E$13) + CHOOSE(CONTROL!$C$28, 0.0226, 0)</f>
        <v>27.2547</v>
      </c>
      <c r="D362" s="4">
        <f>38.946 * CHOOSE(CONTROL!$C$9, $C$13, 100%, $E$13) + CHOOSE(CONTROL!$C$28, 0.0021, 0)</f>
        <v>38.948099999999997</v>
      </c>
      <c r="E362" s="4">
        <f>177.58116306373 * CHOOSE(CONTROL!$C$9, $C$13, 100%, $E$13) + CHOOSE(CONTROL!$C$28, 0.0021, 0)</f>
        <v>177.58326306373002</v>
      </c>
    </row>
    <row r="363" spans="1:5" ht="15">
      <c r="A363" s="13">
        <v>52200</v>
      </c>
      <c r="B363" s="4">
        <f>27.0017 * CHOOSE(CONTROL!$C$9, $C$13, 100%, $E$13) + CHOOSE(CONTROL!$C$28, 0.0226, 0)</f>
        <v>27.0243</v>
      </c>
      <c r="C363" s="4">
        <f>26.6384 * CHOOSE(CONTROL!$C$9, $C$13, 100%, $E$13) + CHOOSE(CONTROL!$C$28, 0.0226, 0)</f>
        <v>26.661000000000001</v>
      </c>
      <c r="D363" s="4">
        <f>38.7678 * CHOOSE(CONTROL!$C$9, $C$13, 100%, $E$13) + CHOOSE(CONTROL!$C$28, 0.0021, 0)</f>
        <v>38.7699</v>
      </c>
      <c r="E363" s="4">
        <f>173.650381628473 * CHOOSE(CONTROL!$C$9, $C$13, 100%, $E$13) + CHOOSE(CONTROL!$C$28, 0.0021, 0)</f>
        <v>173.65248162847303</v>
      </c>
    </row>
    <row r="364" spans="1:5" ht="15">
      <c r="A364" s="13">
        <v>52231</v>
      </c>
      <c r="B364" s="4">
        <f>26.5909 * CHOOSE(CONTROL!$C$9, $C$13, 100%, $E$13) + CHOOSE(CONTROL!$C$28, 0.0226, 0)</f>
        <v>26.613500000000002</v>
      </c>
      <c r="C364" s="4">
        <f>26.2276 * CHOOSE(CONTROL!$C$9, $C$13, 100%, $E$13) + CHOOSE(CONTROL!$C$28, 0.0226, 0)</f>
        <v>26.2502</v>
      </c>
      <c r="D364" s="4">
        <f>37.456 * CHOOSE(CONTROL!$C$9, $C$13, 100%, $E$13) + CHOOSE(CONTROL!$C$28, 0.0021, 0)</f>
        <v>37.458100000000002</v>
      </c>
      <c r="E364" s="4">
        <f>170.930786155309 * CHOOSE(CONTROL!$C$9, $C$13, 100%, $E$13) + CHOOSE(CONTROL!$C$28, 0.0021, 0)</f>
        <v>170.93288615530901</v>
      </c>
    </row>
    <row r="365" spans="1:5" ht="15">
      <c r="A365" s="13">
        <v>52262</v>
      </c>
      <c r="B365" s="4">
        <f>25.4671 * CHOOSE(CONTROL!$C$9, $C$13, 100%, $E$13) + CHOOSE(CONTROL!$C$28, 0.0226, 0)</f>
        <v>25.489699999999999</v>
      </c>
      <c r="C365" s="4">
        <f>25.1038 * CHOOSE(CONTROL!$C$9, $C$13, 100%, $E$13) + CHOOSE(CONTROL!$C$28, 0.0226, 0)</f>
        <v>25.1264</v>
      </c>
      <c r="D365" s="4">
        <f>36.011 * CHOOSE(CONTROL!$C$9, $C$13, 100%, $E$13) + CHOOSE(CONTROL!$C$28, 0.0021, 0)</f>
        <v>36.013100000000001</v>
      </c>
      <c r="E365" s="4">
        <f>163.810824350054 * CHOOSE(CONTROL!$C$9, $C$13, 100%, $E$13) + CHOOSE(CONTROL!$C$28, 0.0021, 0)</f>
        <v>163.812924350054</v>
      </c>
    </row>
    <row r="366" spans="1:5" ht="15">
      <c r="A366" s="13">
        <v>52290</v>
      </c>
      <c r="B366" s="4">
        <f>26.0534 * CHOOSE(CONTROL!$C$9, $C$13, 100%, $E$13) + CHOOSE(CONTROL!$C$28, 0.0226, 0)</f>
        <v>26.076000000000001</v>
      </c>
      <c r="C366" s="4">
        <f>25.6901 * CHOOSE(CONTROL!$C$9, $C$13, 100%, $E$13) + CHOOSE(CONTROL!$C$28, 0.0226, 0)</f>
        <v>25.712700000000002</v>
      </c>
      <c r="D366" s="4">
        <f>37.2166 * CHOOSE(CONTROL!$C$9, $C$13, 100%, $E$13) + CHOOSE(CONTROL!$C$28, 0.0021, 0)</f>
        <v>37.218699999999998</v>
      </c>
      <c r="E366" s="4">
        <f>167.700338883749 * CHOOSE(CONTROL!$C$9, $C$13, 100%, $E$13) + CHOOSE(CONTROL!$C$28, 0.0021, 0)</f>
        <v>167.70243888374901</v>
      </c>
    </row>
    <row r="367" spans="1:5" ht="15">
      <c r="A367" s="13">
        <v>52321</v>
      </c>
      <c r="B367" s="4">
        <f>27.5931 * CHOOSE(CONTROL!$C$9, $C$13, 100%, $E$13) + CHOOSE(CONTROL!$C$28, 0.0226, 0)</f>
        <v>27.6157</v>
      </c>
      <c r="C367" s="4">
        <f>27.2298 * CHOOSE(CONTROL!$C$9, $C$13, 100%, $E$13) + CHOOSE(CONTROL!$C$28, 0.0226, 0)</f>
        <v>27.252400000000002</v>
      </c>
      <c r="D367" s="4">
        <f>39.1039 * CHOOSE(CONTROL!$C$9, $C$13, 100%, $E$13) + CHOOSE(CONTROL!$C$28, 0.0021, 0)</f>
        <v>39.106000000000002</v>
      </c>
      <c r="E367" s="4">
        <f>177.914410750586 * CHOOSE(CONTROL!$C$9, $C$13, 100%, $E$13) + CHOOSE(CONTROL!$C$28, 0.0021, 0)</f>
        <v>177.91651075058601</v>
      </c>
    </row>
    <row r="368" spans="1:5" ht="15">
      <c r="A368" s="13">
        <v>52351</v>
      </c>
      <c r="B368" s="4">
        <f>28.6871 * CHOOSE(CONTROL!$C$9, $C$13, 100%, $E$13) + CHOOSE(CONTROL!$C$28, 0.0226, 0)</f>
        <v>28.709700000000002</v>
      </c>
      <c r="C368" s="4">
        <f>28.3238 * CHOOSE(CONTROL!$C$9, $C$13, 100%, $E$13) + CHOOSE(CONTROL!$C$28, 0.0226, 0)</f>
        <v>28.346399999999999</v>
      </c>
      <c r="D368" s="4">
        <f>40.1911 * CHOOSE(CONTROL!$C$9, $C$13, 100%, $E$13) + CHOOSE(CONTROL!$C$28, 0.0021, 0)</f>
        <v>40.193199999999997</v>
      </c>
      <c r="E368" s="4">
        <f>185.171644932379 * CHOOSE(CONTROL!$C$9, $C$13, 100%, $E$13) + CHOOSE(CONTROL!$C$28, 0.0021, 0)</f>
        <v>185.17374493237901</v>
      </c>
    </row>
    <row r="369" spans="1:5" ht="15">
      <c r="A369" s="13">
        <v>52382</v>
      </c>
      <c r="B369" s="4">
        <f>29.3555 * CHOOSE(CONTROL!$C$9, $C$13, 100%, $E$13) + CHOOSE(CONTROL!$C$28, 0.0226, 0)</f>
        <v>29.3781</v>
      </c>
      <c r="C369" s="4">
        <f>28.9922 * CHOOSE(CONTROL!$C$9, $C$13, 100%, $E$13) + CHOOSE(CONTROL!$C$28, 0.0226, 0)</f>
        <v>29.014800000000001</v>
      </c>
      <c r="D369" s="4">
        <f>39.7615 * CHOOSE(CONTROL!$C$9, $C$13, 100%, $E$13) + CHOOSE(CONTROL!$C$28, 0.0021, 0)</f>
        <v>39.763599999999997</v>
      </c>
      <c r="E369" s="4">
        <f>189.605641085825 * CHOOSE(CONTROL!$C$9, $C$13, 100%, $E$13) + CHOOSE(CONTROL!$C$28, 0.0021, 0)</f>
        <v>189.60774108582501</v>
      </c>
    </row>
    <row r="370" spans="1:5" ht="15">
      <c r="A370" s="13">
        <v>52412</v>
      </c>
      <c r="B370" s="4">
        <f>29.4459 * CHOOSE(CONTROL!$C$9, $C$13, 100%, $E$13) + CHOOSE(CONTROL!$C$28, 0.0226, 0)</f>
        <v>29.468500000000002</v>
      </c>
      <c r="C370" s="4">
        <f>29.0826 * CHOOSE(CONTROL!$C$9, $C$13, 100%, $E$13) + CHOOSE(CONTROL!$C$28, 0.0226, 0)</f>
        <v>29.1052</v>
      </c>
      <c r="D370" s="4">
        <f>40.1114 * CHOOSE(CONTROL!$C$9, $C$13, 100%, $E$13) + CHOOSE(CONTROL!$C$28, 0.0021, 0)</f>
        <v>40.113500000000002</v>
      </c>
      <c r="E370" s="4">
        <f>190.205579166849 * CHOOSE(CONTROL!$C$9, $C$13, 100%, $E$13) + CHOOSE(CONTROL!$C$28, 0.0021, 0)</f>
        <v>190.207679166849</v>
      </c>
    </row>
    <row r="371" spans="1:5" ht="15">
      <c r="A371" s="13">
        <v>52443</v>
      </c>
      <c r="B371" s="4">
        <f>29.4368 * CHOOSE(CONTROL!$C$9, $C$13, 100%, $E$13) + CHOOSE(CONTROL!$C$28, 0.0226, 0)</f>
        <v>29.459400000000002</v>
      </c>
      <c r="C371" s="4">
        <f>29.0735 * CHOOSE(CONTROL!$C$9, $C$13, 100%, $E$13) + CHOOSE(CONTROL!$C$28, 0.0226, 0)</f>
        <v>29.0961</v>
      </c>
      <c r="D371" s="4">
        <f>40.7427 * CHOOSE(CONTROL!$C$9, $C$13, 100%, $E$13) + CHOOSE(CONTROL!$C$28, 0.0021, 0)</f>
        <v>40.744799999999998</v>
      </c>
      <c r="E371" s="4">
        <f>190.145081209099 * CHOOSE(CONTROL!$C$9, $C$13, 100%, $E$13) + CHOOSE(CONTROL!$C$28, 0.0021, 0)</f>
        <v>190.14718120909902</v>
      </c>
    </row>
    <row r="372" spans="1:5" ht="15">
      <c r="A372" s="13">
        <v>52474</v>
      </c>
      <c r="B372" s="4">
        <f>30.1231 * CHOOSE(CONTROL!$C$9, $C$13, 100%, $E$13) + CHOOSE(CONTROL!$C$28, 0.0226, 0)</f>
        <v>30.145700000000001</v>
      </c>
      <c r="C372" s="4">
        <f>29.7598 * CHOOSE(CONTROL!$C$9, $C$13, 100%, $E$13) + CHOOSE(CONTROL!$C$28, 0.0226, 0)</f>
        <v>29.782399999999999</v>
      </c>
      <c r="D372" s="4">
        <f>40.3257 * CHOOSE(CONTROL!$C$9, $C$13, 100%, $E$13) + CHOOSE(CONTROL!$C$28, 0.0021, 0)</f>
        <v>40.327799999999996</v>
      </c>
      <c r="E372" s="4">
        <f>194.697552529806 * CHOOSE(CONTROL!$C$9, $C$13, 100%, $E$13) + CHOOSE(CONTROL!$C$28, 0.0021, 0)</f>
        <v>194.699652529806</v>
      </c>
    </row>
    <row r="373" spans="1:5" ht="15">
      <c r="A373" s="13">
        <v>52504</v>
      </c>
      <c r="B373" s="4">
        <f>28.9535 * CHOOSE(CONTROL!$C$9, $C$13, 100%, $E$13) + CHOOSE(CONTROL!$C$28, 0.0226, 0)</f>
        <v>28.976099999999999</v>
      </c>
      <c r="C373" s="4">
        <f>28.5902 * CHOOSE(CONTROL!$C$9, $C$13, 100%, $E$13) + CHOOSE(CONTROL!$C$28, 0.0226, 0)</f>
        <v>28.6128</v>
      </c>
      <c r="D373" s="4">
        <f>40.1288 * CHOOSE(CONTROL!$C$9, $C$13, 100%, $E$13) + CHOOSE(CONTROL!$C$28, 0.0021, 0)</f>
        <v>40.130899999999997</v>
      </c>
      <c r="E373" s="4">
        <f>186.938689448334 * CHOOSE(CONTROL!$C$9, $C$13, 100%, $E$13) + CHOOSE(CONTROL!$C$28, 0.0021, 0)</f>
        <v>186.94078944833402</v>
      </c>
    </row>
    <row r="374" spans="1:5" ht="15">
      <c r="A374" s="13">
        <v>52535</v>
      </c>
      <c r="B374" s="4">
        <f>28.0172 * CHOOSE(CONTROL!$C$9, $C$13, 100%, $E$13) + CHOOSE(CONTROL!$C$28, 0.0226, 0)</f>
        <v>28.0398</v>
      </c>
      <c r="C374" s="4">
        <f>27.6539 * CHOOSE(CONTROL!$C$9, $C$13, 100%, $E$13) + CHOOSE(CONTROL!$C$28, 0.0226, 0)</f>
        <v>27.676500000000001</v>
      </c>
      <c r="D374" s="4">
        <f>39.6014 * CHOOSE(CONTROL!$C$9, $C$13, 100%, $E$13) + CHOOSE(CONTROL!$C$28, 0.0021, 0)</f>
        <v>39.603499999999997</v>
      </c>
      <c r="E374" s="4">
        <f>180.727565785973 * CHOOSE(CONTROL!$C$9, $C$13, 100%, $E$13) + CHOOSE(CONTROL!$C$28, 0.0021, 0)</f>
        <v>180.72966578597303</v>
      </c>
    </row>
    <row r="375" spans="1:5" ht="15">
      <c r="A375" s="13">
        <v>52565</v>
      </c>
      <c r="B375" s="4">
        <f>27.4141 * CHOOSE(CONTROL!$C$9, $C$13, 100%, $E$13) + CHOOSE(CONTROL!$C$28, 0.0226, 0)</f>
        <v>27.436700000000002</v>
      </c>
      <c r="C375" s="4">
        <f>27.0508 * CHOOSE(CONTROL!$C$9, $C$13, 100%, $E$13) + CHOOSE(CONTROL!$C$28, 0.0226, 0)</f>
        <v>27.073399999999999</v>
      </c>
      <c r="D375" s="4">
        <f>39.42 * CHOOSE(CONTROL!$C$9, $C$13, 100%, $E$13) + CHOOSE(CONTROL!$C$28, 0.0021, 0)</f>
        <v>39.4221</v>
      </c>
      <c r="E375" s="4">
        <f>176.727138329737 * CHOOSE(CONTROL!$C$9, $C$13, 100%, $E$13) + CHOOSE(CONTROL!$C$28, 0.0021, 0)</f>
        <v>176.729238329737</v>
      </c>
    </row>
    <row r="376" spans="1:5" ht="15">
      <c r="A376" s="13">
        <v>52596</v>
      </c>
      <c r="B376" s="4">
        <f>26.9969 * CHOOSE(CONTROL!$C$9, $C$13, 100%, $E$13) + CHOOSE(CONTROL!$C$28, 0.0226, 0)</f>
        <v>27.019500000000001</v>
      </c>
      <c r="C376" s="4">
        <f>26.6336 * CHOOSE(CONTROL!$C$9, $C$13, 100%, $E$13) + CHOOSE(CONTROL!$C$28, 0.0226, 0)</f>
        <v>26.656200000000002</v>
      </c>
      <c r="D376" s="4">
        <f>38.0851 * CHOOSE(CONTROL!$C$9, $C$13, 100%, $E$13) + CHOOSE(CONTROL!$C$28, 0.0021, 0)</f>
        <v>38.087199999999996</v>
      </c>
      <c r="E376" s="4">
        <f>173.959356762662 * CHOOSE(CONTROL!$C$9, $C$13, 100%, $E$13) + CHOOSE(CONTROL!$C$28, 0.0021, 0)</f>
        <v>173.96145676266201</v>
      </c>
    </row>
    <row r="377" spans="1:5" ht="15">
      <c r="A377" s="13">
        <v>52627</v>
      </c>
      <c r="B377" s="4">
        <f>25.8554 * CHOOSE(CONTROL!$C$9, $C$13, 100%, $E$13) + CHOOSE(CONTROL!$C$28, 0.0226, 0)</f>
        <v>25.878</v>
      </c>
      <c r="C377" s="4">
        <f>25.4921 * CHOOSE(CONTROL!$C$9, $C$13, 100%, $E$13) + CHOOSE(CONTROL!$C$28, 0.0226, 0)</f>
        <v>25.514700000000001</v>
      </c>
      <c r="D377" s="4">
        <f>36.6146 * CHOOSE(CONTROL!$C$9, $C$13, 100%, $E$13) + CHOOSE(CONTROL!$C$28, 0.0021, 0)</f>
        <v>36.616700000000002</v>
      </c>
      <c r="E377" s="4">
        <f>166.713242685286 * CHOOSE(CONTROL!$C$9, $C$13, 100%, $E$13) + CHOOSE(CONTROL!$C$28, 0.0021, 0)</f>
        <v>166.715342685286</v>
      </c>
    </row>
    <row r="378" spans="1:5" ht="15">
      <c r="A378" s="13">
        <v>52655</v>
      </c>
      <c r="B378" s="4">
        <f>26.4509 * CHOOSE(CONTROL!$C$9, $C$13, 100%, $E$13) + CHOOSE(CONTROL!$C$28, 0.0226, 0)</f>
        <v>26.473500000000001</v>
      </c>
      <c r="C378" s="4">
        <f>26.0876 * CHOOSE(CONTROL!$C$9, $C$13, 100%, $E$13) + CHOOSE(CONTROL!$C$28, 0.0226, 0)</f>
        <v>26.110199999999999</v>
      </c>
      <c r="D378" s="4">
        <f>37.8415 * CHOOSE(CONTROL!$C$9, $C$13, 100%, $E$13) + CHOOSE(CONTROL!$C$28, 0.0021, 0)</f>
        <v>37.843600000000002</v>
      </c>
      <c r="E378" s="4">
        <f>170.671672068427 * CHOOSE(CONTROL!$C$9, $C$13, 100%, $E$13) + CHOOSE(CONTROL!$C$28, 0.0021, 0)</f>
        <v>170.67377206842701</v>
      </c>
    </row>
    <row r="379" spans="1:5" ht="15">
      <c r="A379" s="13">
        <v>52687</v>
      </c>
      <c r="B379" s="4">
        <f>28.0148 * CHOOSE(CONTROL!$C$9, $C$13, 100%, $E$13) + CHOOSE(CONTROL!$C$28, 0.0226, 0)</f>
        <v>28.037400000000002</v>
      </c>
      <c r="C379" s="4">
        <f>27.6516 * CHOOSE(CONTROL!$C$9, $C$13, 100%, $E$13) + CHOOSE(CONTROL!$C$28, 0.0226, 0)</f>
        <v>27.674199999999999</v>
      </c>
      <c r="D379" s="4">
        <f>39.7621 * CHOOSE(CONTROL!$C$9, $C$13, 100%, $E$13) + CHOOSE(CONTROL!$C$28, 0.0021, 0)</f>
        <v>39.764199999999995</v>
      </c>
      <c r="E379" s="4">
        <f>181.066717992267 * CHOOSE(CONTROL!$C$9, $C$13, 100%, $E$13) + CHOOSE(CONTROL!$C$28, 0.0021, 0)</f>
        <v>181.06881799226701</v>
      </c>
    </row>
    <row r="380" spans="1:5" ht="15">
      <c r="A380" s="13">
        <v>52717</v>
      </c>
      <c r="B380" s="4">
        <f>29.126 * CHOOSE(CONTROL!$C$9, $C$13, 100%, $E$13) + CHOOSE(CONTROL!$C$28, 0.0226, 0)</f>
        <v>29.148600000000002</v>
      </c>
      <c r="C380" s="4">
        <f>28.7627 * CHOOSE(CONTROL!$C$9, $C$13, 100%, $E$13) + CHOOSE(CONTROL!$C$28, 0.0226, 0)</f>
        <v>28.785299999999999</v>
      </c>
      <c r="D380" s="4">
        <f>40.8685 * CHOOSE(CONTROL!$C$9, $C$13, 100%, $E$13) + CHOOSE(CONTROL!$C$28, 0.0021, 0)</f>
        <v>40.870599999999996</v>
      </c>
      <c r="E380" s="4">
        <f>188.452536653357 * CHOOSE(CONTROL!$C$9, $C$13, 100%, $E$13) + CHOOSE(CONTROL!$C$28, 0.0021, 0)</f>
        <v>188.454636653357</v>
      </c>
    </row>
    <row r="381" spans="1:5" ht="15">
      <c r="A381" s="13">
        <v>52748</v>
      </c>
      <c r="B381" s="4">
        <f>29.8049 * CHOOSE(CONTROL!$C$9, $C$13, 100%, $E$13) + CHOOSE(CONTROL!$C$28, 0.0226, 0)</f>
        <v>29.827500000000001</v>
      </c>
      <c r="C381" s="4">
        <f>29.4417 * CHOOSE(CONTROL!$C$9, $C$13, 100%, $E$13) + CHOOSE(CONTROL!$C$28, 0.0226, 0)</f>
        <v>29.464300000000001</v>
      </c>
      <c r="D381" s="4">
        <f>40.4313 * CHOOSE(CONTROL!$C$9, $C$13, 100%, $E$13) + CHOOSE(CONTROL!$C$28, 0.0021, 0)</f>
        <v>40.433399999999999</v>
      </c>
      <c r="E381" s="4">
        <f>192.965094841915 * CHOOSE(CONTROL!$C$9, $C$13, 100%, $E$13) + CHOOSE(CONTROL!$C$28, 0.0021, 0)</f>
        <v>192.96719484191502</v>
      </c>
    </row>
    <row r="382" spans="1:5" ht="15">
      <c r="A382" s="13">
        <v>52778</v>
      </c>
      <c r="B382" s="4">
        <f>29.8968 * CHOOSE(CONTROL!$C$9, $C$13, 100%, $E$13) + CHOOSE(CONTROL!$C$28, 0.0226, 0)</f>
        <v>29.9194</v>
      </c>
      <c r="C382" s="4">
        <f>29.5335 * CHOOSE(CONTROL!$C$9, $C$13, 100%, $E$13) + CHOOSE(CONTROL!$C$28, 0.0226, 0)</f>
        <v>29.556100000000001</v>
      </c>
      <c r="D382" s="4">
        <f>40.7873 * CHOOSE(CONTROL!$C$9, $C$13, 100%, $E$13) + CHOOSE(CONTROL!$C$28, 0.0021, 0)</f>
        <v>40.789400000000001</v>
      </c>
      <c r="E382" s="4">
        <f>193.575662692328 * CHOOSE(CONTROL!$C$9, $C$13, 100%, $E$13) + CHOOSE(CONTROL!$C$28, 0.0021, 0)</f>
        <v>193.57776269232801</v>
      </c>
    </row>
    <row r="383" spans="1:5" ht="15">
      <c r="A383" s="13">
        <v>52809</v>
      </c>
      <c r="B383" s="4">
        <f>29.8875 * CHOOSE(CONTROL!$C$9, $C$13, 100%, $E$13) + CHOOSE(CONTROL!$C$28, 0.0226, 0)</f>
        <v>29.9101</v>
      </c>
      <c r="C383" s="4">
        <f>29.5243 * CHOOSE(CONTROL!$C$9, $C$13, 100%, $E$13) + CHOOSE(CONTROL!$C$28, 0.0226, 0)</f>
        <v>29.546900000000001</v>
      </c>
      <c r="D383" s="4">
        <f>41.4298 * CHOOSE(CONTROL!$C$9, $C$13, 100%, $E$13) + CHOOSE(CONTROL!$C$28, 0.0021, 0)</f>
        <v>41.431899999999999</v>
      </c>
      <c r="E383" s="4">
        <f>193.51409282506 * CHOOSE(CONTROL!$C$9, $C$13, 100%, $E$13) + CHOOSE(CONTROL!$C$28, 0.0021, 0)</f>
        <v>193.51619282506002</v>
      </c>
    </row>
    <row r="384" spans="1:5" ht="15">
      <c r="A384" s="13">
        <v>52840</v>
      </c>
      <c r="B384" s="4">
        <f>30.5846 * CHOOSE(CONTROL!$C$9, $C$13, 100%, $E$13) + CHOOSE(CONTROL!$C$28, 0.0226, 0)</f>
        <v>30.607199999999999</v>
      </c>
      <c r="C384" s="4">
        <f>30.2213 * CHOOSE(CONTROL!$C$9, $C$13, 100%, $E$13) + CHOOSE(CONTROL!$C$28, 0.0226, 0)</f>
        <v>30.2439</v>
      </c>
      <c r="D384" s="4">
        <f>41.0055 * CHOOSE(CONTROL!$C$9, $C$13, 100%, $E$13) + CHOOSE(CONTROL!$C$28, 0.0021, 0)</f>
        <v>41.007599999999996</v>
      </c>
      <c r="E384" s="4">
        <f>198.147225337018 * CHOOSE(CONTROL!$C$9, $C$13, 100%, $E$13) + CHOOSE(CONTROL!$C$28, 0.0021, 0)</f>
        <v>198.14932533701801</v>
      </c>
    </row>
    <row r="385" spans="1:5" ht="15">
      <c r="A385" s="13">
        <v>52870</v>
      </c>
      <c r="B385" s="4">
        <f>29.3966 * CHOOSE(CONTROL!$C$9, $C$13, 100%, $E$13) + CHOOSE(CONTROL!$C$28, 0.0226, 0)</f>
        <v>29.4192</v>
      </c>
      <c r="C385" s="4">
        <f>29.0333 * CHOOSE(CONTROL!$C$9, $C$13, 100%, $E$13) + CHOOSE(CONTROL!$C$28, 0.0226, 0)</f>
        <v>29.055900000000001</v>
      </c>
      <c r="D385" s="4">
        <f>40.8051 * CHOOSE(CONTROL!$C$9, $C$13, 100%, $E$13) + CHOOSE(CONTROL!$C$28, 0.0021, 0)</f>
        <v>40.807200000000002</v>
      </c>
      <c r="E385" s="4">
        <f>190.250889859826 * CHOOSE(CONTROL!$C$9, $C$13, 100%, $E$13) + CHOOSE(CONTROL!$C$28, 0.0021, 0)</f>
        <v>190.25298985982602</v>
      </c>
    </row>
    <row r="386" spans="1:5" ht="15">
      <c r="A386" s="13">
        <v>52901</v>
      </c>
      <c r="B386" s="4">
        <f>28.4456 * CHOOSE(CONTROL!$C$9, $C$13, 100%, $E$13) + CHOOSE(CONTROL!$C$28, 0.0226, 0)</f>
        <v>28.4682</v>
      </c>
      <c r="C386" s="4">
        <f>28.0823 * CHOOSE(CONTROL!$C$9, $C$13, 100%, $E$13) + CHOOSE(CONTROL!$C$28, 0.0226, 0)</f>
        <v>28.104900000000001</v>
      </c>
      <c r="D386" s="4">
        <f>40.2683 * CHOOSE(CONTROL!$C$9, $C$13, 100%, $E$13) + CHOOSE(CONTROL!$C$28, 0.0021, 0)</f>
        <v>40.270400000000002</v>
      </c>
      <c r="E386" s="4">
        <f>183.929716820255 * CHOOSE(CONTROL!$C$9, $C$13, 100%, $E$13) + CHOOSE(CONTROL!$C$28, 0.0021, 0)</f>
        <v>183.93181682025502</v>
      </c>
    </row>
    <row r="387" spans="1:5" ht="15">
      <c r="A387" s="13">
        <v>52931</v>
      </c>
      <c r="B387" s="4">
        <f>27.833 * CHOOSE(CONTROL!$C$9, $C$13, 100%, $E$13) + CHOOSE(CONTROL!$C$28, 0.0226, 0)</f>
        <v>27.855599999999999</v>
      </c>
      <c r="C387" s="4">
        <f>27.4698 * CHOOSE(CONTROL!$C$9, $C$13, 100%, $E$13) + CHOOSE(CONTROL!$C$28, 0.0226, 0)</f>
        <v>27.4924</v>
      </c>
      <c r="D387" s="4">
        <f>40.0838 * CHOOSE(CONTROL!$C$9, $C$13, 100%, $E$13) + CHOOSE(CONTROL!$C$28, 0.0021, 0)</f>
        <v>40.085899999999995</v>
      </c>
      <c r="E387" s="4">
        <f>179.858409347122 * CHOOSE(CONTROL!$C$9, $C$13, 100%, $E$13) + CHOOSE(CONTROL!$C$28, 0.0021, 0)</f>
        <v>179.86050934712202</v>
      </c>
    </row>
    <row r="388" spans="1:5" ht="15">
      <c r="A388" s="13">
        <v>52962</v>
      </c>
      <c r="B388" s="4">
        <f>27.4093 * CHOOSE(CONTROL!$C$9, $C$13, 100%, $E$13) + CHOOSE(CONTROL!$C$28, 0.0226, 0)</f>
        <v>27.431900000000002</v>
      </c>
      <c r="C388" s="4">
        <f>27.046 * CHOOSE(CONTROL!$C$9, $C$13, 100%, $E$13) + CHOOSE(CONTROL!$C$28, 0.0226, 0)</f>
        <v>27.0686</v>
      </c>
      <c r="D388" s="4">
        <f>38.7253 * CHOOSE(CONTROL!$C$9, $C$13, 100%, $E$13) + CHOOSE(CONTROL!$C$28, 0.0021, 0)</f>
        <v>38.727399999999996</v>
      </c>
      <c r="E388" s="4">
        <f>177.041587919586 * CHOOSE(CONTROL!$C$9, $C$13, 100%, $E$13) + CHOOSE(CONTROL!$C$28, 0.0021, 0)</f>
        <v>177.04368791958601</v>
      </c>
    </row>
    <row r="389" spans="1:5" ht="15">
      <c r="A389" s="13">
        <v>52993</v>
      </c>
      <c r="B389" s="4">
        <f>26.2498 * CHOOSE(CONTROL!$C$9, $C$13, 100%, $E$13) + CHOOSE(CONTROL!$C$28, 0.0226, 0)</f>
        <v>26.272400000000001</v>
      </c>
      <c r="C389" s="4">
        <f>25.8865 * CHOOSE(CONTROL!$C$9, $C$13, 100%, $E$13) + CHOOSE(CONTROL!$C$28, 0.0226, 0)</f>
        <v>25.909100000000002</v>
      </c>
      <c r="D389" s="4">
        <f>37.2288 * CHOOSE(CONTROL!$C$9, $C$13, 100%, $E$13) + CHOOSE(CONTROL!$C$28, 0.0021, 0)</f>
        <v>37.230899999999998</v>
      </c>
      <c r="E389" s="4">
        <f>169.667086390155 * CHOOSE(CONTROL!$C$9, $C$13, 100%, $E$13) + CHOOSE(CONTROL!$C$28, 0.0021, 0)</f>
        <v>169.66918639015501</v>
      </c>
    </row>
    <row r="390" spans="1:5" ht="15">
      <c r="A390" s="13">
        <v>53021</v>
      </c>
      <c r="B390" s="4">
        <f>26.8547 * CHOOSE(CONTROL!$C$9, $C$13, 100%, $E$13) + CHOOSE(CONTROL!$C$28, 0.0226, 0)</f>
        <v>26.877300000000002</v>
      </c>
      <c r="C390" s="4">
        <f>26.4914 * CHOOSE(CONTROL!$C$9, $C$13, 100%, $E$13) + CHOOSE(CONTROL!$C$28, 0.0226, 0)</f>
        <v>26.513999999999999</v>
      </c>
      <c r="D390" s="4">
        <f>38.4774 * CHOOSE(CONTROL!$C$9, $C$13, 100%, $E$13) + CHOOSE(CONTROL!$C$28, 0.0021, 0)</f>
        <v>38.479500000000002</v>
      </c>
      <c r="E390" s="4">
        <f>173.69565166368 * CHOOSE(CONTROL!$C$9, $C$13, 100%, $E$13) + CHOOSE(CONTROL!$C$28, 0.0021, 0)</f>
        <v>173.69775166368001</v>
      </c>
    </row>
    <row r="391" spans="1:5" ht="15">
      <c r="A391" s="13">
        <v>53052</v>
      </c>
      <c r="B391" s="4">
        <f>28.4432 * CHOOSE(CONTROL!$C$9, $C$13, 100%, $E$13) + CHOOSE(CONTROL!$C$28, 0.0226, 0)</f>
        <v>28.465800000000002</v>
      </c>
      <c r="C391" s="4">
        <f>28.0799 * CHOOSE(CONTROL!$C$9, $C$13, 100%, $E$13) + CHOOSE(CONTROL!$C$28, 0.0226, 0)</f>
        <v>28.102499999999999</v>
      </c>
      <c r="D391" s="4">
        <f>40.4319 * CHOOSE(CONTROL!$C$9, $C$13, 100%, $E$13) + CHOOSE(CONTROL!$C$28, 0.0021, 0)</f>
        <v>40.433999999999997</v>
      </c>
      <c r="E391" s="4">
        <f>184.274878162917 * CHOOSE(CONTROL!$C$9, $C$13, 100%, $E$13) + CHOOSE(CONTROL!$C$28, 0.0021, 0)</f>
        <v>184.276978162917</v>
      </c>
    </row>
    <row r="392" spans="1:5" ht="15">
      <c r="A392" s="13">
        <v>53082</v>
      </c>
      <c r="B392" s="4">
        <f>29.5719 * CHOOSE(CONTROL!$C$9, $C$13, 100%, $E$13) + CHOOSE(CONTROL!$C$28, 0.0226, 0)</f>
        <v>29.5945</v>
      </c>
      <c r="C392" s="4">
        <f>29.2086 * CHOOSE(CONTROL!$C$9, $C$13, 100%, $E$13) + CHOOSE(CONTROL!$C$28, 0.0226, 0)</f>
        <v>29.231200000000001</v>
      </c>
      <c r="D392" s="4">
        <f>41.5578 * CHOOSE(CONTROL!$C$9, $C$13, 100%, $E$13) + CHOOSE(CONTROL!$C$28, 0.0021, 0)</f>
        <v>41.559899999999999</v>
      </c>
      <c r="E392" s="4">
        <f>191.791559577355 * CHOOSE(CONTROL!$C$9, $C$13, 100%, $E$13) + CHOOSE(CONTROL!$C$28, 0.0021, 0)</f>
        <v>191.79365957735502</v>
      </c>
    </row>
    <row r="393" spans="1:5" ht="15">
      <c r="A393" s="13">
        <v>53113</v>
      </c>
      <c r="B393" s="4">
        <f>30.2615 * CHOOSE(CONTROL!$C$9, $C$13, 100%, $E$13) + CHOOSE(CONTROL!$C$28, 0.0226, 0)</f>
        <v>30.284100000000002</v>
      </c>
      <c r="C393" s="4">
        <f>29.8982 * CHOOSE(CONTROL!$C$9, $C$13, 100%, $E$13) + CHOOSE(CONTROL!$C$28, 0.0226, 0)</f>
        <v>29.9208</v>
      </c>
      <c r="D393" s="4">
        <f>41.1129 * CHOOSE(CONTROL!$C$9, $C$13, 100%, $E$13) + CHOOSE(CONTROL!$C$28, 0.0021, 0)</f>
        <v>41.115000000000002</v>
      </c>
      <c r="E393" s="4">
        <f>196.384071771865 * CHOOSE(CONTROL!$C$9, $C$13, 100%, $E$13) + CHOOSE(CONTROL!$C$28, 0.0021, 0)</f>
        <v>196.38617177186501</v>
      </c>
    </row>
    <row r="394" spans="1:5" ht="15">
      <c r="A394" s="13">
        <v>53143</v>
      </c>
      <c r="B394" s="4">
        <f>30.3548 * CHOOSE(CONTROL!$C$9, $C$13, 100%, $E$13) + CHOOSE(CONTROL!$C$28, 0.0226, 0)</f>
        <v>30.377400000000002</v>
      </c>
      <c r="C394" s="4">
        <f>29.9915 * CHOOSE(CONTROL!$C$9, $C$13, 100%, $E$13) + CHOOSE(CONTROL!$C$28, 0.0226, 0)</f>
        <v>30.014099999999999</v>
      </c>
      <c r="D394" s="4">
        <f>41.4753 * CHOOSE(CONTROL!$C$9, $C$13, 100%, $E$13) + CHOOSE(CONTROL!$C$28, 0.0021, 0)</f>
        <v>41.477399999999996</v>
      </c>
      <c r="E394" s="4">
        <f>197.0054577311 * CHOOSE(CONTROL!$C$9, $C$13, 100%, $E$13) + CHOOSE(CONTROL!$C$28, 0.0021, 0)</f>
        <v>197.00755773110001</v>
      </c>
    </row>
    <row r="395" spans="1:5" ht="15">
      <c r="A395" s="13">
        <v>53174</v>
      </c>
      <c r="B395" s="4">
        <f>30.3454 * CHOOSE(CONTROL!$C$9, $C$13, 100%, $E$13) + CHOOSE(CONTROL!$C$28, 0.0226, 0)</f>
        <v>30.368000000000002</v>
      </c>
      <c r="C395" s="4">
        <f>29.9821 * CHOOSE(CONTROL!$C$9, $C$13, 100%, $E$13) + CHOOSE(CONTROL!$C$28, 0.0226, 0)</f>
        <v>30.0047</v>
      </c>
      <c r="D395" s="4">
        <f>42.1291 * CHOOSE(CONTROL!$C$9, $C$13, 100%, $E$13) + CHOOSE(CONTROL!$C$28, 0.0021, 0)</f>
        <v>42.1312</v>
      </c>
      <c r="E395" s="4">
        <f>196.942796962102 * CHOOSE(CONTROL!$C$9, $C$13, 100%, $E$13) + CHOOSE(CONTROL!$C$28, 0.0021, 0)</f>
        <v>196.94489696210201</v>
      </c>
    </row>
    <row r="396" spans="1:5" ht="15">
      <c r="A396" s="13">
        <v>53205</v>
      </c>
      <c r="B396" s="4">
        <f>31.0534 * CHOOSE(CONTROL!$C$9, $C$13, 100%, $E$13) + CHOOSE(CONTROL!$C$28, 0.0226, 0)</f>
        <v>31.076000000000001</v>
      </c>
      <c r="C396" s="4">
        <f>30.6901 * CHOOSE(CONTROL!$C$9, $C$13, 100%, $E$13) + CHOOSE(CONTROL!$C$28, 0.0226, 0)</f>
        <v>30.712700000000002</v>
      </c>
      <c r="D396" s="4">
        <f>41.6973 * CHOOSE(CONTROL!$C$9, $C$13, 100%, $E$13) + CHOOSE(CONTROL!$C$28, 0.0021, 0)</f>
        <v>41.699399999999997</v>
      </c>
      <c r="E396" s="4">
        <f>201.658019829234 * CHOOSE(CONTROL!$C$9, $C$13, 100%, $E$13) + CHOOSE(CONTROL!$C$28, 0.0021, 0)</f>
        <v>201.66011982923402</v>
      </c>
    </row>
    <row r="397" spans="1:5" ht="15">
      <c r="A397" s="13">
        <v>53235</v>
      </c>
      <c r="B397" s="4">
        <f>29.8467 * CHOOSE(CONTROL!$C$9, $C$13, 100%, $E$13) + CHOOSE(CONTROL!$C$28, 0.0226, 0)</f>
        <v>29.869299999999999</v>
      </c>
      <c r="C397" s="4">
        <f>29.4834 * CHOOSE(CONTROL!$C$9, $C$13, 100%, $E$13) + CHOOSE(CONTROL!$C$28, 0.0226, 0)</f>
        <v>29.506</v>
      </c>
      <c r="D397" s="4">
        <f>41.4933 * CHOOSE(CONTROL!$C$9, $C$13, 100%, $E$13) + CHOOSE(CONTROL!$C$28, 0.0021, 0)</f>
        <v>41.495399999999997</v>
      </c>
      <c r="E397" s="4">
        <f>193.621776205184 * CHOOSE(CONTROL!$C$9, $C$13, 100%, $E$13) + CHOOSE(CONTROL!$C$28, 0.0021, 0)</f>
        <v>193.62387620518402</v>
      </c>
    </row>
    <row r="398" spans="1:5" ht="15">
      <c r="A398" s="13">
        <v>53266</v>
      </c>
      <c r="B398" s="4">
        <f>28.8807 * CHOOSE(CONTROL!$C$9, $C$13, 100%, $E$13) + CHOOSE(CONTROL!$C$28, 0.0226, 0)</f>
        <v>28.903300000000002</v>
      </c>
      <c r="C398" s="4">
        <f>28.5174 * CHOOSE(CONTROL!$C$9, $C$13, 100%, $E$13) + CHOOSE(CONTROL!$C$28, 0.0226, 0)</f>
        <v>28.54</v>
      </c>
      <c r="D398" s="4">
        <f>40.9471 * CHOOSE(CONTROL!$C$9, $C$13, 100%, $E$13) + CHOOSE(CONTROL!$C$28, 0.0021, 0)</f>
        <v>40.949199999999998</v>
      </c>
      <c r="E398" s="4">
        <f>187.188603921344 * CHOOSE(CONTROL!$C$9, $C$13, 100%, $E$13) + CHOOSE(CONTROL!$C$28, 0.0021, 0)</f>
        <v>187.19070392134401</v>
      </c>
    </row>
    <row r="399" spans="1:5" ht="15">
      <c r="A399" s="13">
        <v>53296</v>
      </c>
      <c r="B399" s="4">
        <f>28.2586 * CHOOSE(CONTROL!$C$9, $C$13, 100%, $E$13) + CHOOSE(CONTROL!$C$28, 0.0226, 0)</f>
        <v>28.281200000000002</v>
      </c>
      <c r="C399" s="4">
        <f>27.8953 * CHOOSE(CONTROL!$C$9, $C$13, 100%, $E$13) + CHOOSE(CONTROL!$C$28, 0.0226, 0)</f>
        <v>27.917899999999999</v>
      </c>
      <c r="D399" s="4">
        <f>40.7593 * CHOOSE(CONTROL!$C$9, $C$13, 100%, $E$13) + CHOOSE(CONTROL!$C$28, 0.0021, 0)</f>
        <v>40.761400000000002</v>
      </c>
      <c r="E399" s="4">
        <f>183.045160571322 * CHOOSE(CONTROL!$C$9, $C$13, 100%, $E$13) + CHOOSE(CONTROL!$C$28, 0.0021, 0)</f>
        <v>183.047260571322</v>
      </c>
    </row>
    <row r="400" spans="1:5" ht="15">
      <c r="A400" s="13">
        <v>53327</v>
      </c>
      <c r="B400" s="4">
        <f>27.8281 * CHOOSE(CONTROL!$C$9, $C$13, 100%, $E$13) + CHOOSE(CONTROL!$C$28, 0.0226, 0)</f>
        <v>27.8507</v>
      </c>
      <c r="C400" s="4">
        <f>27.4648 * CHOOSE(CONTROL!$C$9, $C$13, 100%, $E$13) + CHOOSE(CONTROL!$C$28, 0.0226, 0)</f>
        <v>27.487400000000001</v>
      </c>
      <c r="D400" s="4">
        <f>39.3768 * CHOOSE(CONTROL!$C$9, $C$13, 100%, $E$13) + CHOOSE(CONTROL!$C$28, 0.0021, 0)</f>
        <v>39.378900000000002</v>
      </c>
      <c r="E400" s="4">
        <f>180.178430389643 * CHOOSE(CONTROL!$C$9, $C$13, 100%, $E$13) + CHOOSE(CONTROL!$C$28, 0.0021, 0)</f>
        <v>180.18053038964302</v>
      </c>
    </row>
    <row r="401" spans="1:5" ht="15">
      <c r="A401" s="13">
        <v>53358</v>
      </c>
      <c r="B401" s="4">
        <f>26.6504 * CHOOSE(CONTROL!$C$9, $C$13, 100%, $E$13) + CHOOSE(CONTROL!$C$28, 0.0226, 0)</f>
        <v>26.673000000000002</v>
      </c>
      <c r="C401" s="4">
        <f>26.2871 * CHOOSE(CONTROL!$C$9, $C$13, 100%, $E$13) + CHOOSE(CONTROL!$C$28, 0.0226, 0)</f>
        <v>26.309699999999999</v>
      </c>
      <c r="D401" s="4">
        <f>37.8538 * CHOOSE(CONTROL!$C$9, $C$13, 100%, $E$13) + CHOOSE(CONTROL!$C$28, 0.0021, 0)</f>
        <v>37.855899999999998</v>
      </c>
      <c r="E401" s="4">
        <f>172.673266625057 * CHOOSE(CONTROL!$C$9, $C$13, 100%, $E$13) + CHOOSE(CONTROL!$C$28, 0.0021, 0)</f>
        <v>172.67536662505702</v>
      </c>
    </row>
    <row r="402" spans="1:5" ht="15">
      <c r="A402" s="13">
        <v>53386</v>
      </c>
      <c r="B402" s="4">
        <f>27.2648 * CHOOSE(CONTROL!$C$9, $C$13, 100%, $E$13) + CHOOSE(CONTROL!$C$28, 0.0226, 0)</f>
        <v>27.287400000000002</v>
      </c>
      <c r="C402" s="4">
        <f>26.9015 * CHOOSE(CONTROL!$C$9, $C$13, 100%, $E$13) + CHOOSE(CONTROL!$C$28, 0.0226, 0)</f>
        <v>26.924099999999999</v>
      </c>
      <c r="D402" s="4">
        <f>39.1245 * CHOOSE(CONTROL!$C$9, $C$13, 100%, $E$13) + CHOOSE(CONTROL!$C$28, 0.0021, 0)</f>
        <v>39.126599999999996</v>
      </c>
      <c r="E402" s="4">
        <f>176.773210464443 * CHOOSE(CONTROL!$C$9, $C$13, 100%, $E$13) + CHOOSE(CONTROL!$C$28, 0.0021, 0)</f>
        <v>176.77531046444301</v>
      </c>
    </row>
    <row r="403" spans="1:5" ht="15">
      <c r="A403" s="13">
        <v>53417</v>
      </c>
      <c r="B403" s="4">
        <f>28.8783 * CHOOSE(CONTROL!$C$9, $C$13, 100%, $E$13) + CHOOSE(CONTROL!$C$28, 0.0226, 0)</f>
        <v>28.9009</v>
      </c>
      <c r="C403" s="4">
        <f>28.515 * CHOOSE(CONTROL!$C$9, $C$13, 100%, $E$13) + CHOOSE(CONTROL!$C$28, 0.0226, 0)</f>
        <v>28.537600000000001</v>
      </c>
      <c r="D403" s="4">
        <f>41.1136 * CHOOSE(CONTROL!$C$9, $C$13, 100%, $E$13) + CHOOSE(CONTROL!$C$28, 0.0021, 0)</f>
        <v>41.115699999999997</v>
      </c>
      <c r="E403" s="4">
        <f>187.539880870917 * CHOOSE(CONTROL!$C$9, $C$13, 100%, $E$13) + CHOOSE(CONTROL!$C$28, 0.0021, 0)</f>
        <v>187.541980870917</v>
      </c>
    </row>
    <row r="404" spans="1:5" ht="15">
      <c r="A404" s="13">
        <v>53447</v>
      </c>
      <c r="B404" s="4">
        <f>30.0247 * CHOOSE(CONTROL!$C$9, $C$13, 100%, $E$13) + CHOOSE(CONTROL!$C$28, 0.0226, 0)</f>
        <v>30.0473</v>
      </c>
      <c r="C404" s="4">
        <f>29.6614 * CHOOSE(CONTROL!$C$9, $C$13, 100%, $E$13) + CHOOSE(CONTROL!$C$28, 0.0226, 0)</f>
        <v>29.684000000000001</v>
      </c>
      <c r="D404" s="4">
        <f>42.2594 * CHOOSE(CONTROL!$C$9, $C$13, 100%, $E$13) + CHOOSE(CONTROL!$C$28, 0.0021, 0)</f>
        <v>42.261499999999998</v>
      </c>
      <c r="E404" s="4">
        <f>195.189743679466 * CHOOSE(CONTROL!$C$9, $C$13, 100%, $E$13) + CHOOSE(CONTROL!$C$28, 0.0021, 0)</f>
        <v>195.19184367946602</v>
      </c>
    </row>
    <row r="405" spans="1:5" ht="15">
      <c r="A405" s="13">
        <v>53478</v>
      </c>
      <c r="B405" s="4">
        <f>30.7252 * CHOOSE(CONTROL!$C$9, $C$13, 100%, $E$13) + CHOOSE(CONTROL!$C$28, 0.0226, 0)</f>
        <v>30.747800000000002</v>
      </c>
      <c r="C405" s="4">
        <f>30.3619 * CHOOSE(CONTROL!$C$9, $C$13, 100%, $E$13) + CHOOSE(CONTROL!$C$28, 0.0226, 0)</f>
        <v>30.384499999999999</v>
      </c>
      <c r="D405" s="4">
        <f>41.8066 * CHOOSE(CONTROL!$C$9, $C$13, 100%, $E$13) + CHOOSE(CONTROL!$C$28, 0.0021, 0)</f>
        <v>41.808700000000002</v>
      </c>
      <c r="E405" s="4">
        <f>199.863626513866 * CHOOSE(CONTROL!$C$9, $C$13, 100%, $E$13) + CHOOSE(CONTROL!$C$28, 0.0021, 0)</f>
        <v>199.86572651386601</v>
      </c>
    </row>
    <row r="406" spans="1:5" ht="15">
      <c r="A406" s="13">
        <v>53508</v>
      </c>
      <c r="B406" s="4">
        <f>30.8199 * CHOOSE(CONTROL!$C$9, $C$13, 100%, $E$13) + CHOOSE(CONTROL!$C$28, 0.0226, 0)</f>
        <v>30.842500000000001</v>
      </c>
      <c r="C406" s="4">
        <f>30.4566 * CHOOSE(CONTROL!$C$9, $C$13, 100%, $E$13) + CHOOSE(CONTROL!$C$28, 0.0226, 0)</f>
        <v>30.479200000000002</v>
      </c>
      <c r="D406" s="4">
        <f>42.1753 * CHOOSE(CONTROL!$C$9, $C$13, 100%, $E$13) + CHOOSE(CONTROL!$C$28, 0.0021, 0)</f>
        <v>42.177399999999999</v>
      </c>
      <c r="E406" s="4">
        <f>200.496022258372 * CHOOSE(CONTROL!$C$9, $C$13, 100%, $E$13) + CHOOSE(CONTROL!$C$28, 0.0021, 0)</f>
        <v>200.49812225837201</v>
      </c>
    </row>
    <row r="407" spans="1:5" ht="15">
      <c r="A407" s="13">
        <v>53539</v>
      </c>
      <c r="B407" s="4">
        <f>30.8104 * CHOOSE(CONTROL!$C$9, $C$13, 100%, $E$13) + CHOOSE(CONTROL!$C$28, 0.0226, 0)</f>
        <v>30.833000000000002</v>
      </c>
      <c r="C407" s="4">
        <f>30.4471 * CHOOSE(CONTROL!$C$9, $C$13, 100%, $E$13) + CHOOSE(CONTROL!$C$28, 0.0226, 0)</f>
        <v>30.4697</v>
      </c>
      <c r="D407" s="4">
        <f>42.8407 * CHOOSE(CONTROL!$C$9, $C$13, 100%, $E$13) + CHOOSE(CONTROL!$C$28, 0.0021, 0)</f>
        <v>42.842799999999997</v>
      </c>
      <c r="E407" s="4">
        <f>200.432251258926 * CHOOSE(CONTROL!$C$9, $C$13, 100%, $E$13) + CHOOSE(CONTROL!$C$28, 0.0021, 0)</f>
        <v>200.434351258926</v>
      </c>
    </row>
    <row r="408" spans="1:5" ht="15">
      <c r="A408" s="13">
        <v>53570</v>
      </c>
      <c r="B408" s="4">
        <f>31.5295 * CHOOSE(CONTROL!$C$9, $C$13, 100%, $E$13) + CHOOSE(CONTROL!$C$28, 0.0226, 0)</f>
        <v>31.552099999999999</v>
      </c>
      <c r="C408" s="4">
        <f>31.1662 * CHOOSE(CONTROL!$C$9, $C$13, 100%, $E$13) + CHOOSE(CONTROL!$C$28, 0.0226, 0)</f>
        <v>31.188800000000001</v>
      </c>
      <c r="D408" s="4">
        <f>42.4013 * CHOOSE(CONTROL!$C$9, $C$13, 100%, $E$13) + CHOOSE(CONTROL!$C$28, 0.0021, 0)</f>
        <v>42.403399999999998</v>
      </c>
      <c r="E408" s="4">
        <f>205.231018967241 * CHOOSE(CONTROL!$C$9, $C$13, 100%, $E$13) + CHOOSE(CONTROL!$C$28, 0.0021, 0)</f>
        <v>205.23311896724101</v>
      </c>
    </row>
    <row r="409" spans="1:5" ht="15">
      <c r="A409" s="13">
        <v>53600</v>
      </c>
      <c r="B409" s="4">
        <f>30.3039 * CHOOSE(CONTROL!$C$9, $C$13, 100%, $E$13) + CHOOSE(CONTROL!$C$28, 0.0226, 0)</f>
        <v>30.326499999999999</v>
      </c>
      <c r="C409" s="4">
        <f>29.9406 * CHOOSE(CONTROL!$C$9, $C$13, 100%, $E$13) + CHOOSE(CONTROL!$C$28, 0.0226, 0)</f>
        <v>29.963200000000001</v>
      </c>
      <c r="D409" s="4">
        <f>42.1937 * CHOOSE(CONTROL!$C$9, $C$13, 100%, $E$13) + CHOOSE(CONTROL!$C$28, 0.0021, 0)</f>
        <v>42.195799999999998</v>
      </c>
      <c r="E409" s="4">
        <f>197.052388288286 * CHOOSE(CONTROL!$C$9, $C$13, 100%, $E$13) + CHOOSE(CONTROL!$C$28, 0.0021, 0)</f>
        <v>197.05448828828602</v>
      </c>
    </row>
    <row r="410" spans="1:5" ht="15">
      <c r="A410" s="13">
        <v>53631</v>
      </c>
      <c r="B410" s="4">
        <f>29.3227 * CHOOSE(CONTROL!$C$9, $C$13, 100%, $E$13) + CHOOSE(CONTROL!$C$28, 0.0226, 0)</f>
        <v>29.345300000000002</v>
      </c>
      <c r="C410" s="4">
        <f>28.9594 * CHOOSE(CONTROL!$C$9, $C$13, 100%, $E$13) + CHOOSE(CONTROL!$C$28, 0.0226, 0)</f>
        <v>28.981999999999999</v>
      </c>
      <c r="D410" s="4">
        <f>41.6378 * CHOOSE(CONTROL!$C$9, $C$13, 100%, $E$13) + CHOOSE(CONTROL!$C$28, 0.0021, 0)</f>
        <v>41.639899999999997</v>
      </c>
      <c r="E410" s="4">
        <f>190.505232345158 * CHOOSE(CONTROL!$C$9, $C$13, 100%, $E$13) + CHOOSE(CONTROL!$C$28, 0.0021, 0)</f>
        <v>190.50733234515801</v>
      </c>
    </row>
    <row r="411" spans="1:5" ht="15">
      <c r="A411" s="13">
        <v>53661</v>
      </c>
      <c r="B411" s="4">
        <f>28.6908 * CHOOSE(CONTROL!$C$9, $C$13, 100%, $E$13) + CHOOSE(CONTROL!$C$28, 0.0226, 0)</f>
        <v>28.7134</v>
      </c>
      <c r="C411" s="4">
        <f>28.3275 * CHOOSE(CONTROL!$C$9, $C$13, 100%, $E$13) + CHOOSE(CONTROL!$C$28, 0.0226, 0)</f>
        <v>28.350100000000001</v>
      </c>
      <c r="D411" s="4">
        <f>41.4467 * CHOOSE(CONTROL!$C$9, $C$13, 100%, $E$13) + CHOOSE(CONTROL!$C$28, 0.0021, 0)</f>
        <v>41.448799999999999</v>
      </c>
      <c r="E411" s="4">
        <f>186.288375006788 * CHOOSE(CONTROL!$C$9, $C$13, 100%, $E$13) + CHOOSE(CONTROL!$C$28, 0.0021, 0)</f>
        <v>186.290475006788</v>
      </c>
    </row>
    <row r="412" spans="1:5" ht="15">
      <c r="A412" s="13">
        <v>53692</v>
      </c>
      <c r="B412" s="4">
        <f>28.2535 * CHOOSE(CONTROL!$C$9, $C$13, 100%, $E$13) + CHOOSE(CONTROL!$C$28, 0.0226, 0)</f>
        <v>28.2761</v>
      </c>
      <c r="C412" s="4">
        <f>27.8903 * CHOOSE(CONTROL!$C$9, $C$13, 100%, $E$13) + CHOOSE(CONTROL!$C$28, 0.0226, 0)</f>
        <v>27.9129</v>
      </c>
      <c r="D412" s="4">
        <f>40.0398 * CHOOSE(CONTROL!$C$9, $C$13, 100%, $E$13) + CHOOSE(CONTROL!$C$28, 0.0021, 0)</f>
        <v>40.041899999999998</v>
      </c>
      <c r="E412" s="4">
        <f>183.370851782132 * CHOOSE(CONTROL!$C$9, $C$13, 100%, $E$13) + CHOOSE(CONTROL!$C$28, 0.0021, 0)</f>
        <v>183.37295178213202</v>
      </c>
    </row>
    <row r="413" spans="1:5" ht="15">
      <c r="A413" s="13">
        <v>53723</v>
      </c>
      <c r="B413" s="4">
        <f>27.0573 * CHOOSE(CONTROL!$C$9, $C$13, 100%, $E$13) + CHOOSE(CONTROL!$C$28, 0.0226, 0)</f>
        <v>27.079900000000002</v>
      </c>
      <c r="C413" s="4">
        <f>26.694 * CHOOSE(CONTROL!$C$9, $C$13, 100%, $E$13) + CHOOSE(CONTROL!$C$28, 0.0226, 0)</f>
        <v>26.7166</v>
      </c>
      <c r="D413" s="4">
        <f>38.4899 * CHOOSE(CONTROL!$C$9, $C$13, 100%, $E$13) + CHOOSE(CONTROL!$C$28, 0.0021, 0)</f>
        <v>38.491999999999997</v>
      </c>
      <c r="E413" s="4">
        <f>175.732710694431 * CHOOSE(CONTROL!$C$9, $C$13, 100%, $E$13) + CHOOSE(CONTROL!$C$28, 0.0021, 0)</f>
        <v>175.73481069443102</v>
      </c>
    </row>
    <row r="414" spans="1:5" ht="15">
      <c r="A414" s="13">
        <v>53751</v>
      </c>
      <c r="B414" s="4">
        <f>27.6814 * CHOOSE(CONTROL!$C$9, $C$13, 100%, $E$13) + CHOOSE(CONTROL!$C$28, 0.0226, 0)</f>
        <v>27.704000000000001</v>
      </c>
      <c r="C414" s="4">
        <f>27.3181 * CHOOSE(CONTROL!$C$9, $C$13, 100%, $E$13) + CHOOSE(CONTROL!$C$28, 0.0226, 0)</f>
        <v>27.340700000000002</v>
      </c>
      <c r="D414" s="4">
        <f>39.783 * CHOOSE(CONTROL!$C$9, $C$13, 100%, $E$13) + CHOOSE(CONTROL!$C$28, 0.0021, 0)</f>
        <v>39.7851</v>
      </c>
      <c r="E414" s="4">
        <f>179.905297793015 * CHOOSE(CONTROL!$C$9, $C$13, 100%, $E$13) + CHOOSE(CONTROL!$C$28, 0.0021, 0)</f>
        <v>179.90739779301501</v>
      </c>
    </row>
    <row r="415" spans="1:5" ht="15">
      <c r="A415" s="13">
        <v>53782</v>
      </c>
      <c r="B415" s="4">
        <f>29.3203 * CHOOSE(CONTROL!$C$9, $C$13, 100%, $E$13) + CHOOSE(CONTROL!$C$28, 0.0226, 0)</f>
        <v>29.3429</v>
      </c>
      <c r="C415" s="4">
        <f>28.957 * CHOOSE(CONTROL!$C$9, $C$13, 100%, $E$13) + CHOOSE(CONTROL!$C$28, 0.0226, 0)</f>
        <v>28.979600000000001</v>
      </c>
      <c r="D415" s="4">
        <f>41.8073 * CHOOSE(CONTROL!$C$9, $C$13, 100%, $E$13) + CHOOSE(CONTROL!$C$28, 0.0021, 0)</f>
        <v>41.809399999999997</v>
      </c>
      <c r="E415" s="4">
        <f>190.862733258643 * CHOOSE(CONTROL!$C$9, $C$13, 100%, $E$13) + CHOOSE(CONTROL!$C$28, 0.0021, 0)</f>
        <v>190.86483325864302</v>
      </c>
    </row>
    <row r="416" spans="1:5" ht="15">
      <c r="A416" s="13">
        <v>53812</v>
      </c>
      <c r="B416" s="4">
        <f>30.4847 * CHOOSE(CONTROL!$C$9, $C$13, 100%, $E$13) + CHOOSE(CONTROL!$C$28, 0.0226, 0)</f>
        <v>30.507300000000001</v>
      </c>
      <c r="C416" s="4">
        <f>30.1214 * CHOOSE(CONTROL!$C$9, $C$13, 100%, $E$13) + CHOOSE(CONTROL!$C$28, 0.0226, 0)</f>
        <v>30.144000000000002</v>
      </c>
      <c r="D416" s="4">
        <f>42.9733 * CHOOSE(CONTROL!$C$9, $C$13, 100%, $E$13) + CHOOSE(CONTROL!$C$28, 0.0021, 0)</f>
        <v>42.9754</v>
      </c>
      <c r="E416" s="4">
        <f>198.648137183999 * CHOOSE(CONTROL!$C$9, $C$13, 100%, $E$13) + CHOOSE(CONTROL!$C$28, 0.0021, 0)</f>
        <v>198.65023718399902</v>
      </c>
    </row>
    <row r="417" spans="1:5" ht="15">
      <c r="A417" s="13">
        <v>53843</v>
      </c>
      <c r="B417" s="4">
        <f>31.1961 * CHOOSE(CONTROL!$C$9, $C$13, 100%, $E$13) + CHOOSE(CONTROL!$C$28, 0.0226, 0)</f>
        <v>31.218700000000002</v>
      </c>
      <c r="C417" s="4">
        <f>30.8329 * CHOOSE(CONTROL!$C$9, $C$13, 100%, $E$13) + CHOOSE(CONTROL!$C$28, 0.0226, 0)</f>
        <v>30.855499999999999</v>
      </c>
      <c r="D417" s="4">
        <f>42.5125 * CHOOSE(CONTROL!$C$9, $C$13, 100%, $E$13) + CHOOSE(CONTROL!$C$28, 0.0021, 0)</f>
        <v>42.514600000000002</v>
      </c>
      <c r="E417" s="4">
        <f>203.404832392301 * CHOOSE(CONTROL!$C$9, $C$13, 100%, $E$13) + CHOOSE(CONTROL!$C$28, 0.0021, 0)</f>
        <v>203.406932392301</v>
      </c>
    </row>
    <row r="418" spans="1:5" ht="15">
      <c r="A418" s="13">
        <v>53873</v>
      </c>
      <c r="B418" s="4">
        <f>31.2924 * CHOOSE(CONTROL!$C$9, $C$13, 100%, $E$13) + CHOOSE(CONTROL!$C$28, 0.0226, 0)</f>
        <v>31.315000000000001</v>
      </c>
      <c r="C418" s="4">
        <f>30.9291 * CHOOSE(CONTROL!$C$9, $C$13, 100%, $E$13) + CHOOSE(CONTROL!$C$28, 0.0226, 0)</f>
        <v>30.951699999999999</v>
      </c>
      <c r="D418" s="4">
        <f>42.8878 * CHOOSE(CONTROL!$C$9, $C$13, 100%, $E$13) + CHOOSE(CONTROL!$C$28, 0.0021, 0)</f>
        <v>42.889899999999997</v>
      </c>
      <c r="E418" s="4">
        <f>204.048432994675 * CHOOSE(CONTROL!$C$9, $C$13, 100%, $E$13) + CHOOSE(CONTROL!$C$28, 0.0021, 0)</f>
        <v>204.05053299467502</v>
      </c>
    </row>
    <row r="419" spans="1:5" ht="15">
      <c r="A419" s="13">
        <v>53904</v>
      </c>
      <c r="B419" s="4">
        <f>31.2827 * CHOOSE(CONTROL!$C$9, $C$13, 100%, $E$13) + CHOOSE(CONTROL!$C$28, 0.0226, 0)</f>
        <v>31.305299999999999</v>
      </c>
      <c r="C419" s="4">
        <f>30.9194 * CHOOSE(CONTROL!$C$9, $C$13, 100%, $E$13) + CHOOSE(CONTROL!$C$28, 0.0226, 0)</f>
        <v>30.942</v>
      </c>
      <c r="D419" s="4">
        <f>43.5649 * CHOOSE(CONTROL!$C$9, $C$13, 100%, $E$13) + CHOOSE(CONTROL!$C$28, 0.0021, 0)</f>
        <v>43.567</v>
      </c>
      <c r="E419" s="4">
        <f>203.983532093596 * CHOOSE(CONTROL!$C$9, $C$13, 100%, $E$13) + CHOOSE(CONTROL!$C$28, 0.0021, 0)</f>
        <v>203.98563209359602</v>
      </c>
    </row>
    <row r="420" spans="1:5" ht="15">
      <c r="A420" s="13">
        <v>53935</v>
      </c>
      <c r="B420" s="4">
        <f>32.0132 * CHOOSE(CONTROL!$C$9, $C$13, 100%, $E$13) + CHOOSE(CONTROL!$C$28, 0.0226, 0)</f>
        <v>32.035799999999995</v>
      </c>
      <c r="C420" s="4">
        <f>31.6499 * CHOOSE(CONTROL!$C$9, $C$13, 100%, $E$13) + CHOOSE(CONTROL!$C$28, 0.0226, 0)</f>
        <v>31.672499999999999</v>
      </c>
      <c r="D420" s="4">
        <f>43.1177 * CHOOSE(CONTROL!$C$9, $C$13, 100%, $E$13) + CHOOSE(CONTROL!$C$28, 0.0021, 0)</f>
        <v>43.119799999999998</v>
      </c>
      <c r="E420" s="4">
        <f>208.867324899845 * CHOOSE(CONTROL!$C$9, $C$13, 100%, $E$13) + CHOOSE(CONTROL!$C$28, 0.0021, 0)</f>
        <v>208.869424899845</v>
      </c>
    </row>
    <row r="421" spans="1:5" ht="15">
      <c r="A421" s="13">
        <v>53965</v>
      </c>
      <c r="B421" s="4">
        <f>30.7682 * CHOOSE(CONTROL!$C$9, $C$13, 100%, $E$13) + CHOOSE(CONTROL!$C$28, 0.0226, 0)</f>
        <v>30.790800000000001</v>
      </c>
      <c r="C421" s="4">
        <f>30.4049 * CHOOSE(CONTROL!$C$9, $C$13, 100%, $E$13) + CHOOSE(CONTROL!$C$28, 0.0226, 0)</f>
        <v>30.427500000000002</v>
      </c>
      <c r="D421" s="4">
        <f>42.9065 * CHOOSE(CONTROL!$C$9, $C$13, 100%, $E$13) + CHOOSE(CONTROL!$C$28, 0.0021, 0)</f>
        <v>42.9086</v>
      </c>
      <c r="E421" s="4">
        <f>200.54378433637 * CHOOSE(CONTROL!$C$9, $C$13, 100%, $E$13) + CHOOSE(CONTROL!$C$28, 0.0021, 0)</f>
        <v>200.54588433637002</v>
      </c>
    </row>
    <row r="422" spans="1:5" ht="15">
      <c r="A422" s="13">
        <v>53996</v>
      </c>
      <c r="B422" s="4">
        <f>29.7716 * CHOOSE(CONTROL!$C$9, $C$13, 100%, $E$13) + CHOOSE(CONTROL!$C$28, 0.0226, 0)</f>
        <v>29.7942</v>
      </c>
      <c r="C422" s="4">
        <f>29.4083 * CHOOSE(CONTROL!$C$9, $C$13, 100%, $E$13) + CHOOSE(CONTROL!$C$28, 0.0226, 0)</f>
        <v>29.430900000000001</v>
      </c>
      <c r="D422" s="4">
        <f>42.3408 * CHOOSE(CONTROL!$C$9, $C$13, 100%, $E$13) + CHOOSE(CONTROL!$C$28, 0.0021, 0)</f>
        <v>42.3429</v>
      </c>
      <c r="E422" s="4">
        <f>193.880625158851 * CHOOSE(CONTROL!$C$9, $C$13, 100%, $E$13) + CHOOSE(CONTROL!$C$28, 0.0021, 0)</f>
        <v>193.882725158851</v>
      </c>
    </row>
    <row r="423" spans="1:5" ht="15">
      <c r="A423" s="13">
        <v>54026</v>
      </c>
      <c r="B423" s="4">
        <f>29.1298 * CHOOSE(CONTROL!$C$9, $C$13, 100%, $E$13) + CHOOSE(CONTROL!$C$28, 0.0226, 0)</f>
        <v>29.1524</v>
      </c>
      <c r="C423" s="4">
        <f>28.7665 * CHOOSE(CONTROL!$C$9, $C$13, 100%, $E$13) + CHOOSE(CONTROL!$C$28, 0.0226, 0)</f>
        <v>28.789100000000001</v>
      </c>
      <c r="D423" s="4">
        <f>42.1463 * CHOOSE(CONTROL!$C$9, $C$13, 100%, $E$13) + CHOOSE(CONTROL!$C$28, 0.0021, 0)</f>
        <v>42.148399999999995</v>
      </c>
      <c r="E423" s="4">
        <f>189.589053074954 * CHOOSE(CONTROL!$C$9, $C$13, 100%, $E$13) + CHOOSE(CONTROL!$C$28, 0.0021, 0)</f>
        <v>189.59115307495401</v>
      </c>
    </row>
    <row r="424" spans="1:5" ht="15">
      <c r="A424" s="13">
        <v>54057</v>
      </c>
      <c r="B424" s="4">
        <f>28.6857 * CHOOSE(CONTROL!$C$9, $C$13, 100%, $E$13) + CHOOSE(CONTROL!$C$28, 0.0226, 0)</f>
        <v>28.708300000000001</v>
      </c>
      <c r="C424" s="4">
        <f>28.3224 * CHOOSE(CONTROL!$C$9, $C$13, 100%, $E$13) + CHOOSE(CONTROL!$C$28, 0.0226, 0)</f>
        <v>28.344999999999999</v>
      </c>
      <c r="D424" s="4">
        <f>40.7145 * CHOOSE(CONTROL!$C$9, $C$13, 100%, $E$13) + CHOOSE(CONTROL!$C$28, 0.0021, 0)</f>
        <v>40.7166</v>
      </c>
      <c r="E424" s="4">
        <f>186.619836850556 * CHOOSE(CONTROL!$C$9, $C$13, 100%, $E$13) + CHOOSE(CONTROL!$C$28, 0.0021, 0)</f>
        <v>186.62193685055601</v>
      </c>
    </row>
    <row r="425" spans="1:5" ht="15">
      <c r="A425" s="13">
        <v>54088</v>
      </c>
      <c r="B425" s="4">
        <f>27.4706 * CHOOSE(CONTROL!$C$9, $C$13, 100%, $E$13) + CHOOSE(CONTROL!$C$28, 0.0226, 0)</f>
        <v>27.493200000000002</v>
      </c>
      <c r="C425" s="4">
        <f>27.1073 * CHOOSE(CONTROL!$C$9, $C$13, 100%, $E$13) + CHOOSE(CONTROL!$C$28, 0.0226, 0)</f>
        <v>27.129899999999999</v>
      </c>
      <c r="D425" s="4">
        <f>39.1372 * CHOOSE(CONTROL!$C$9, $C$13, 100%, $E$13) + CHOOSE(CONTROL!$C$28, 0.0021, 0)</f>
        <v>39.139299999999999</v>
      </c>
      <c r="E425" s="4">
        <f>178.846362332796 * CHOOSE(CONTROL!$C$9, $C$13, 100%, $E$13) + CHOOSE(CONTROL!$C$28, 0.0021, 0)</f>
        <v>178.848462332796</v>
      </c>
    </row>
    <row r="426" spans="1:5" ht="15">
      <c r="A426" s="13">
        <v>54116</v>
      </c>
      <c r="B426" s="4">
        <f>28.1045 * CHOOSE(CONTROL!$C$9, $C$13, 100%, $E$13) + CHOOSE(CONTROL!$C$28, 0.0226, 0)</f>
        <v>28.127100000000002</v>
      </c>
      <c r="C426" s="4">
        <f>27.7412 * CHOOSE(CONTROL!$C$9, $C$13, 100%, $E$13) + CHOOSE(CONTROL!$C$28, 0.0226, 0)</f>
        <v>27.7638</v>
      </c>
      <c r="D426" s="4">
        <f>40.4532 * CHOOSE(CONTROL!$C$9, $C$13, 100%, $E$13) + CHOOSE(CONTROL!$C$28, 0.0021, 0)</f>
        <v>40.455300000000001</v>
      </c>
      <c r="E426" s="4">
        <f>183.092879791895 * CHOOSE(CONTROL!$C$9, $C$13, 100%, $E$13) + CHOOSE(CONTROL!$C$28, 0.0021, 0)</f>
        <v>183.09497979189501</v>
      </c>
    </row>
    <row r="427" spans="1:5" ht="15">
      <c r="A427" s="13">
        <v>54148</v>
      </c>
      <c r="B427" s="4">
        <f>29.7691 * CHOOSE(CONTROL!$C$9, $C$13, 100%, $E$13) + CHOOSE(CONTROL!$C$28, 0.0226, 0)</f>
        <v>29.791700000000002</v>
      </c>
      <c r="C427" s="4">
        <f>29.4059 * CHOOSE(CONTROL!$C$9, $C$13, 100%, $E$13) + CHOOSE(CONTROL!$C$28, 0.0226, 0)</f>
        <v>29.4285</v>
      </c>
      <c r="D427" s="4">
        <f>42.5132 * CHOOSE(CONTROL!$C$9, $C$13, 100%, $E$13) + CHOOSE(CONTROL!$C$28, 0.0021, 0)</f>
        <v>42.515299999999996</v>
      </c>
      <c r="E427" s="4">
        <f>194.24446031313 * CHOOSE(CONTROL!$C$9, $C$13, 100%, $E$13) + CHOOSE(CONTROL!$C$28, 0.0021, 0)</f>
        <v>194.24656031313</v>
      </c>
    </row>
    <row r="428" spans="1:5" ht="15">
      <c r="A428" s="13">
        <v>54178</v>
      </c>
      <c r="B428" s="4">
        <f>30.9519 * CHOOSE(CONTROL!$C$9, $C$13, 100%, $E$13) + CHOOSE(CONTROL!$C$28, 0.0226, 0)</f>
        <v>30.974499999999999</v>
      </c>
      <c r="C428" s="4">
        <f>30.5886 * CHOOSE(CONTROL!$C$9, $C$13, 100%, $E$13) + CHOOSE(CONTROL!$C$28, 0.0226, 0)</f>
        <v>30.6112</v>
      </c>
      <c r="D428" s="4">
        <f>43.6999 * CHOOSE(CONTROL!$C$9, $C$13, 100%, $E$13) + CHOOSE(CONTROL!$C$28, 0.0021, 0)</f>
        <v>43.701999999999998</v>
      </c>
      <c r="E428" s="4">
        <f>202.167806887819 * CHOOSE(CONTROL!$C$9, $C$13, 100%, $E$13) + CHOOSE(CONTROL!$C$28, 0.0021, 0)</f>
        <v>202.16990688781902</v>
      </c>
    </row>
    <row r="429" spans="1:5" ht="15">
      <c r="A429" s="13">
        <v>54209</v>
      </c>
      <c r="B429" s="4">
        <f>31.6745 * CHOOSE(CONTROL!$C$9, $C$13, 100%, $E$13) + CHOOSE(CONTROL!$C$28, 0.0226, 0)</f>
        <v>31.697099999999999</v>
      </c>
      <c r="C429" s="4">
        <f>31.3113 * CHOOSE(CONTROL!$C$9, $C$13, 100%, $E$13) + CHOOSE(CONTROL!$C$28, 0.0226, 0)</f>
        <v>31.3339</v>
      </c>
      <c r="D429" s="4">
        <f>43.231 * CHOOSE(CONTROL!$C$9, $C$13, 100%, $E$13) + CHOOSE(CONTROL!$C$28, 0.0021, 0)</f>
        <v>43.2331</v>
      </c>
      <c r="E429" s="4">
        <f>207.008781748839 * CHOOSE(CONTROL!$C$9, $C$13, 100%, $E$13) + CHOOSE(CONTROL!$C$28, 0.0021, 0)</f>
        <v>207.01088174883901</v>
      </c>
    </row>
    <row r="430" spans="1:5" ht="15">
      <c r="A430" s="13">
        <v>54239</v>
      </c>
      <c r="B430" s="4">
        <f>31.7723 * CHOOSE(CONTROL!$C$9, $C$13, 100%, $E$13) + CHOOSE(CONTROL!$C$28, 0.0226, 0)</f>
        <v>31.794900000000002</v>
      </c>
      <c r="C430" s="4">
        <f>31.409 * CHOOSE(CONTROL!$C$9, $C$13, 100%, $E$13) + CHOOSE(CONTROL!$C$28, 0.0226, 0)</f>
        <v>31.4316</v>
      </c>
      <c r="D430" s="4">
        <f>43.6128 * CHOOSE(CONTROL!$C$9, $C$13, 100%, $E$13) + CHOOSE(CONTROL!$C$28, 0.0021, 0)</f>
        <v>43.614899999999999</v>
      </c>
      <c r="E430" s="4">
        <f>207.663785737993 * CHOOSE(CONTROL!$C$9, $C$13, 100%, $E$13) + CHOOSE(CONTROL!$C$28, 0.0021, 0)</f>
        <v>207.66588573799302</v>
      </c>
    </row>
    <row r="431" spans="1:5" ht="15">
      <c r="A431" s="13">
        <v>54270</v>
      </c>
      <c r="B431" s="4">
        <f>31.7625 * CHOOSE(CONTROL!$C$9, $C$13, 100%, $E$13) + CHOOSE(CONTROL!$C$28, 0.0226, 0)</f>
        <v>31.7851</v>
      </c>
      <c r="C431" s="4">
        <f>31.3992 * CHOOSE(CONTROL!$C$9, $C$13, 100%, $E$13) + CHOOSE(CONTROL!$C$28, 0.0226, 0)</f>
        <v>31.421800000000001</v>
      </c>
      <c r="D431" s="4">
        <f>44.3019 * CHOOSE(CONTROL!$C$9, $C$13, 100%, $E$13) + CHOOSE(CONTROL!$C$28, 0.0021, 0)</f>
        <v>44.304000000000002</v>
      </c>
      <c r="E431" s="4">
        <f>207.597734915557 * CHOOSE(CONTROL!$C$9, $C$13, 100%, $E$13) + CHOOSE(CONTROL!$C$28, 0.0021, 0)</f>
        <v>207.59983491555701</v>
      </c>
    </row>
    <row r="432" spans="1:5" ht="15">
      <c r="A432" s="13">
        <v>54301</v>
      </c>
      <c r="B432" s="4">
        <f>32.5044 * CHOOSE(CONTROL!$C$9, $C$13, 100%, $E$13) + CHOOSE(CONTROL!$C$28, 0.0226, 0)</f>
        <v>32.526999999999994</v>
      </c>
      <c r="C432" s="4">
        <f>32.1411 * CHOOSE(CONTROL!$C$9, $C$13, 100%, $E$13) + CHOOSE(CONTROL!$C$28, 0.0226, 0)</f>
        <v>32.163699999999999</v>
      </c>
      <c r="D432" s="4">
        <f>43.8468 * CHOOSE(CONTROL!$C$9, $C$13, 100%, $E$13) + CHOOSE(CONTROL!$C$28, 0.0021, 0)</f>
        <v>43.8489</v>
      </c>
      <c r="E432" s="4">
        <f>212.568059303848 * CHOOSE(CONTROL!$C$9, $C$13, 100%, $E$13) + CHOOSE(CONTROL!$C$28, 0.0021, 0)</f>
        <v>212.57015930384802</v>
      </c>
    </row>
    <row r="433" spans="1:5" ht="15">
      <c r="A433" s="13">
        <v>54331</v>
      </c>
      <c r="B433" s="4">
        <f>31.2399 * CHOOSE(CONTROL!$C$9, $C$13, 100%, $E$13) + CHOOSE(CONTROL!$C$28, 0.0226, 0)</f>
        <v>31.262499999999999</v>
      </c>
      <c r="C433" s="4">
        <f>30.8766 * CHOOSE(CONTROL!$C$9, $C$13, 100%, $E$13) + CHOOSE(CONTROL!$C$28, 0.0226, 0)</f>
        <v>30.8992</v>
      </c>
      <c r="D433" s="4">
        <f>43.6318 * CHOOSE(CONTROL!$C$9, $C$13, 100%, $E$13) + CHOOSE(CONTROL!$C$28, 0.0021, 0)</f>
        <v>43.633899999999997</v>
      </c>
      <c r="E433" s="4">
        <f>204.097041326463 * CHOOSE(CONTROL!$C$9, $C$13, 100%, $E$13) + CHOOSE(CONTROL!$C$28, 0.0021, 0)</f>
        <v>204.09914132646301</v>
      </c>
    </row>
    <row r="434" spans="1:5" ht="15">
      <c r="A434" s="13">
        <v>54362</v>
      </c>
      <c r="B434" s="4">
        <f>30.2276 * CHOOSE(CONTROL!$C$9, $C$13, 100%, $E$13) + CHOOSE(CONTROL!$C$28, 0.0226, 0)</f>
        <v>30.2502</v>
      </c>
      <c r="C434" s="4">
        <f>29.8643 * CHOOSE(CONTROL!$C$9, $C$13, 100%, $E$13) + CHOOSE(CONTROL!$C$28, 0.0226, 0)</f>
        <v>29.886900000000001</v>
      </c>
      <c r="D434" s="4">
        <f>43.0561 * CHOOSE(CONTROL!$C$9, $C$13, 100%, $E$13) + CHOOSE(CONTROL!$C$28, 0.0021, 0)</f>
        <v>43.058199999999999</v>
      </c>
      <c r="E434" s="4">
        <f>197.315823556393 * CHOOSE(CONTROL!$C$9, $C$13, 100%, $E$13) + CHOOSE(CONTROL!$C$28, 0.0021, 0)</f>
        <v>197.31792355639303</v>
      </c>
    </row>
    <row r="435" spans="1:5" ht="15">
      <c r="A435" s="13">
        <v>54392</v>
      </c>
      <c r="B435" s="4">
        <f>29.5757 * CHOOSE(CONTROL!$C$9, $C$13, 100%, $E$13) + CHOOSE(CONTROL!$C$28, 0.0226, 0)</f>
        <v>29.598300000000002</v>
      </c>
      <c r="C435" s="4">
        <f>29.2124 * CHOOSE(CONTROL!$C$9, $C$13, 100%, $E$13) + CHOOSE(CONTROL!$C$28, 0.0226, 0)</f>
        <v>29.234999999999999</v>
      </c>
      <c r="D435" s="4">
        <f>42.8582 * CHOOSE(CONTROL!$C$9, $C$13, 100%, $E$13) + CHOOSE(CONTROL!$C$28, 0.0021, 0)</f>
        <v>42.860299999999995</v>
      </c>
      <c r="E435" s="4">
        <f>192.948212922829 * CHOOSE(CONTROL!$C$9, $C$13, 100%, $E$13) + CHOOSE(CONTROL!$C$28, 0.0021, 0)</f>
        <v>192.950312922829</v>
      </c>
    </row>
    <row r="436" spans="1:5" ht="15">
      <c r="A436" s="13">
        <v>54423</v>
      </c>
      <c r="B436" s="4">
        <f>29.1246 * CHOOSE(CONTROL!$C$9, $C$13, 100%, $E$13) + CHOOSE(CONTROL!$C$28, 0.0226, 0)</f>
        <v>29.147200000000002</v>
      </c>
      <c r="C436" s="4">
        <f>28.7613 * CHOOSE(CONTROL!$C$9, $C$13, 100%, $E$13) + CHOOSE(CONTROL!$C$28, 0.0226, 0)</f>
        <v>28.783899999999999</v>
      </c>
      <c r="D436" s="4">
        <f>41.4011 * CHOOSE(CONTROL!$C$9, $C$13, 100%, $E$13) + CHOOSE(CONTROL!$C$28, 0.0021, 0)</f>
        <v>41.403199999999998</v>
      </c>
      <c r="E436" s="4">
        <f>189.926387796393 * CHOOSE(CONTROL!$C$9, $C$13, 100%, $E$13) + CHOOSE(CONTROL!$C$28, 0.0021, 0)</f>
        <v>189.928487796393</v>
      </c>
    </row>
    <row r="437" spans="1:5" ht="15">
      <c r="A437" s="13">
        <v>54454</v>
      </c>
      <c r="B437" s="4">
        <f>27.8904 * CHOOSE(CONTROL!$C$9, $C$13, 100%, $E$13) + CHOOSE(CONTROL!$C$28, 0.0226, 0)</f>
        <v>27.913</v>
      </c>
      <c r="C437" s="4">
        <f>27.5271 * CHOOSE(CONTROL!$C$9, $C$13, 100%, $E$13) + CHOOSE(CONTROL!$C$28, 0.0226, 0)</f>
        <v>27.549700000000001</v>
      </c>
      <c r="D437" s="4">
        <f>39.796 * CHOOSE(CONTROL!$C$9, $C$13, 100%, $E$13) + CHOOSE(CONTROL!$C$28, 0.0021, 0)</f>
        <v>39.798099999999998</v>
      </c>
      <c r="E437" s="4">
        <f>182.015181995867 * CHOOSE(CONTROL!$C$9, $C$13, 100%, $E$13) + CHOOSE(CONTROL!$C$28, 0.0021, 0)</f>
        <v>182.01728199586702</v>
      </c>
    </row>
    <row r="438" spans="1:5" ht="15">
      <c r="A438" s="13">
        <v>54482</v>
      </c>
      <c r="B438" s="4">
        <f>28.5343 * CHOOSE(CONTROL!$C$9, $C$13, 100%, $E$13) + CHOOSE(CONTROL!$C$28, 0.0226, 0)</f>
        <v>28.556900000000002</v>
      </c>
      <c r="C438" s="4">
        <f>28.171 * CHOOSE(CONTROL!$C$9, $C$13, 100%, $E$13) + CHOOSE(CONTROL!$C$28, 0.0226, 0)</f>
        <v>28.1936</v>
      </c>
      <c r="D438" s="4">
        <f>41.1352 * CHOOSE(CONTROL!$C$9, $C$13, 100%, $E$13) + CHOOSE(CONTROL!$C$28, 0.0021, 0)</f>
        <v>41.137299999999996</v>
      </c>
      <c r="E438" s="4">
        <f>186.336939721798 * CHOOSE(CONTROL!$C$9, $C$13, 100%, $E$13) + CHOOSE(CONTROL!$C$28, 0.0021, 0)</f>
        <v>186.339039721798</v>
      </c>
    </row>
    <row r="439" spans="1:5" ht="15">
      <c r="A439" s="13">
        <v>54513</v>
      </c>
      <c r="B439" s="4">
        <f>30.2251 * CHOOSE(CONTROL!$C$9, $C$13, 100%, $E$13) + CHOOSE(CONTROL!$C$28, 0.0226, 0)</f>
        <v>30.247700000000002</v>
      </c>
      <c r="C439" s="4">
        <f>29.8618 * CHOOSE(CONTROL!$C$9, $C$13, 100%, $E$13) + CHOOSE(CONTROL!$C$28, 0.0226, 0)</f>
        <v>29.884399999999999</v>
      </c>
      <c r="D439" s="4">
        <f>43.2316 * CHOOSE(CONTROL!$C$9, $C$13, 100%, $E$13) + CHOOSE(CONTROL!$C$28, 0.0021, 0)</f>
        <v>43.233699999999999</v>
      </c>
      <c r="E439" s="4">
        <f>197.686105182247 * CHOOSE(CONTROL!$C$9, $C$13, 100%, $E$13) + CHOOSE(CONTROL!$C$28, 0.0021, 0)</f>
        <v>197.688205182247</v>
      </c>
    </row>
    <row r="440" spans="1:5" ht="15">
      <c r="A440" s="13">
        <v>54543</v>
      </c>
      <c r="B440" s="4">
        <f>31.4265 * CHOOSE(CONTROL!$C$9, $C$13, 100%, $E$13) + CHOOSE(CONTROL!$C$28, 0.0226, 0)</f>
        <v>31.449100000000001</v>
      </c>
      <c r="C440" s="4">
        <f>31.0632 * CHOOSE(CONTROL!$C$9, $C$13, 100%, $E$13) + CHOOSE(CONTROL!$C$28, 0.0226, 0)</f>
        <v>31.085799999999999</v>
      </c>
      <c r="D440" s="4">
        <f>44.4392 * CHOOSE(CONTROL!$C$9, $C$13, 100%, $E$13) + CHOOSE(CONTROL!$C$28, 0.0021, 0)</f>
        <v>44.441299999999998</v>
      </c>
      <c r="E440" s="4">
        <f>205.749838489412 * CHOOSE(CONTROL!$C$9, $C$13, 100%, $E$13) + CHOOSE(CONTROL!$C$28, 0.0021, 0)</f>
        <v>205.75193848941203</v>
      </c>
    </row>
    <row r="441" spans="1:5" ht="15">
      <c r="A441" s="13">
        <v>54574</v>
      </c>
      <c r="B441" s="4">
        <f>32.1605 * CHOOSE(CONTROL!$C$9, $C$13, 100%, $E$13) + CHOOSE(CONTROL!$C$28, 0.0226, 0)</f>
        <v>32.183099999999996</v>
      </c>
      <c r="C441" s="4">
        <f>31.7972 * CHOOSE(CONTROL!$C$9, $C$13, 100%, $E$13) + CHOOSE(CONTROL!$C$28, 0.0226, 0)</f>
        <v>31.819800000000001</v>
      </c>
      <c r="D441" s="4">
        <f>43.962 * CHOOSE(CONTROL!$C$9, $C$13, 100%, $E$13) + CHOOSE(CONTROL!$C$28, 0.0021, 0)</f>
        <v>43.964100000000002</v>
      </c>
      <c r="E441" s="4">
        <f>210.676586279374 * CHOOSE(CONTROL!$C$9, $C$13, 100%, $E$13) + CHOOSE(CONTROL!$C$28, 0.0021, 0)</f>
        <v>210.67868627937401</v>
      </c>
    </row>
    <row r="442" spans="1:5" ht="15">
      <c r="A442" s="13">
        <v>54604</v>
      </c>
      <c r="B442" s="4">
        <f>32.2598 * CHOOSE(CONTROL!$C$9, $C$13, 100%, $E$13) + CHOOSE(CONTROL!$C$28, 0.0226, 0)</f>
        <v>32.282399999999996</v>
      </c>
      <c r="C442" s="4">
        <f>31.8965 * CHOOSE(CONTROL!$C$9, $C$13, 100%, $E$13) + CHOOSE(CONTROL!$C$28, 0.0226, 0)</f>
        <v>31.9191</v>
      </c>
      <c r="D442" s="4">
        <f>44.3507 * CHOOSE(CONTROL!$C$9, $C$13, 100%, $E$13) + CHOOSE(CONTROL!$C$28, 0.0021, 0)</f>
        <v>44.352800000000002</v>
      </c>
      <c r="E442" s="4">
        <f>211.34319570178 * CHOOSE(CONTROL!$C$9, $C$13, 100%, $E$13) + CHOOSE(CONTROL!$C$28, 0.0021, 0)</f>
        <v>211.34529570178</v>
      </c>
    </row>
    <row r="443" spans="1:5" ht="15">
      <c r="A443" s="13">
        <v>54635</v>
      </c>
      <c r="B443" s="4">
        <f>32.2498 * CHOOSE(CONTROL!$C$9, $C$13, 100%, $E$13) + CHOOSE(CONTROL!$C$28, 0.0226, 0)</f>
        <v>32.272399999999998</v>
      </c>
      <c r="C443" s="4">
        <f>31.8865 * CHOOSE(CONTROL!$C$9, $C$13, 100%, $E$13) + CHOOSE(CONTROL!$C$28, 0.0226, 0)</f>
        <v>31.909100000000002</v>
      </c>
      <c r="D443" s="4">
        <f>45.0519 * CHOOSE(CONTROL!$C$9, $C$13, 100%, $E$13) + CHOOSE(CONTROL!$C$28, 0.0021, 0)</f>
        <v>45.054000000000002</v>
      </c>
      <c r="E443" s="4">
        <f>211.275974583554 * CHOOSE(CONTROL!$C$9, $C$13, 100%, $E$13) + CHOOSE(CONTROL!$C$28, 0.0021, 0)</f>
        <v>211.278074583554</v>
      </c>
    </row>
    <row r="444" spans="1:5" ht="15">
      <c r="A444" s="13">
        <v>54666</v>
      </c>
      <c r="B444" s="4">
        <f>33.0034 * CHOOSE(CONTROL!$C$9, $C$13, 100%, $E$13) + CHOOSE(CONTROL!$C$28, 0.0226, 0)</f>
        <v>33.025999999999996</v>
      </c>
      <c r="C444" s="4">
        <f>32.6401 * CHOOSE(CONTROL!$C$9, $C$13, 100%, $E$13) + CHOOSE(CONTROL!$C$28, 0.0226, 0)</f>
        <v>32.662699999999994</v>
      </c>
      <c r="D444" s="4">
        <f>44.5888 * CHOOSE(CONTROL!$C$9, $C$13, 100%, $E$13) + CHOOSE(CONTROL!$C$28, 0.0021, 0)</f>
        <v>44.590899999999998</v>
      </c>
      <c r="E444" s="4">
        <f>216.334363730042 * CHOOSE(CONTROL!$C$9, $C$13, 100%, $E$13) + CHOOSE(CONTROL!$C$28, 0.0021, 0)</f>
        <v>216.33646373004203</v>
      </c>
    </row>
    <row r="445" spans="1:5" ht="15">
      <c r="A445" s="13">
        <v>54696</v>
      </c>
      <c r="B445" s="4">
        <f>31.719 * CHOOSE(CONTROL!$C$9, $C$13, 100%, $E$13) + CHOOSE(CONTROL!$C$28, 0.0226, 0)</f>
        <v>31.741600000000002</v>
      </c>
      <c r="C445" s="4">
        <f>31.3557 * CHOOSE(CONTROL!$C$9, $C$13, 100%, $E$13) + CHOOSE(CONTROL!$C$28, 0.0226, 0)</f>
        <v>31.378299999999999</v>
      </c>
      <c r="D445" s="4">
        <f>44.37 * CHOOSE(CONTROL!$C$9, $C$13, 100%, $E$13) + CHOOSE(CONTROL!$C$28, 0.0021, 0)</f>
        <v>44.372099999999996</v>
      </c>
      <c r="E445" s="4">
        <f>207.713255317589 * CHOOSE(CONTROL!$C$9, $C$13, 100%, $E$13) + CHOOSE(CONTROL!$C$28, 0.0021, 0)</f>
        <v>207.715355317589</v>
      </c>
    </row>
    <row r="446" spans="1:5" ht="15">
      <c r="A446" s="13">
        <v>54727</v>
      </c>
      <c r="B446" s="4">
        <f>30.6908 * CHOOSE(CONTROL!$C$9, $C$13, 100%, $E$13) + CHOOSE(CONTROL!$C$28, 0.0226, 0)</f>
        <v>30.7134</v>
      </c>
      <c r="C446" s="4">
        <f>30.3275 * CHOOSE(CONTROL!$C$9, $C$13, 100%, $E$13) + CHOOSE(CONTROL!$C$28, 0.0226, 0)</f>
        <v>30.350100000000001</v>
      </c>
      <c r="D446" s="4">
        <f>43.7842 * CHOOSE(CONTROL!$C$9, $C$13, 100%, $E$13) + CHOOSE(CONTROL!$C$28, 0.0021, 0)</f>
        <v>43.786299999999997</v>
      </c>
      <c r="E446" s="4">
        <f>200.811887179744 * CHOOSE(CONTROL!$C$9, $C$13, 100%, $E$13) + CHOOSE(CONTROL!$C$28, 0.0021, 0)</f>
        <v>200.813987179744</v>
      </c>
    </row>
    <row r="447" spans="1:5" ht="15">
      <c r="A447" s="13">
        <v>54757</v>
      </c>
      <c r="B447" s="4">
        <f>30.0286 * CHOOSE(CONTROL!$C$9, $C$13, 100%, $E$13) + CHOOSE(CONTROL!$C$28, 0.0226, 0)</f>
        <v>30.051200000000001</v>
      </c>
      <c r="C447" s="4">
        <f>29.6653 * CHOOSE(CONTROL!$C$9, $C$13, 100%, $E$13) + CHOOSE(CONTROL!$C$28, 0.0226, 0)</f>
        <v>29.687899999999999</v>
      </c>
      <c r="D447" s="4">
        <f>43.5827 * CHOOSE(CONTROL!$C$9, $C$13, 100%, $E$13) + CHOOSE(CONTROL!$C$28, 0.0021, 0)</f>
        <v>43.584800000000001</v>
      </c>
      <c r="E447" s="4">
        <f>196.366890737066 * CHOOSE(CONTROL!$C$9, $C$13, 100%, $E$13) + CHOOSE(CONTROL!$C$28, 0.0021, 0)</f>
        <v>196.36899073706601</v>
      </c>
    </row>
    <row r="448" spans="1:5" ht="15">
      <c r="A448" s="13">
        <v>54788</v>
      </c>
      <c r="B448" s="4">
        <f>29.5704 * CHOOSE(CONTROL!$C$9, $C$13, 100%, $E$13) + CHOOSE(CONTROL!$C$28, 0.0226, 0)</f>
        <v>29.593</v>
      </c>
      <c r="C448" s="4">
        <f>29.2071 * CHOOSE(CONTROL!$C$9, $C$13, 100%, $E$13) + CHOOSE(CONTROL!$C$28, 0.0226, 0)</f>
        <v>29.229700000000001</v>
      </c>
      <c r="D448" s="4">
        <f>42.0999 * CHOOSE(CONTROL!$C$9, $C$13, 100%, $E$13) + CHOOSE(CONTROL!$C$28, 0.0021, 0)</f>
        <v>42.101999999999997</v>
      </c>
      <c r="E448" s="4">
        <f>193.291524578238 * CHOOSE(CONTROL!$C$9, $C$13, 100%, $E$13) + CHOOSE(CONTROL!$C$28, 0.0021, 0)</f>
        <v>193.29362457823802</v>
      </c>
    </row>
    <row r="449" spans="1:5" ht="15">
      <c r="A449" s="13">
        <v>54819</v>
      </c>
      <c r="B449" s="4">
        <f>28.3168 * CHOOSE(CONTROL!$C$9, $C$13, 100%, $E$13) + CHOOSE(CONTROL!$C$28, 0.0226, 0)</f>
        <v>28.339400000000001</v>
      </c>
      <c r="C449" s="4">
        <f>27.9536 * CHOOSE(CONTROL!$C$9, $C$13, 100%, $E$13) + CHOOSE(CONTROL!$C$28, 0.0226, 0)</f>
        <v>27.976200000000002</v>
      </c>
      <c r="D449" s="4">
        <f>40.4664 * CHOOSE(CONTROL!$C$9, $C$13, 100%, $E$13) + CHOOSE(CONTROL!$C$28, 0.0021, 0)</f>
        <v>40.468499999999999</v>
      </c>
      <c r="E449" s="4">
        <f>185.240147156817 * CHOOSE(CONTROL!$C$9, $C$13, 100%, $E$13) + CHOOSE(CONTROL!$C$28, 0.0021, 0)</f>
        <v>185.242247156817</v>
      </c>
    </row>
    <row r="450" spans="1:5" ht="15">
      <c r="A450" s="13">
        <v>54847</v>
      </c>
      <c r="B450" s="4">
        <f>28.9708 * CHOOSE(CONTROL!$C$9, $C$13, 100%, $E$13) + CHOOSE(CONTROL!$C$28, 0.0226, 0)</f>
        <v>28.993400000000001</v>
      </c>
      <c r="C450" s="4">
        <f>28.6075 * CHOOSE(CONTROL!$C$9, $C$13, 100%, $E$13) + CHOOSE(CONTROL!$C$28, 0.0226, 0)</f>
        <v>28.630100000000002</v>
      </c>
      <c r="D450" s="4">
        <f>41.8293 * CHOOSE(CONTROL!$C$9, $C$13, 100%, $E$13) + CHOOSE(CONTROL!$C$28, 0.0021, 0)</f>
        <v>41.831400000000002</v>
      </c>
      <c r="E450" s="4">
        <f>189.638478264965 * CHOOSE(CONTROL!$C$9, $C$13, 100%, $E$13) + CHOOSE(CONTROL!$C$28, 0.0021, 0)</f>
        <v>189.640578264965</v>
      </c>
    </row>
    <row r="451" spans="1:5" ht="15">
      <c r="A451" s="13">
        <v>54878</v>
      </c>
      <c r="B451" s="4">
        <f>30.6882 * CHOOSE(CONTROL!$C$9, $C$13, 100%, $E$13) + CHOOSE(CONTROL!$C$28, 0.0226, 0)</f>
        <v>30.710799999999999</v>
      </c>
      <c r="C451" s="4">
        <f>30.3249 * CHOOSE(CONTROL!$C$9, $C$13, 100%, $E$13) + CHOOSE(CONTROL!$C$28, 0.0226, 0)</f>
        <v>30.3475</v>
      </c>
      <c r="D451" s="4">
        <f>43.9627 * CHOOSE(CONTROL!$C$9, $C$13, 100%, $E$13) + CHOOSE(CONTROL!$C$28, 0.0021, 0)</f>
        <v>43.964799999999997</v>
      </c>
      <c r="E451" s="4">
        <f>201.188729496471 * CHOOSE(CONTROL!$C$9, $C$13, 100%, $E$13) + CHOOSE(CONTROL!$C$28, 0.0021, 0)</f>
        <v>201.19082949647103</v>
      </c>
    </row>
    <row r="452" spans="1:5" ht="15">
      <c r="A452" s="13">
        <v>54908</v>
      </c>
      <c r="B452" s="4">
        <f>31.9085 * CHOOSE(CONTROL!$C$9, $C$13, 100%, $E$13) + CHOOSE(CONTROL!$C$28, 0.0226, 0)</f>
        <v>31.931100000000001</v>
      </c>
      <c r="C452" s="4">
        <f>31.5452 * CHOOSE(CONTROL!$C$9, $C$13, 100%, $E$13) + CHOOSE(CONTROL!$C$28, 0.0226, 0)</f>
        <v>31.567800000000002</v>
      </c>
      <c r="D452" s="4">
        <f>45.1917 * CHOOSE(CONTROL!$C$9, $C$13, 100%, $E$13) + CHOOSE(CONTROL!$C$28, 0.0021, 0)</f>
        <v>45.193799999999996</v>
      </c>
      <c r="E452" s="4">
        <f>209.395336923792 * CHOOSE(CONTROL!$C$9, $C$13, 100%, $E$13) + CHOOSE(CONTROL!$C$28, 0.0021, 0)</f>
        <v>209.39743692379201</v>
      </c>
    </row>
    <row r="453" spans="1:5" ht="15">
      <c r="A453" s="13">
        <v>54939</v>
      </c>
      <c r="B453" s="4">
        <f>32.654 * CHOOSE(CONTROL!$C$9, $C$13, 100%, $E$13) + CHOOSE(CONTROL!$C$28, 0.0226, 0)</f>
        <v>32.676600000000001</v>
      </c>
      <c r="C453" s="4">
        <f>32.2907 * CHOOSE(CONTROL!$C$9, $C$13, 100%, $E$13) + CHOOSE(CONTROL!$C$28, 0.0226, 0)</f>
        <v>32.313299999999998</v>
      </c>
      <c r="D453" s="4">
        <f>44.7061 * CHOOSE(CONTROL!$C$9, $C$13, 100%, $E$13) + CHOOSE(CONTROL!$C$28, 0.0021, 0)</f>
        <v>44.708199999999998</v>
      </c>
      <c r="E453" s="4">
        <f>214.409377376956 * CHOOSE(CONTROL!$C$9, $C$13, 100%, $E$13) + CHOOSE(CONTROL!$C$28, 0.0021, 0)</f>
        <v>214.41147737695601</v>
      </c>
    </row>
    <row r="454" spans="1:5" ht="15">
      <c r="A454" s="13">
        <v>54969</v>
      </c>
      <c r="B454" s="4">
        <f>32.7549 * CHOOSE(CONTROL!$C$9, $C$13, 100%, $E$13) + CHOOSE(CONTROL!$C$28, 0.0226, 0)</f>
        <v>32.777499999999996</v>
      </c>
      <c r="C454" s="4">
        <f>32.3916 * CHOOSE(CONTROL!$C$9, $C$13, 100%, $E$13) + CHOOSE(CONTROL!$C$28, 0.0226, 0)</f>
        <v>32.414199999999994</v>
      </c>
      <c r="D454" s="4">
        <f>45.1016 * CHOOSE(CONTROL!$C$9, $C$13, 100%, $E$13) + CHOOSE(CONTROL!$C$28, 0.0021, 0)</f>
        <v>45.103699999999996</v>
      </c>
      <c r="E454" s="4">
        <f>215.087797858964 * CHOOSE(CONTROL!$C$9, $C$13, 100%, $E$13) + CHOOSE(CONTROL!$C$28, 0.0021, 0)</f>
        <v>215.08989785896401</v>
      </c>
    </row>
    <row r="455" spans="1:5" ht="15">
      <c r="A455" s="13">
        <v>55000</v>
      </c>
      <c r="B455" s="4">
        <f>32.7447 * CHOOSE(CONTROL!$C$9, $C$13, 100%, $E$13) + CHOOSE(CONTROL!$C$28, 0.0226, 0)</f>
        <v>32.767299999999999</v>
      </c>
      <c r="C455" s="4">
        <f>32.3814 * CHOOSE(CONTROL!$C$9, $C$13, 100%, $E$13) + CHOOSE(CONTROL!$C$28, 0.0226, 0)</f>
        <v>32.403999999999996</v>
      </c>
      <c r="D455" s="4">
        <f>45.8152 * CHOOSE(CONTROL!$C$9, $C$13, 100%, $E$13) + CHOOSE(CONTROL!$C$28, 0.0021, 0)</f>
        <v>45.817299999999996</v>
      </c>
      <c r="E455" s="4">
        <f>215.019385709518 * CHOOSE(CONTROL!$C$9, $C$13, 100%, $E$13) + CHOOSE(CONTROL!$C$28, 0.0021, 0)</f>
        <v>215.021485709518</v>
      </c>
    </row>
    <row r="456" spans="1:5" ht="15">
      <c r="A456" s="13">
        <v>55031</v>
      </c>
      <c r="B456" s="4">
        <f>33.5102 * CHOOSE(CONTROL!$C$9, $C$13, 100%, $E$13) + CHOOSE(CONTROL!$C$28, 0.0226, 0)</f>
        <v>33.532799999999995</v>
      </c>
      <c r="C456" s="4">
        <f>33.1469 * CHOOSE(CONTROL!$C$9, $C$13, 100%, $E$13) + CHOOSE(CONTROL!$C$28, 0.0226, 0)</f>
        <v>33.169499999999999</v>
      </c>
      <c r="D456" s="4">
        <f>45.3439 * CHOOSE(CONTROL!$C$9, $C$13, 100%, $E$13) + CHOOSE(CONTROL!$C$28, 0.0021, 0)</f>
        <v>45.345999999999997</v>
      </c>
      <c r="E456" s="4">
        <f>220.167399955347 * CHOOSE(CONTROL!$C$9, $C$13, 100%, $E$13) + CHOOSE(CONTROL!$C$28, 0.0021, 0)</f>
        <v>220.16949995534702</v>
      </c>
    </row>
    <row r="457" spans="1:5" ht="15">
      <c r="A457" s="13">
        <v>55061</v>
      </c>
      <c r="B457" s="4">
        <f>32.2056 * CHOOSE(CONTROL!$C$9, $C$13, 100%, $E$13) + CHOOSE(CONTROL!$C$28, 0.0226, 0)</f>
        <v>32.228199999999994</v>
      </c>
      <c r="C457" s="4">
        <f>31.8423 * CHOOSE(CONTROL!$C$9, $C$13, 100%, $E$13) + CHOOSE(CONTROL!$C$28, 0.0226, 0)</f>
        <v>31.864900000000002</v>
      </c>
      <c r="D457" s="4">
        <f>45.1212 * CHOOSE(CONTROL!$C$9, $C$13, 100%, $E$13) + CHOOSE(CONTROL!$C$28, 0.0021, 0)</f>
        <v>45.1233</v>
      </c>
      <c r="E457" s="4">
        <f>211.393541788868 * CHOOSE(CONTROL!$C$9, $C$13, 100%, $E$13) + CHOOSE(CONTROL!$C$28, 0.0021, 0)</f>
        <v>211.39564178886801</v>
      </c>
    </row>
    <row r="458" spans="1:5" ht="15">
      <c r="A458" s="13">
        <v>55092</v>
      </c>
      <c r="B458" s="4">
        <f>31.1612 * CHOOSE(CONTROL!$C$9, $C$13, 100%, $E$13) + CHOOSE(CONTROL!$C$28, 0.0226, 0)</f>
        <v>31.183800000000002</v>
      </c>
      <c r="C458" s="4">
        <f>30.798 * CHOOSE(CONTROL!$C$9, $C$13, 100%, $E$13) + CHOOSE(CONTROL!$C$28, 0.0226, 0)</f>
        <v>30.820599999999999</v>
      </c>
      <c r="D458" s="4">
        <f>44.525 * CHOOSE(CONTROL!$C$9, $C$13, 100%, $E$13) + CHOOSE(CONTROL!$C$28, 0.0021, 0)</f>
        <v>44.527099999999997</v>
      </c>
      <c r="E458" s="4">
        <f>204.369894445721 * CHOOSE(CONTROL!$C$9, $C$13, 100%, $E$13) + CHOOSE(CONTROL!$C$28, 0.0021, 0)</f>
        <v>204.37199444572101</v>
      </c>
    </row>
    <row r="459" spans="1:5" ht="15">
      <c r="A459" s="13">
        <v>55122</v>
      </c>
      <c r="B459" s="4">
        <f>30.4886 * CHOOSE(CONTROL!$C$9, $C$13, 100%, $E$13) + CHOOSE(CONTROL!$C$28, 0.0226, 0)</f>
        <v>30.511200000000002</v>
      </c>
      <c r="C459" s="4">
        <f>30.1253 * CHOOSE(CONTROL!$C$9, $C$13, 100%, $E$13) + CHOOSE(CONTROL!$C$28, 0.0226, 0)</f>
        <v>30.1479</v>
      </c>
      <c r="D459" s="4">
        <f>44.3201 * CHOOSE(CONTROL!$C$9, $C$13, 100%, $E$13) + CHOOSE(CONTROL!$C$28, 0.0021, 0)</f>
        <v>44.322199999999995</v>
      </c>
      <c r="E459" s="4">
        <f>199.846141063588 * CHOOSE(CONTROL!$C$9, $C$13, 100%, $E$13) + CHOOSE(CONTROL!$C$28, 0.0021, 0)</f>
        <v>199.84824106358801</v>
      </c>
    </row>
    <row r="460" spans="1:5" ht="15">
      <c r="A460" s="13">
        <v>55153</v>
      </c>
      <c r="B460" s="4">
        <f>30.0232 * CHOOSE(CONTROL!$C$9, $C$13, 100%, $E$13) + CHOOSE(CONTROL!$C$28, 0.0226, 0)</f>
        <v>30.0458</v>
      </c>
      <c r="C460" s="4">
        <f>29.6599 * CHOOSE(CONTROL!$C$9, $C$13, 100%, $E$13) + CHOOSE(CONTROL!$C$28, 0.0226, 0)</f>
        <v>29.682500000000001</v>
      </c>
      <c r="D460" s="4">
        <f>42.811 * CHOOSE(CONTROL!$C$9, $C$13, 100%, $E$13) + CHOOSE(CONTROL!$C$28, 0.0021, 0)</f>
        <v>42.813099999999999</v>
      </c>
      <c r="E460" s="4">
        <f>196.716285226423 * CHOOSE(CONTROL!$C$9, $C$13, 100%, $E$13) + CHOOSE(CONTROL!$C$28, 0.0021, 0)</f>
        <v>196.71838522642301</v>
      </c>
    </row>
    <row r="461" spans="1:5" ht="15">
      <c r="A461" s="13">
        <v>55184</v>
      </c>
      <c r="B461" s="4">
        <f>28.7499 * CHOOSE(CONTROL!$C$9, $C$13, 100%, $E$13) + CHOOSE(CONTROL!$C$28, 0.0226, 0)</f>
        <v>28.772500000000001</v>
      </c>
      <c r="C461" s="4">
        <f>28.3867 * CHOOSE(CONTROL!$C$9, $C$13, 100%, $E$13) + CHOOSE(CONTROL!$C$28, 0.0226, 0)</f>
        <v>28.409300000000002</v>
      </c>
      <c r="D461" s="4">
        <f>41.1487 * CHOOSE(CONTROL!$C$9, $C$13, 100%, $E$13) + CHOOSE(CONTROL!$C$28, 0.0021, 0)</f>
        <v>41.150799999999997</v>
      </c>
      <c r="E461" s="4">
        <f>188.522252607798 * CHOOSE(CONTROL!$C$9, $C$13, 100%, $E$13) + CHOOSE(CONTROL!$C$28, 0.0021, 0)</f>
        <v>188.52435260779802</v>
      </c>
    </row>
    <row r="462" spans="1:5" ht="15">
      <c r="A462" s="13">
        <v>55212</v>
      </c>
      <c r="B462" s="4">
        <f>29.4142 * CHOOSE(CONTROL!$C$9, $C$13, 100%, $E$13) + CHOOSE(CONTROL!$C$28, 0.0226, 0)</f>
        <v>29.436800000000002</v>
      </c>
      <c r="C462" s="4">
        <f>29.0509 * CHOOSE(CONTROL!$C$9, $C$13, 100%, $E$13) + CHOOSE(CONTROL!$C$28, 0.0226, 0)</f>
        <v>29.073499999999999</v>
      </c>
      <c r="D462" s="4">
        <f>42.5356 * CHOOSE(CONTROL!$C$9, $C$13, 100%, $E$13) + CHOOSE(CONTROL!$C$28, 0.0021, 0)</f>
        <v>42.537700000000001</v>
      </c>
      <c r="E462" s="4">
        <f>192.998513833833 * CHOOSE(CONTROL!$C$9, $C$13, 100%, $E$13) + CHOOSE(CONTROL!$C$28, 0.0021, 0)</f>
        <v>193.000613833833</v>
      </c>
    </row>
    <row r="463" spans="1:5" ht="15">
      <c r="A463" s="13">
        <v>55243</v>
      </c>
      <c r="B463" s="4">
        <f>31.1586 * CHOOSE(CONTROL!$C$9, $C$13, 100%, $E$13) + CHOOSE(CONTROL!$C$28, 0.0226, 0)</f>
        <v>31.1812</v>
      </c>
      <c r="C463" s="4">
        <f>30.7954 * CHOOSE(CONTROL!$C$9, $C$13, 100%, $E$13) + CHOOSE(CONTROL!$C$28, 0.0226, 0)</f>
        <v>30.818000000000001</v>
      </c>
      <c r="D463" s="4">
        <f>44.7068 * CHOOSE(CONTROL!$C$9, $C$13, 100%, $E$13) + CHOOSE(CONTROL!$C$28, 0.0021, 0)</f>
        <v>44.7089</v>
      </c>
      <c r="E463" s="4">
        <f>204.753413696367 * CHOOSE(CONTROL!$C$9, $C$13, 100%, $E$13) + CHOOSE(CONTROL!$C$28, 0.0021, 0)</f>
        <v>204.75551369636702</v>
      </c>
    </row>
    <row r="464" spans="1:5" ht="15">
      <c r="A464" s="13">
        <v>55273</v>
      </c>
      <c r="B464" s="4">
        <f>32.3981 * CHOOSE(CONTROL!$C$9, $C$13, 100%, $E$13) + CHOOSE(CONTROL!$C$28, 0.0226, 0)</f>
        <v>32.420699999999997</v>
      </c>
      <c r="C464" s="4">
        <f>32.0348 * CHOOSE(CONTROL!$C$9, $C$13, 100%, $E$13) + CHOOSE(CONTROL!$C$28, 0.0226, 0)</f>
        <v>32.057399999999994</v>
      </c>
      <c r="D464" s="4">
        <f>45.9574 * CHOOSE(CONTROL!$C$9, $C$13, 100%, $E$13) + CHOOSE(CONTROL!$C$28, 0.0021, 0)</f>
        <v>45.959499999999998</v>
      </c>
      <c r="E464" s="4">
        <f>213.105426703335 * CHOOSE(CONTROL!$C$9, $C$13, 100%, $E$13) + CHOOSE(CONTROL!$C$28, 0.0021, 0)</f>
        <v>213.10752670333503</v>
      </c>
    </row>
    <row r="465" spans="1:5" ht="15">
      <c r="A465" s="13">
        <v>55304</v>
      </c>
      <c r="B465" s="4">
        <f>33.1553 * CHOOSE(CONTROL!$C$9, $C$13, 100%, $E$13) + CHOOSE(CONTROL!$C$28, 0.0226, 0)</f>
        <v>33.177899999999994</v>
      </c>
      <c r="C465" s="4">
        <f>32.792 * CHOOSE(CONTROL!$C$9, $C$13, 100%, $E$13) + CHOOSE(CONTROL!$C$28, 0.0226, 0)</f>
        <v>32.814599999999999</v>
      </c>
      <c r="D465" s="4">
        <f>45.4632 * CHOOSE(CONTROL!$C$9, $C$13, 100%, $E$13) + CHOOSE(CONTROL!$C$28, 0.0021, 0)</f>
        <v>45.465299999999999</v>
      </c>
      <c r="E465" s="4">
        <f>218.208306480778 * CHOOSE(CONTROL!$C$9, $C$13, 100%, $E$13) + CHOOSE(CONTROL!$C$28, 0.0021, 0)</f>
        <v>218.210406480778</v>
      </c>
    </row>
    <row r="466" spans="1:5" ht="15">
      <c r="A466" s="13">
        <v>55334</v>
      </c>
      <c r="B466" s="4">
        <f>33.2578 * CHOOSE(CONTROL!$C$9, $C$13, 100%, $E$13) + CHOOSE(CONTROL!$C$28, 0.0226, 0)</f>
        <v>33.2804</v>
      </c>
      <c r="C466" s="4">
        <f>32.8945 * CHOOSE(CONTROL!$C$9, $C$13, 100%, $E$13) + CHOOSE(CONTROL!$C$28, 0.0226, 0)</f>
        <v>32.917099999999998</v>
      </c>
      <c r="D466" s="4">
        <f>45.8657 * CHOOSE(CONTROL!$C$9, $C$13, 100%, $E$13) + CHOOSE(CONTROL!$C$28, 0.0021, 0)</f>
        <v>45.867799999999995</v>
      </c>
      <c r="E466" s="4">
        <f>218.898747292052 * CHOOSE(CONTROL!$C$9, $C$13, 100%, $E$13) + CHOOSE(CONTROL!$C$28, 0.0021, 0)</f>
        <v>218.90084729205202</v>
      </c>
    </row>
    <row r="467" spans="1:5" ht="15">
      <c r="A467" s="13">
        <v>55365</v>
      </c>
      <c r="B467" s="4">
        <f>33.2475 * CHOOSE(CONTROL!$C$9, $C$13, 100%, $E$13) + CHOOSE(CONTROL!$C$28, 0.0226, 0)</f>
        <v>33.270099999999999</v>
      </c>
      <c r="C467" s="4">
        <f>32.8842 * CHOOSE(CONTROL!$C$9, $C$13, 100%, $E$13) + CHOOSE(CONTROL!$C$28, 0.0226, 0)</f>
        <v>32.906799999999997</v>
      </c>
      <c r="D467" s="4">
        <f>46.5919 * CHOOSE(CONTROL!$C$9, $C$13, 100%, $E$13) + CHOOSE(CONTROL!$C$28, 0.0021, 0)</f>
        <v>46.594000000000001</v>
      </c>
      <c r="E467" s="4">
        <f>218.829123008563 * CHOOSE(CONTROL!$C$9, $C$13, 100%, $E$13) + CHOOSE(CONTROL!$C$28, 0.0021, 0)</f>
        <v>218.831223008563</v>
      </c>
    </row>
    <row r="468" spans="1:5" ht="15">
      <c r="A468" s="13">
        <v>55396</v>
      </c>
      <c r="B468" s="4">
        <f>34.025 * CHOOSE(CONTROL!$C$9, $C$13, 100%, $E$13) + CHOOSE(CONTROL!$C$28, 0.0226, 0)</f>
        <v>34.047599999999996</v>
      </c>
      <c r="C468" s="4">
        <f>33.6617 * CHOOSE(CONTROL!$C$9, $C$13, 100%, $E$13) + CHOOSE(CONTROL!$C$28, 0.0226, 0)</f>
        <v>33.6843</v>
      </c>
      <c r="D468" s="4">
        <f>46.1123 * CHOOSE(CONTROL!$C$9, $C$13, 100%, $E$13) + CHOOSE(CONTROL!$C$28, 0.0021, 0)</f>
        <v>46.114399999999996</v>
      </c>
      <c r="E468" s="4">
        <f>224.068350341173 * CHOOSE(CONTROL!$C$9, $C$13, 100%, $E$13) + CHOOSE(CONTROL!$C$28, 0.0021, 0)</f>
        <v>224.070450341173</v>
      </c>
    </row>
    <row r="469" spans="1:5" ht="15">
      <c r="A469" s="13">
        <v>55426</v>
      </c>
      <c r="B469" s="4">
        <f>32.6999 * CHOOSE(CONTROL!$C$9, $C$13, 100%, $E$13) + CHOOSE(CONTROL!$C$28, 0.0226, 0)</f>
        <v>32.722499999999997</v>
      </c>
      <c r="C469" s="4">
        <f>32.3366 * CHOOSE(CONTROL!$C$9, $C$13, 100%, $E$13) + CHOOSE(CONTROL!$C$28, 0.0226, 0)</f>
        <v>32.359199999999994</v>
      </c>
      <c r="D469" s="4">
        <f>45.8857 * CHOOSE(CONTROL!$C$9, $C$13, 100%, $E$13) + CHOOSE(CONTROL!$C$28, 0.0021, 0)</f>
        <v>45.887799999999999</v>
      </c>
      <c r="E469" s="4">
        <f>215.139035983601 * CHOOSE(CONTROL!$C$9, $C$13, 100%, $E$13) + CHOOSE(CONTROL!$C$28, 0.0021, 0)</f>
        <v>215.141135983601</v>
      </c>
    </row>
    <row r="470" spans="1:5" ht="15">
      <c r="A470" s="13">
        <v>55457</v>
      </c>
      <c r="B470" s="4">
        <f>31.6391 * CHOOSE(CONTROL!$C$9, $C$13, 100%, $E$13) + CHOOSE(CONTROL!$C$28, 0.0226, 0)</f>
        <v>31.6617</v>
      </c>
      <c r="C470" s="4">
        <f>31.2758 * CHOOSE(CONTROL!$C$9, $C$13, 100%, $E$13) + CHOOSE(CONTROL!$C$28, 0.0226, 0)</f>
        <v>31.298400000000001</v>
      </c>
      <c r="D470" s="4">
        <f>45.279 * CHOOSE(CONTROL!$C$9, $C$13, 100%, $E$13) + CHOOSE(CONTROL!$C$28, 0.0021, 0)</f>
        <v>45.281100000000002</v>
      </c>
      <c r="E470" s="4">
        <f>207.990942878644 * CHOOSE(CONTROL!$C$9, $C$13, 100%, $E$13) + CHOOSE(CONTROL!$C$28, 0.0021, 0)</f>
        <v>207.99304287864402</v>
      </c>
    </row>
    <row r="471" spans="1:5" ht="15">
      <c r="A471" s="13">
        <v>55487</v>
      </c>
      <c r="B471" s="4">
        <f>30.9559 * CHOOSE(CONTROL!$C$9, $C$13, 100%, $E$13) + CHOOSE(CONTROL!$C$28, 0.0226, 0)</f>
        <v>30.9785</v>
      </c>
      <c r="C471" s="4">
        <f>30.5926 * CHOOSE(CONTROL!$C$9, $C$13, 100%, $E$13) + CHOOSE(CONTROL!$C$28, 0.0226, 0)</f>
        <v>30.615200000000002</v>
      </c>
      <c r="D471" s="4">
        <f>45.0704 * CHOOSE(CONTROL!$C$9, $C$13, 100%, $E$13) + CHOOSE(CONTROL!$C$28, 0.0021, 0)</f>
        <v>45.072499999999998</v>
      </c>
      <c r="E471" s="4">
        <f>203.387037132879 * CHOOSE(CONTROL!$C$9, $C$13, 100%, $E$13) + CHOOSE(CONTROL!$C$28, 0.0021, 0)</f>
        <v>203.389137132879</v>
      </c>
    </row>
    <row r="472" spans="1:5" ht="15">
      <c r="A472" s="13">
        <v>55518</v>
      </c>
      <c r="B472" s="4">
        <f>30.4832 * CHOOSE(CONTROL!$C$9, $C$13, 100%, $E$13) + CHOOSE(CONTROL!$C$28, 0.0226, 0)</f>
        <v>30.505800000000001</v>
      </c>
      <c r="C472" s="4">
        <f>30.1199 * CHOOSE(CONTROL!$C$9, $C$13, 100%, $E$13) + CHOOSE(CONTROL!$C$28, 0.0226, 0)</f>
        <v>30.142500000000002</v>
      </c>
      <c r="D472" s="4">
        <f>43.5347 * CHOOSE(CONTROL!$C$9, $C$13, 100%, $E$13) + CHOOSE(CONTROL!$C$28, 0.0021, 0)</f>
        <v>43.536799999999999</v>
      </c>
      <c r="E472" s="4">
        <f>200.201726163219 * CHOOSE(CONTROL!$C$9, $C$13, 100%, $E$13) + CHOOSE(CONTROL!$C$28, 0.0021, 0)</f>
        <v>200.20382616321902</v>
      </c>
    </row>
    <row r="473" spans="1:5" ht="15">
      <c r="A473" s="13">
        <v>55549</v>
      </c>
      <c r="B473" s="4">
        <f>29.1899 * CHOOSE(CONTROL!$C$9, $C$13, 100%, $E$13) + CHOOSE(CONTROL!$C$28, 0.0226, 0)</f>
        <v>29.212500000000002</v>
      </c>
      <c r="C473" s="4">
        <f>28.8266 * CHOOSE(CONTROL!$C$9, $C$13, 100%, $E$13) + CHOOSE(CONTROL!$C$28, 0.0226, 0)</f>
        <v>28.8492</v>
      </c>
      <c r="D473" s="4">
        <f>41.843 * CHOOSE(CONTROL!$C$9, $C$13, 100%, $E$13) + CHOOSE(CONTROL!$C$28, 0.0021, 0)</f>
        <v>41.845100000000002</v>
      </c>
      <c r="E473" s="4">
        <f>191.8625107668 * CHOOSE(CONTROL!$C$9, $C$13, 100%, $E$13) + CHOOSE(CONTROL!$C$28, 0.0021, 0)</f>
        <v>191.86461076680001</v>
      </c>
    </row>
    <row r="474" spans="1:5" ht="15">
      <c r="A474" s="13">
        <v>55577</v>
      </c>
      <c r="B474" s="4">
        <f>29.8646 * CHOOSE(CONTROL!$C$9, $C$13, 100%, $E$13) + CHOOSE(CONTROL!$C$28, 0.0226, 0)</f>
        <v>29.8872</v>
      </c>
      <c r="C474" s="4">
        <f>29.5013 * CHOOSE(CONTROL!$C$9, $C$13, 100%, $E$13) + CHOOSE(CONTROL!$C$28, 0.0226, 0)</f>
        <v>29.523900000000001</v>
      </c>
      <c r="D474" s="4">
        <f>43.2544 * CHOOSE(CONTROL!$C$9, $C$13, 100%, $E$13) + CHOOSE(CONTROL!$C$28, 0.0021, 0)</f>
        <v>43.256499999999996</v>
      </c>
      <c r="E474" s="4">
        <f>196.418082885184 * CHOOSE(CONTROL!$C$9, $C$13, 100%, $E$13) + CHOOSE(CONTROL!$C$28, 0.0021, 0)</f>
        <v>196.420182885184</v>
      </c>
    </row>
    <row r="475" spans="1:5" ht="15">
      <c r="A475" s="13">
        <v>55609</v>
      </c>
      <c r="B475" s="4">
        <f>31.6364 * CHOOSE(CONTROL!$C$9, $C$13, 100%, $E$13) + CHOOSE(CONTROL!$C$28, 0.0226, 0)</f>
        <v>31.658999999999999</v>
      </c>
      <c r="C475" s="4">
        <f>31.2732 * CHOOSE(CONTROL!$C$9, $C$13, 100%, $E$13) + CHOOSE(CONTROL!$C$28, 0.0226, 0)</f>
        <v>31.2958</v>
      </c>
      <c r="D475" s="4">
        <f>45.4639 * CHOOSE(CONTROL!$C$9, $C$13, 100%, $E$13) + CHOOSE(CONTROL!$C$28, 0.0021, 0)</f>
        <v>45.466000000000001</v>
      </c>
      <c r="E475" s="4">
        <f>208.381257365866 * CHOOSE(CONTROL!$C$9, $C$13, 100%, $E$13) + CHOOSE(CONTROL!$C$28, 0.0021, 0)</f>
        <v>208.383357365866</v>
      </c>
    </row>
    <row r="476" spans="1:5" ht="15">
      <c r="A476" s="13">
        <v>55639</v>
      </c>
      <c r="B476" s="4">
        <f>32.8954 * CHOOSE(CONTROL!$C$9, $C$13, 100%, $E$13) + CHOOSE(CONTROL!$C$28, 0.0226, 0)</f>
        <v>32.917999999999999</v>
      </c>
      <c r="C476" s="4">
        <f>32.5321 * CHOOSE(CONTROL!$C$9, $C$13, 100%, $E$13) + CHOOSE(CONTROL!$C$28, 0.0226, 0)</f>
        <v>32.554699999999997</v>
      </c>
      <c r="D476" s="4">
        <f>46.7367 * CHOOSE(CONTROL!$C$9, $C$13, 100%, $E$13) + CHOOSE(CONTROL!$C$28, 0.0021, 0)</f>
        <v>46.738799999999998</v>
      </c>
      <c r="E476" s="4">
        <f>216.881252264652 * CHOOSE(CONTROL!$C$9, $C$13, 100%, $E$13) + CHOOSE(CONTROL!$C$28, 0.0021, 0)</f>
        <v>216.88335226465202</v>
      </c>
    </row>
    <row r="477" spans="1:5" ht="15">
      <c r="A477" s="13">
        <v>55670</v>
      </c>
      <c r="B477" s="4">
        <f>33.6645 * CHOOSE(CONTROL!$C$9, $C$13, 100%, $E$13) + CHOOSE(CONTROL!$C$28, 0.0226, 0)</f>
        <v>33.687099999999994</v>
      </c>
      <c r="C477" s="4">
        <f>33.3013 * CHOOSE(CONTROL!$C$9, $C$13, 100%, $E$13) + CHOOSE(CONTROL!$C$28, 0.0226, 0)</f>
        <v>33.323899999999995</v>
      </c>
      <c r="D477" s="4">
        <f>46.2338 * CHOOSE(CONTROL!$C$9, $C$13, 100%, $E$13) + CHOOSE(CONTROL!$C$28, 0.0021, 0)</f>
        <v>46.235900000000001</v>
      </c>
      <c r="E477" s="4">
        <f>222.074545431364 * CHOOSE(CONTROL!$C$9, $C$13, 100%, $E$13) + CHOOSE(CONTROL!$C$28, 0.0021, 0)</f>
        <v>222.076645431364</v>
      </c>
    </row>
    <row r="478" spans="1:5" ht="15">
      <c r="A478" s="13">
        <v>55700</v>
      </c>
      <c r="B478" s="4">
        <f>33.7686 * CHOOSE(CONTROL!$C$9, $C$13, 100%, $E$13) + CHOOSE(CONTROL!$C$28, 0.0226, 0)</f>
        <v>33.791199999999996</v>
      </c>
      <c r="C478" s="4">
        <f>33.4053 * CHOOSE(CONTROL!$C$9, $C$13, 100%, $E$13) + CHOOSE(CONTROL!$C$28, 0.0226, 0)</f>
        <v>33.427899999999994</v>
      </c>
      <c r="D478" s="4">
        <f>46.6434 * CHOOSE(CONTROL!$C$9, $C$13, 100%, $E$13) + CHOOSE(CONTROL!$C$28, 0.0021, 0)</f>
        <v>46.645499999999998</v>
      </c>
      <c r="E478" s="4">
        <f>222.77721954943 * CHOOSE(CONTROL!$C$9, $C$13, 100%, $E$13) + CHOOSE(CONTROL!$C$28, 0.0021, 0)</f>
        <v>222.77931954943</v>
      </c>
    </row>
    <row r="479" spans="1:5" ht="15">
      <c r="A479" s="13">
        <v>55731</v>
      </c>
      <c r="B479" s="4">
        <f>33.7581 * CHOOSE(CONTROL!$C$9, $C$13, 100%, $E$13) + CHOOSE(CONTROL!$C$28, 0.0226, 0)</f>
        <v>33.780699999999996</v>
      </c>
      <c r="C479" s="4">
        <f>33.3948 * CHOOSE(CONTROL!$C$9, $C$13, 100%, $E$13) + CHOOSE(CONTROL!$C$28, 0.0226, 0)</f>
        <v>33.417399999999994</v>
      </c>
      <c r="D479" s="4">
        <f>47.3824 * CHOOSE(CONTROL!$C$9, $C$13, 100%, $E$13) + CHOOSE(CONTROL!$C$28, 0.0021, 0)</f>
        <v>47.384499999999996</v>
      </c>
      <c r="E479" s="4">
        <f>222.706361655171 * CHOOSE(CONTROL!$C$9, $C$13, 100%, $E$13) + CHOOSE(CONTROL!$C$28, 0.0021, 0)</f>
        <v>222.70846165517102</v>
      </c>
    </row>
    <row r="480" spans="1:5" ht="15">
      <c r="A480" s="13">
        <v>55762</v>
      </c>
      <c r="B480" s="4">
        <f>34.5478 * CHOOSE(CONTROL!$C$9, $C$13, 100%, $E$13) + CHOOSE(CONTROL!$C$28, 0.0226, 0)</f>
        <v>34.570399999999999</v>
      </c>
      <c r="C480" s="4">
        <f>34.1846 * CHOOSE(CONTROL!$C$9, $C$13, 100%, $E$13) + CHOOSE(CONTROL!$C$28, 0.0226, 0)</f>
        <v>34.2072</v>
      </c>
      <c r="D480" s="4">
        <f>46.8943 * CHOOSE(CONTROL!$C$9, $C$13, 100%, $E$13) + CHOOSE(CONTROL!$C$28, 0.0021, 0)</f>
        <v>46.8964</v>
      </c>
      <c r="E480" s="4">
        <f>228.03841819814 * CHOOSE(CONTROL!$C$9, $C$13, 100%, $E$13) + CHOOSE(CONTROL!$C$28, 0.0021, 0)</f>
        <v>228.04051819814001</v>
      </c>
    </row>
    <row r="481" spans="1:5" ht="15">
      <c r="A481" s="13">
        <v>55792</v>
      </c>
      <c r="B481" s="4">
        <f>33.2019 * CHOOSE(CONTROL!$C$9, $C$13, 100%, $E$13) + CHOOSE(CONTROL!$C$28, 0.0226, 0)</f>
        <v>33.224499999999999</v>
      </c>
      <c r="C481" s="4">
        <f>32.8386 * CHOOSE(CONTROL!$C$9, $C$13, 100%, $E$13) + CHOOSE(CONTROL!$C$28, 0.0226, 0)</f>
        <v>32.861199999999997</v>
      </c>
      <c r="D481" s="4">
        <f>46.6637 * CHOOSE(CONTROL!$C$9, $C$13, 100%, $E$13) + CHOOSE(CONTROL!$C$28, 0.0021, 0)</f>
        <v>46.665799999999997</v>
      </c>
      <c r="E481" s="4">
        <f>218.950893259459 * CHOOSE(CONTROL!$C$9, $C$13, 100%, $E$13) + CHOOSE(CONTROL!$C$28, 0.0021, 0)</f>
        <v>218.95299325945902</v>
      </c>
    </row>
    <row r="482" spans="1:5" ht="15">
      <c r="A482" s="13">
        <v>55823</v>
      </c>
      <c r="B482" s="4">
        <f>32.1244 * CHOOSE(CONTROL!$C$9, $C$13, 100%, $E$13) + CHOOSE(CONTROL!$C$28, 0.0226, 0)</f>
        <v>32.146999999999998</v>
      </c>
      <c r="C482" s="4">
        <f>31.7612 * CHOOSE(CONTROL!$C$9, $C$13, 100%, $E$13) + CHOOSE(CONTROL!$C$28, 0.0226, 0)</f>
        <v>31.783799999999999</v>
      </c>
      <c r="D482" s="4">
        <f>46.0463 * CHOOSE(CONTROL!$C$9, $C$13, 100%, $E$13) + CHOOSE(CONTROL!$C$28, 0.0021, 0)</f>
        <v>46.048400000000001</v>
      </c>
      <c r="E482" s="4">
        <f>211.676149448896 * CHOOSE(CONTROL!$C$9, $C$13, 100%, $E$13) + CHOOSE(CONTROL!$C$28, 0.0021, 0)</f>
        <v>211.67824944889603</v>
      </c>
    </row>
    <row r="483" spans="1:5" ht="15">
      <c r="A483" s="13">
        <v>55853</v>
      </c>
      <c r="B483" s="4">
        <f>31.4305 * CHOOSE(CONTROL!$C$9, $C$13, 100%, $E$13) + CHOOSE(CONTROL!$C$28, 0.0226, 0)</f>
        <v>31.453099999999999</v>
      </c>
      <c r="C483" s="4">
        <f>31.0672 * CHOOSE(CONTROL!$C$9, $C$13, 100%, $E$13) + CHOOSE(CONTROL!$C$28, 0.0226, 0)</f>
        <v>31.0898</v>
      </c>
      <c r="D483" s="4">
        <f>45.834 * CHOOSE(CONTROL!$C$9, $C$13, 100%, $E$13) + CHOOSE(CONTROL!$C$28, 0.0021, 0)</f>
        <v>45.836100000000002</v>
      </c>
      <c r="E483" s="4">
        <f>206.990671191038 * CHOOSE(CONTROL!$C$9, $C$13, 100%, $E$13) + CHOOSE(CONTROL!$C$28, 0.0021, 0)</f>
        <v>206.992771191038</v>
      </c>
    </row>
    <row r="484" spans="1:5" ht="15">
      <c r="A484" s="13">
        <v>55884</v>
      </c>
      <c r="B484" s="4">
        <f>30.9504 * CHOOSE(CONTROL!$C$9, $C$13, 100%, $E$13) + CHOOSE(CONTROL!$C$28, 0.0226, 0)</f>
        <v>30.972999999999999</v>
      </c>
      <c r="C484" s="4">
        <f>30.5871 * CHOOSE(CONTROL!$C$9, $C$13, 100%, $E$13) + CHOOSE(CONTROL!$C$28, 0.0226, 0)</f>
        <v>30.6097</v>
      </c>
      <c r="D484" s="4">
        <f>44.2712 * CHOOSE(CONTROL!$C$9, $C$13, 100%, $E$13) + CHOOSE(CONTROL!$C$28, 0.0021, 0)</f>
        <v>44.273299999999999</v>
      </c>
      <c r="E484" s="4">
        <f>203.748922528701 * CHOOSE(CONTROL!$C$9, $C$13, 100%, $E$13) + CHOOSE(CONTROL!$C$28, 0.0021, 0)</f>
        <v>203.75102252870101</v>
      </c>
    </row>
    <row r="485" spans="1:5" ht="15">
      <c r="A485" s="13">
        <v>55915</v>
      </c>
      <c r="B485" s="4">
        <f>29.6367 * CHOOSE(CONTROL!$C$9, $C$13, 100%, $E$13) + CHOOSE(CONTROL!$C$28, 0.0226, 0)</f>
        <v>29.659300000000002</v>
      </c>
      <c r="C485" s="4">
        <f>29.2734 * CHOOSE(CONTROL!$C$9, $C$13, 100%, $E$13) + CHOOSE(CONTROL!$C$28, 0.0226, 0)</f>
        <v>29.295999999999999</v>
      </c>
      <c r="D485" s="4">
        <f>42.5496 * CHOOSE(CONTROL!$C$9, $C$13, 100%, $E$13) + CHOOSE(CONTROL!$C$28, 0.0021, 0)</f>
        <v>42.551699999999997</v>
      </c>
      <c r="E485" s="4">
        <f>195.261951989947 * CHOOSE(CONTROL!$C$9, $C$13, 100%, $E$13) + CHOOSE(CONTROL!$C$28, 0.0021, 0)</f>
        <v>195.26405198994701</v>
      </c>
    </row>
    <row r="486" spans="1:5" ht="15">
      <c r="A486" s="13">
        <v>55943</v>
      </c>
      <c r="B486" s="4">
        <f>30.3221 * CHOOSE(CONTROL!$C$9, $C$13, 100%, $E$13) + CHOOSE(CONTROL!$C$28, 0.0226, 0)</f>
        <v>30.3447</v>
      </c>
      <c r="C486" s="4">
        <f>29.9588 * CHOOSE(CONTROL!$C$9, $C$13, 100%, $E$13) + CHOOSE(CONTROL!$C$28, 0.0226, 0)</f>
        <v>29.981400000000001</v>
      </c>
      <c r="D486" s="4">
        <f>43.9859 * CHOOSE(CONTROL!$C$9, $C$13, 100%, $E$13) + CHOOSE(CONTROL!$C$28, 0.0021, 0)</f>
        <v>43.988</v>
      </c>
      <c r="E486" s="4">
        <f>199.898240239859 * CHOOSE(CONTROL!$C$9, $C$13, 100%, $E$13) + CHOOSE(CONTROL!$C$28, 0.0021, 0)</f>
        <v>199.90034023985902</v>
      </c>
    </row>
    <row r="487" spans="1:5" ht="15">
      <c r="A487" s="13">
        <v>55974</v>
      </c>
      <c r="B487" s="4">
        <f>32.1218 * CHOOSE(CONTROL!$C$9, $C$13, 100%, $E$13) + CHOOSE(CONTROL!$C$28, 0.0226, 0)</f>
        <v>32.144399999999997</v>
      </c>
      <c r="C487" s="4">
        <f>31.7585 * CHOOSE(CONTROL!$C$9, $C$13, 100%, $E$13) + CHOOSE(CONTROL!$C$28, 0.0226, 0)</f>
        <v>31.781100000000002</v>
      </c>
      <c r="D487" s="4">
        <f>46.2345 * CHOOSE(CONTROL!$C$9, $C$13, 100%, $E$13) + CHOOSE(CONTROL!$C$28, 0.0021, 0)</f>
        <v>46.236599999999996</v>
      </c>
      <c r="E487" s="4">
        <f>212.073379571447 * CHOOSE(CONTROL!$C$9, $C$13, 100%, $E$13) + CHOOSE(CONTROL!$C$28, 0.0021, 0)</f>
        <v>212.075479571447</v>
      </c>
    </row>
    <row r="488" spans="1:5" ht="15">
      <c r="A488" s="13">
        <v>56004</v>
      </c>
      <c r="B488" s="4">
        <f>33.4005 * CHOOSE(CONTROL!$C$9, $C$13, 100%, $E$13) + CHOOSE(CONTROL!$C$28, 0.0226, 0)</f>
        <v>33.423099999999998</v>
      </c>
      <c r="C488" s="4">
        <f>33.0372 * CHOOSE(CONTROL!$C$9, $C$13, 100%, $E$13) + CHOOSE(CONTROL!$C$28, 0.0226, 0)</f>
        <v>33.059799999999996</v>
      </c>
      <c r="D488" s="4">
        <f>47.5297 * CHOOSE(CONTROL!$C$9, $C$13, 100%, $E$13) + CHOOSE(CONTROL!$C$28, 0.0021, 0)</f>
        <v>47.531799999999997</v>
      </c>
      <c r="E488" s="4">
        <f>220.723978321605 * CHOOSE(CONTROL!$C$9, $C$13, 100%, $E$13) + CHOOSE(CONTROL!$C$28, 0.0021, 0)</f>
        <v>220.726078321605</v>
      </c>
    </row>
    <row r="489" spans="1:5" ht="15">
      <c r="A489" s="13">
        <v>56035</v>
      </c>
      <c r="B489" s="4">
        <f>34.1817 * CHOOSE(CONTROL!$C$9, $C$13, 100%, $E$13) + CHOOSE(CONTROL!$C$28, 0.0226, 0)</f>
        <v>34.204299999999996</v>
      </c>
      <c r="C489" s="4">
        <f>33.8185 * CHOOSE(CONTROL!$C$9, $C$13, 100%, $E$13) + CHOOSE(CONTROL!$C$28, 0.0226, 0)</f>
        <v>33.841099999999997</v>
      </c>
      <c r="D489" s="4">
        <f>47.0179 * CHOOSE(CONTROL!$C$9, $C$13, 100%, $E$13) + CHOOSE(CONTROL!$C$28, 0.0021, 0)</f>
        <v>47.019999999999996</v>
      </c>
      <c r="E489" s="4">
        <f>226.009286832036 * CHOOSE(CONTROL!$C$9, $C$13, 100%, $E$13) + CHOOSE(CONTROL!$C$28, 0.0021, 0)</f>
        <v>226.01138683203601</v>
      </c>
    </row>
    <row r="490" spans="1:5" ht="15">
      <c r="A490" s="13">
        <v>56065</v>
      </c>
      <c r="B490" s="4">
        <f>34.2875 * CHOOSE(CONTROL!$C$9, $C$13, 100%, $E$13) + CHOOSE(CONTROL!$C$28, 0.0226, 0)</f>
        <v>34.310099999999998</v>
      </c>
      <c r="C490" s="4">
        <f>33.9242 * CHOOSE(CONTROL!$C$9, $C$13, 100%, $E$13) + CHOOSE(CONTROL!$C$28, 0.0226, 0)</f>
        <v>33.946799999999996</v>
      </c>
      <c r="D490" s="4">
        <f>47.4348 * CHOOSE(CONTROL!$C$9, $C$13, 100%, $E$13) + CHOOSE(CONTROL!$C$28, 0.0021, 0)</f>
        <v>47.436900000000001</v>
      </c>
      <c r="E490" s="4">
        <f>226.724411007978 * CHOOSE(CONTROL!$C$9, $C$13, 100%, $E$13) + CHOOSE(CONTROL!$C$28, 0.0021, 0)</f>
        <v>226.72651100797802</v>
      </c>
    </row>
    <row r="491" spans="1:5" ht="15">
      <c r="A491" s="13">
        <v>56096</v>
      </c>
      <c r="B491" s="4">
        <f>34.2768 * CHOOSE(CONTROL!$C$9, $C$13, 100%, $E$13) + CHOOSE(CONTROL!$C$28, 0.0226, 0)</f>
        <v>34.299399999999999</v>
      </c>
      <c r="C491" s="4">
        <f>33.9135 * CHOOSE(CONTROL!$C$9, $C$13, 100%, $E$13) + CHOOSE(CONTROL!$C$28, 0.0226, 0)</f>
        <v>33.936099999999996</v>
      </c>
      <c r="D491" s="4">
        <f>48.1869 * CHOOSE(CONTROL!$C$9, $C$13, 100%, $E$13) + CHOOSE(CONTROL!$C$28, 0.0021, 0)</f>
        <v>48.189</v>
      </c>
      <c r="E491" s="4">
        <f>226.652297645698 * CHOOSE(CONTROL!$C$9, $C$13, 100%, $E$13) + CHOOSE(CONTROL!$C$28, 0.0021, 0)</f>
        <v>226.65439764569803</v>
      </c>
    </row>
    <row r="492" spans="1:5" ht="15">
      <c r="A492" s="13">
        <v>56127</v>
      </c>
      <c r="B492" s="4">
        <f>35.0789 * CHOOSE(CONTROL!$C$9, $C$13, 100%, $E$13) + CHOOSE(CONTROL!$C$28, 0.0226, 0)</f>
        <v>35.101499999999994</v>
      </c>
      <c r="C492" s="4">
        <f>34.7157 * CHOOSE(CONTROL!$C$9, $C$13, 100%, $E$13) + CHOOSE(CONTROL!$C$28, 0.0226, 0)</f>
        <v>34.738299999999995</v>
      </c>
      <c r="D492" s="4">
        <f>47.6902 * CHOOSE(CONTROL!$C$9, $C$13, 100%, $E$13) + CHOOSE(CONTROL!$C$28, 0.0021, 0)</f>
        <v>47.692299999999996</v>
      </c>
      <c r="E492" s="4">
        <f>232.07882815726 * CHOOSE(CONTROL!$C$9, $C$13, 100%, $E$13) + CHOOSE(CONTROL!$C$28, 0.0021, 0)</f>
        <v>232.08092815726002</v>
      </c>
    </row>
    <row r="493" spans="1:5" ht="15">
      <c r="A493" s="13">
        <v>56157</v>
      </c>
      <c r="B493" s="4">
        <f>33.7118 * CHOOSE(CONTROL!$C$9, $C$13, 100%, $E$13) + CHOOSE(CONTROL!$C$28, 0.0226, 0)</f>
        <v>33.734399999999994</v>
      </c>
      <c r="C493" s="4">
        <f>33.3485 * CHOOSE(CONTROL!$C$9, $C$13, 100%, $E$13) + CHOOSE(CONTROL!$C$28, 0.0226, 0)</f>
        <v>33.371099999999998</v>
      </c>
      <c r="D493" s="4">
        <f>47.4555 * CHOOSE(CONTROL!$C$9, $C$13, 100%, $E$13) + CHOOSE(CONTROL!$C$28, 0.0021, 0)</f>
        <v>47.457599999999999</v>
      </c>
      <c r="E493" s="4">
        <f>222.830289444864 * CHOOSE(CONTROL!$C$9, $C$13, 100%, $E$13) + CHOOSE(CONTROL!$C$28, 0.0021, 0)</f>
        <v>222.83238944486402</v>
      </c>
    </row>
    <row r="494" spans="1:5" ht="15">
      <c r="A494" s="13">
        <v>56188</v>
      </c>
      <c r="B494" s="4">
        <f>32.6174 * CHOOSE(CONTROL!$C$9, $C$13, 100%, $E$13) + CHOOSE(CONTROL!$C$28, 0.0226, 0)</f>
        <v>32.64</v>
      </c>
      <c r="C494" s="4">
        <f>32.2542 * CHOOSE(CONTROL!$C$9, $C$13, 100%, $E$13) + CHOOSE(CONTROL!$C$28, 0.0226, 0)</f>
        <v>32.276799999999994</v>
      </c>
      <c r="D494" s="4">
        <f>46.8271 * CHOOSE(CONTROL!$C$9, $C$13, 100%, $E$13) + CHOOSE(CONTROL!$C$28, 0.0021, 0)</f>
        <v>46.8292</v>
      </c>
      <c r="E494" s="4">
        <f>215.426650917462 * CHOOSE(CONTROL!$C$9, $C$13, 100%, $E$13) + CHOOSE(CONTROL!$C$28, 0.0021, 0)</f>
        <v>215.42875091746203</v>
      </c>
    </row>
    <row r="495" spans="1:5" ht="15">
      <c r="A495" s="13">
        <v>56218</v>
      </c>
      <c r="B495" s="4">
        <f>31.9126 * CHOOSE(CONTROL!$C$9, $C$13, 100%, $E$13) + CHOOSE(CONTROL!$C$28, 0.0226, 0)</f>
        <v>31.935200000000002</v>
      </c>
      <c r="C495" s="4">
        <f>31.5493 * CHOOSE(CONTROL!$C$9, $C$13, 100%, $E$13) + CHOOSE(CONTROL!$C$28, 0.0226, 0)</f>
        <v>31.571899999999999</v>
      </c>
      <c r="D495" s="4">
        <f>46.6111 * CHOOSE(CONTROL!$C$9, $C$13, 100%, $E$13) + CHOOSE(CONTROL!$C$28, 0.0021, 0)</f>
        <v>46.613199999999999</v>
      </c>
      <c r="E495" s="4">
        <f>210.658154836704 * CHOOSE(CONTROL!$C$9, $C$13, 100%, $E$13) + CHOOSE(CONTROL!$C$28, 0.0021, 0)</f>
        <v>210.66025483670401</v>
      </c>
    </row>
    <row r="496" spans="1:5" ht="15">
      <c r="A496" s="13">
        <v>56249</v>
      </c>
      <c r="B496" s="4">
        <f>31.4249 * CHOOSE(CONTROL!$C$9, $C$13, 100%, $E$13) + CHOOSE(CONTROL!$C$28, 0.0226, 0)</f>
        <v>31.447500000000002</v>
      </c>
      <c r="C496" s="4">
        <f>31.0616 * CHOOSE(CONTROL!$C$9, $C$13, 100%, $E$13) + CHOOSE(CONTROL!$C$28, 0.0226, 0)</f>
        <v>31.084199999999999</v>
      </c>
      <c r="D496" s="4">
        <f>45.0206 * CHOOSE(CONTROL!$C$9, $C$13, 100%, $E$13) + CHOOSE(CONTROL!$C$28, 0.0021, 0)</f>
        <v>45.0227</v>
      </c>
      <c r="E496" s="4">
        <f>207.358968512399 * CHOOSE(CONTROL!$C$9, $C$13, 100%, $E$13) + CHOOSE(CONTROL!$C$28, 0.0021, 0)</f>
        <v>207.36106851239902</v>
      </c>
    </row>
    <row r="497" spans="1:5" ht="15">
      <c r="A497" s="13">
        <v>56280</v>
      </c>
      <c r="B497" s="4">
        <f>30.0906 * CHOOSE(CONTROL!$C$9, $C$13, 100%, $E$13) + CHOOSE(CONTROL!$C$28, 0.0226, 0)</f>
        <v>30.113199999999999</v>
      </c>
      <c r="C497" s="4">
        <f>29.7273 * CHOOSE(CONTROL!$C$9, $C$13, 100%, $E$13) + CHOOSE(CONTROL!$C$28, 0.0226, 0)</f>
        <v>29.7499</v>
      </c>
      <c r="D497" s="4">
        <f>43.2686 * CHOOSE(CONTROL!$C$9, $C$13, 100%, $E$13) + CHOOSE(CONTROL!$C$28, 0.0021, 0)</f>
        <v>43.270699999999998</v>
      </c>
      <c r="E497" s="4">
        <f>198.721624889326 * CHOOSE(CONTROL!$C$9, $C$13, 100%, $E$13) + CHOOSE(CONTROL!$C$28, 0.0021, 0)</f>
        <v>198.72372488932601</v>
      </c>
    </row>
    <row r="498" spans="1:5" ht="15">
      <c r="A498" s="13">
        <v>56308</v>
      </c>
      <c r="B498" s="4">
        <f>30.7867 * CHOOSE(CONTROL!$C$9, $C$13, 100%, $E$13) + CHOOSE(CONTROL!$C$28, 0.0226, 0)</f>
        <v>30.8093</v>
      </c>
      <c r="C498" s="4">
        <f>30.4234 * CHOOSE(CONTROL!$C$9, $C$13, 100%, $E$13) + CHOOSE(CONTROL!$C$28, 0.0226, 0)</f>
        <v>30.446000000000002</v>
      </c>
      <c r="D498" s="4">
        <f>44.7304 * CHOOSE(CONTROL!$C$9, $C$13, 100%, $E$13) + CHOOSE(CONTROL!$C$28, 0.0021, 0)</f>
        <v>44.732500000000002</v>
      </c>
      <c r="E498" s="4">
        <f>203.440059408127 * CHOOSE(CONTROL!$C$9, $C$13, 100%, $E$13) + CHOOSE(CONTROL!$C$28, 0.0021, 0)</f>
        <v>203.44215940812703</v>
      </c>
    </row>
    <row r="499" spans="1:5" ht="15">
      <c r="A499" s="13">
        <v>56339</v>
      </c>
      <c r="B499" s="4">
        <f>32.6147 * CHOOSE(CONTROL!$C$9, $C$13, 100%, $E$13) + CHOOSE(CONTROL!$C$28, 0.0226, 0)</f>
        <v>32.637299999999996</v>
      </c>
      <c r="C499" s="4">
        <f>32.2514 * CHOOSE(CONTROL!$C$9, $C$13, 100%, $E$13) + CHOOSE(CONTROL!$C$28, 0.0226, 0)</f>
        <v>32.273999999999994</v>
      </c>
      <c r="D499" s="4">
        <f>47.0187 * CHOOSE(CONTROL!$C$9, $C$13, 100%, $E$13) + CHOOSE(CONTROL!$C$28, 0.0021, 0)</f>
        <v>47.020800000000001</v>
      </c>
      <c r="E499" s="4">
        <f>215.830919207335 * CHOOSE(CONTROL!$C$9, $C$13, 100%, $E$13) + CHOOSE(CONTROL!$C$28, 0.0021, 0)</f>
        <v>215.83301920733501</v>
      </c>
    </row>
    <row r="500" spans="1:5" ht="15">
      <c r="A500" s="13">
        <v>56369</v>
      </c>
      <c r="B500" s="4">
        <f>33.9135 * CHOOSE(CONTROL!$C$9, $C$13, 100%, $E$13) + CHOOSE(CONTROL!$C$28, 0.0226, 0)</f>
        <v>33.936099999999996</v>
      </c>
      <c r="C500" s="4">
        <f>33.5503 * CHOOSE(CONTROL!$C$9, $C$13, 100%, $E$13) + CHOOSE(CONTROL!$C$28, 0.0226, 0)</f>
        <v>33.572899999999997</v>
      </c>
      <c r="D500" s="4">
        <f>48.3368 * CHOOSE(CONTROL!$C$9, $C$13, 100%, $E$13) + CHOOSE(CONTROL!$C$28, 0.0021, 0)</f>
        <v>48.338899999999995</v>
      </c>
      <c r="E500" s="4">
        <f>224.634790224591 * CHOOSE(CONTROL!$C$9, $C$13, 100%, $E$13) + CHOOSE(CONTROL!$C$28, 0.0021, 0)</f>
        <v>224.63689022459101</v>
      </c>
    </row>
    <row r="501" spans="1:5" ht="15">
      <c r="A501" s="13">
        <v>56400</v>
      </c>
      <c r="B501" s="4">
        <f>34.7071 * CHOOSE(CONTROL!$C$9, $C$13, 100%, $E$13) + CHOOSE(CONTROL!$C$28, 0.0226, 0)</f>
        <v>34.729699999999994</v>
      </c>
      <c r="C501" s="4">
        <f>34.3438 * CHOOSE(CONTROL!$C$9, $C$13, 100%, $E$13) + CHOOSE(CONTROL!$C$28, 0.0226, 0)</f>
        <v>34.366399999999999</v>
      </c>
      <c r="D501" s="4">
        <f>47.8159 * CHOOSE(CONTROL!$C$9, $C$13, 100%, $E$13) + CHOOSE(CONTROL!$C$28, 0.0021, 0)</f>
        <v>47.817999999999998</v>
      </c>
      <c r="E501" s="4">
        <f>230.013744416794 * CHOOSE(CONTROL!$C$9, $C$13, 100%, $E$13) + CHOOSE(CONTROL!$C$28, 0.0021, 0)</f>
        <v>230.01584441679401</v>
      </c>
    </row>
    <row r="502" spans="1:5" ht="15">
      <c r="A502" s="13">
        <v>56430</v>
      </c>
      <c r="B502" s="4">
        <f>34.8145 * CHOOSE(CONTROL!$C$9, $C$13, 100%, $E$13) + CHOOSE(CONTROL!$C$28, 0.0226, 0)</f>
        <v>34.8371</v>
      </c>
      <c r="C502" s="4">
        <f>34.4512 * CHOOSE(CONTROL!$C$9, $C$13, 100%, $E$13) + CHOOSE(CONTROL!$C$28, 0.0226, 0)</f>
        <v>34.473799999999997</v>
      </c>
      <c r="D502" s="4">
        <f>48.2401 * CHOOSE(CONTROL!$C$9, $C$13, 100%, $E$13) + CHOOSE(CONTROL!$C$28, 0.0021, 0)</f>
        <v>48.242199999999997</v>
      </c>
      <c r="E502" s="4">
        <f>230.741539242117 * CHOOSE(CONTROL!$C$9, $C$13, 100%, $E$13) + CHOOSE(CONTROL!$C$28, 0.0021, 0)</f>
        <v>230.74363924211701</v>
      </c>
    </row>
    <row r="503" spans="1:5" ht="15">
      <c r="A503" s="13">
        <v>56461</v>
      </c>
      <c r="B503" s="4">
        <f>34.8036 * CHOOSE(CONTROL!$C$9, $C$13, 100%, $E$13) + CHOOSE(CONTROL!$C$28, 0.0226, 0)</f>
        <v>34.8262</v>
      </c>
      <c r="C503" s="4">
        <f>34.4403 * CHOOSE(CONTROL!$C$9, $C$13, 100%, $E$13) + CHOOSE(CONTROL!$C$28, 0.0226, 0)</f>
        <v>34.462899999999998</v>
      </c>
      <c r="D503" s="4">
        <f>49.0055 * CHOOSE(CONTROL!$C$9, $C$13, 100%, $E$13) + CHOOSE(CONTROL!$C$28, 0.0021, 0)</f>
        <v>49.007599999999996</v>
      </c>
      <c r="E503" s="4">
        <f>230.668148167295 * CHOOSE(CONTROL!$C$9, $C$13, 100%, $E$13) + CHOOSE(CONTROL!$C$28, 0.0021, 0)</f>
        <v>230.670248167295</v>
      </c>
    </row>
    <row r="504" spans="1:5" ht="15">
      <c r="A504" s="13">
        <v>56492</v>
      </c>
      <c r="B504" s="4">
        <f>35.6184 * CHOOSE(CONTROL!$C$9, $C$13, 100%, $E$13) + CHOOSE(CONTROL!$C$28, 0.0226, 0)</f>
        <v>35.640999999999998</v>
      </c>
      <c r="C504" s="4">
        <f>35.2551 * CHOOSE(CONTROL!$C$9, $C$13, 100%, $E$13) + CHOOSE(CONTROL!$C$28, 0.0226, 0)</f>
        <v>35.277699999999996</v>
      </c>
      <c r="D504" s="4">
        <f>48.5001 * CHOOSE(CONTROL!$C$9, $C$13, 100%, $E$13) + CHOOSE(CONTROL!$C$28, 0.0021, 0)</f>
        <v>48.502200000000002</v>
      </c>
      <c r="E504" s="4">
        <f>236.190826547692 * CHOOSE(CONTROL!$C$9, $C$13, 100%, $E$13) + CHOOSE(CONTROL!$C$28, 0.0021, 0)</f>
        <v>236.19292654769202</v>
      </c>
    </row>
    <row r="505" spans="1:5" ht="15">
      <c r="A505" s="13">
        <v>56522</v>
      </c>
      <c r="B505" s="4">
        <f>34.2298 * CHOOSE(CONTROL!$C$9, $C$13, 100%, $E$13) + CHOOSE(CONTROL!$C$28, 0.0226, 0)</f>
        <v>34.252399999999994</v>
      </c>
      <c r="C505" s="4">
        <f>33.8665 * CHOOSE(CONTROL!$C$9, $C$13, 100%, $E$13) + CHOOSE(CONTROL!$C$28, 0.0226, 0)</f>
        <v>33.889099999999999</v>
      </c>
      <c r="D505" s="4">
        <f>48.2612 * CHOOSE(CONTROL!$C$9, $C$13, 100%, $E$13) + CHOOSE(CONTROL!$C$28, 0.0021, 0)</f>
        <v>48.263300000000001</v>
      </c>
      <c r="E505" s="4">
        <f>226.778421201699 * CHOOSE(CONTROL!$C$9, $C$13, 100%, $E$13) + CHOOSE(CONTROL!$C$28, 0.0021, 0)</f>
        <v>226.780521201699</v>
      </c>
    </row>
    <row r="506" spans="1:5" ht="15">
      <c r="A506" s="13">
        <v>56553</v>
      </c>
      <c r="B506" s="4">
        <f>33.1182 * CHOOSE(CONTROL!$C$9, $C$13, 100%, $E$13) + CHOOSE(CONTROL!$C$28, 0.0226, 0)</f>
        <v>33.140799999999999</v>
      </c>
      <c r="C506" s="4">
        <f>32.7549 * CHOOSE(CONTROL!$C$9, $C$13, 100%, $E$13) + CHOOSE(CONTROL!$C$28, 0.0226, 0)</f>
        <v>32.777499999999996</v>
      </c>
      <c r="D506" s="4">
        <f>47.6218 * CHOOSE(CONTROL!$C$9, $C$13, 100%, $E$13) + CHOOSE(CONTROL!$C$28, 0.0021, 0)</f>
        <v>47.623899999999999</v>
      </c>
      <c r="E506" s="4">
        <f>219.243604186584 * CHOOSE(CONTROL!$C$9, $C$13, 100%, $E$13) + CHOOSE(CONTROL!$C$28, 0.0021, 0)</f>
        <v>219.24570418658402</v>
      </c>
    </row>
    <row r="507" spans="1:5" ht="15">
      <c r="A507" s="13">
        <v>56583</v>
      </c>
      <c r="B507" s="4">
        <f>32.4022 * CHOOSE(CONTROL!$C$9, $C$13, 100%, $E$13) + CHOOSE(CONTROL!$C$28, 0.0226, 0)</f>
        <v>32.424799999999998</v>
      </c>
      <c r="C507" s="4">
        <f>32.0389 * CHOOSE(CONTROL!$C$9, $C$13, 100%, $E$13) + CHOOSE(CONTROL!$C$28, 0.0226, 0)</f>
        <v>32.061499999999995</v>
      </c>
      <c r="D507" s="4">
        <f>47.4019 * CHOOSE(CONTROL!$C$9, $C$13, 100%, $E$13) + CHOOSE(CONTROL!$C$28, 0.0021, 0)</f>
        <v>47.403999999999996</v>
      </c>
      <c r="E507" s="4">
        <f>214.390619363942 * CHOOSE(CONTROL!$C$9, $C$13, 100%, $E$13) + CHOOSE(CONTROL!$C$28, 0.0021, 0)</f>
        <v>214.39271936394201</v>
      </c>
    </row>
    <row r="508" spans="1:5" ht="15">
      <c r="A508" s="13">
        <v>56614</v>
      </c>
      <c r="B508" s="4">
        <f>31.9069 * CHOOSE(CONTROL!$C$9, $C$13, 100%, $E$13) + CHOOSE(CONTROL!$C$28, 0.0226, 0)</f>
        <v>31.929500000000001</v>
      </c>
      <c r="C508" s="4">
        <f>31.5436 * CHOOSE(CONTROL!$C$9, $C$13, 100%, $E$13) + CHOOSE(CONTROL!$C$28, 0.0226, 0)</f>
        <v>31.566200000000002</v>
      </c>
      <c r="D508" s="4">
        <f>45.7834 * CHOOSE(CONTROL!$C$9, $C$13, 100%, $E$13) + CHOOSE(CONTROL!$C$28, 0.0021, 0)</f>
        <v>45.785499999999999</v>
      </c>
      <c r="E508" s="4">
        <f>211.03297769081 * CHOOSE(CONTROL!$C$9, $C$13, 100%, $E$13) + CHOOSE(CONTROL!$C$28, 0.0021, 0)</f>
        <v>211.03507769081</v>
      </c>
    </row>
    <row r="509" spans="1:5" ht="15">
      <c r="A509" s="13">
        <v>56645</v>
      </c>
      <c r="B509" s="4">
        <f>30.5516 * CHOOSE(CONTROL!$C$9, $C$13, 100%, $E$13) + CHOOSE(CONTROL!$C$28, 0.0226, 0)</f>
        <v>30.574200000000001</v>
      </c>
      <c r="C509" s="4">
        <f>30.1883 * CHOOSE(CONTROL!$C$9, $C$13, 100%, $E$13) + CHOOSE(CONTROL!$C$28, 0.0226, 0)</f>
        <v>30.210900000000002</v>
      </c>
      <c r="D509" s="4">
        <f>44.0004 * CHOOSE(CONTROL!$C$9, $C$13, 100%, $E$13) + CHOOSE(CONTROL!$C$28, 0.0021, 0)</f>
        <v>44.002499999999998</v>
      </c>
      <c r="E509" s="4">
        <f>202.242596656451 * CHOOSE(CONTROL!$C$9, $C$13, 100%, $E$13) + CHOOSE(CONTROL!$C$28, 0.0021, 0)</f>
        <v>202.24469665645103</v>
      </c>
    </row>
    <row r="510" spans="1:5" ht="15">
      <c r="A510" s="13">
        <v>56673</v>
      </c>
      <c r="B510" s="4">
        <f>31.2587 * CHOOSE(CONTROL!$C$9, $C$13, 100%, $E$13) + CHOOSE(CONTROL!$C$28, 0.0226, 0)</f>
        <v>31.281300000000002</v>
      </c>
      <c r="C510" s="4">
        <f>30.8954 * CHOOSE(CONTROL!$C$9, $C$13, 100%, $E$13) + CHOOSE(CONTROL!$C$28, 0.0226, 0)</f>
        <v>30.917999999999999</v>
      </c>
      <c r="D510" s="4">
        <f>45.488 * CHOOSE(CONTROL!$C$9, $C$13, 100%, $E$13) + CHOOSE(CONTROL!$C$28, 0.0021, 0)</f>
        <v>45.490099999999998</v>
      </c>
      <c r="E510" s="4">
        <f>207.044632920833 * CHOOSE(CONTROL!$C$9, $C$13, 100%, $E$13) + CHOOSE(CONTROL!$C$28, 0.0021, 0)</f>
        <v>207.04673292083302</v>
      </c>
    </row>
    <row r="511" spans="1:5" ht="15">
      <c r="A511" s="13">
        <v>56704</v>
      </c>
      <c r="B511" s="4">
        <f>33.1154 * CHOOSE(CONTROL!$C$9, $C$13, 100%, $E$13) + CHOOSE(CONTROL!$C$28, 0.0226, 0)</f>
        <v>33.137999999999998</v>
      </c>
      <c r="C511" s="4">
        <f>32.7521 * CHOOSE(CONTROL!$C$9, $C$13, 100%, $E$13) + CHOOSE(CONTROL!$C$28, 0.0226, 0)</f>
        <v>32.774699999999996</v>
      </c>
      <c r="D511" s="4">
        <f>47.8167 * CHOOSE(CONTROL!$C$9, $C$13, 100%, $E$13) + CHOOSE(CONTROL!$C$28, 0.0021, 0)</f>
        <v>47.818799999999996</v>
      </c>
      <c r="E511" s="4">
        <f>219.655035346807 * CHOOSE(CONTROL!$C$9, $C$13, 100%, $E$13) + CHOOSE(CONTROL!$C$28, 0.0021, 0)</f>
        <v>219.65713534680702</v>
      </c>
    </row>
    <row r="512" spans="1:5" ht="15">
      <c r="A512" s="13">
        <v>56734</v>
      </c>
      <c r="B512" s="4">
        <f>34.4347 * CHOOSE(CONTROL!$C$9, $C$13, 100%, $E$13) + CHOOSE(CONTROL!$C$28, 0.0226, 0)</f>
        <v>34.457299999999996</v>
      </c>
      <c r="C512" s="4">
        <f>34.0714 * CHOOSE(CONTROL!$C$9, $C$13, 100%, $E$13) + CHOOSE(CONTROL!$C$28, 0.0226, 0)</f>
        <v>34.093999999999994</v>
      </c>
      <c r="D512" s="4">
        <f>49.1581 * CHOOSE(CONTROL!$C$9, $C$13, 100%, $E$13) + CHOOSE(CONTROL!$C$28, 0.0021, 0)</f>
        <v>49.160199999999996</v>
      </c>
      <c r="E512" s="4">
        <f>228.614894326171 * CHOOSE(CONTROL!$C$9, $C$13, 100%, $E$13) + CHOOSE(CONTROL!$C$28, 0.0021, 0)</f>
        <v>228.61699432617101</v>
      </c>
    </row>
    <row r="513" spans="1:5" ht="15">
      <c r="A513" s="13">
        <v>56765</v>
      </c>
      <c r="B513" s="4">
        <f>35.2407 * CHOOSE(CONTROL!$C$9, $C$13, 100%, $E$13) + CHOOSE(CONTROL!$C$28, 0.0226, 0)</f>
        <v>35.263299999999994</v>
      </c>
      <c r="C513" s="4">
        <f>34.8774 * CHOOSE(CONTROL!$C$9, $C$13, 100%, $E$13) + CHOOSE(CONTROL!$C$28, 0.0226, 0)</f>
        <v>34.9</v>
      </c>
      <c r="D513" s="4">
        <f>48.628 * CHOOSE(CONTROL!$C$9, $C$13, 100%, $E$13) + CHOOSE(CONTROL!$C$28, 0.0021, 0)</f>
        <v>48.630099999999999</v>
      </c>
      <c r="E513" s="4">
        <f>234.089153424712 * CHOOSE(CONTROL!$C$9, $C$13, 100%, $E$13) + CHOOSE(CONTROL!$C$28, 0.0021, 0)</f>
        <v>234.09125342471202</v>
      </c>
    </row>
    <row r="514" spans="1:5" ht="15">
      <c r="A514" s="13">
        <v>56795</v>
      </c>
      <c r="B514" s="4">
        <f>35.3497 * CHOOSE(CONTROL!$C$9, $C$13, 100%, $E$13) + CHOOSE(CONTROL!$C$28, 0.0226, 0)</f>
        <v>35.372299999999996</v>
      </c>
      <c r="C514" s="4">
        <f>34.9865 * CHOOSE(CONTROL!$C$9, $C$13, 100%, $E$13) + CHOOSE(CONTROL!$C$28, 0.0226, 0)</f>
        <v>35.009099999999997</v>
      </c>
      <c r="D514" s="4">
        <f>49.0597 * CHOOSE(CONTROL!$C$9, $C$13, 100%, $E$13) + CHOOSE(CONTROL!$C$28, 0.0021, 0)</f>
        <v>49.061799999999998</v>
      </c>
      <c r="E514" s="4">
        <f>234.829843399386 * CHOOSE(CONTROL!$C$9, $C$13, 100%, $E$13) + CHOOSE(CONTROL!$C$28, 0.0021, 0)</f>
        <v>234.83194339938601</v>
      </c>
    </row>
    <row r="515" spans="1:5" ht="15">
      <c r="A515" s="13">
        <v>56826</v>
      </c>
      <c r="B515" s="4">
        <f>35.3388 * CHOOSE(CONTROL!$C$9, $C$13, 100%, $E$13) + CHOOSE(CONTROL!$C$28, 0.0226, 0)</f>
        <v>35.361399999999996</v>
      </c>
      <c r="C515" s="4">
        <f>34.9755 * CHOOSE(CONTROL!$C$9, $C$13, 100%, $E$13) + CHOOSE(CONTROL!$C$28, 0.0226, 0)</f>
        <v>34.998099999999994</v>
      </c>
      <c r="D515" s="4">
        <f>49.8387 * CHOOSE(CONTROL!$C$9, $C$13, 100%, $E$13) + CHOOSE(CONTROL!$C$28, 0.0021, 0)</f>
        <v>49.840800000000002</v>
      </c>
      <c r="E515" s="4">
        <f>234.755151973369 * CHOOSE(CONTROL!$C$9, $C$13, 100%, $E$13) + CHOOSE(CONTROL!$C$28, 0.0021, 0)</f>
        <v>234.75725197336902</v>
      </c>
    </row>
    <row r="516" spans="1:5" ht="15">
      <c r="A516" s="13">
        <v>56857</v>
      </c>
      <c r="B516" s="4">
        <f>36.1663 * CHOOSE(CONTROL!$C$9, $C$13, 100%, $E$13) + CHOOSE(CONTROL!$C$28, 0.0226, 0)</f>
        <v>36.188899999999997</v>
      </c>
      <c r="C516" s="4">
        <f>35.803 * CHOOSE(CONTROL!$C$9, $C$13, 100%, $E$13) + CHOOSE(CONTROL!$C$28, 0.0226, 0)</f>
        <v>35.825599999999994</v>
      </c>
      <c r="D516" s="4">
        <f>49.3242 * CHOOSE(CONTROL!$C$9, $C$13, 100%, $E$13) + CHOOSE(CONTROL!$C$28, 0.0021, 0)</f>
        <v>49.326299999999996</v>
      </c>
      <c r="E516" s="4">
        <f>240.375681781195 * CHOOSE(CONTROL!$C$9, $C$13, 100%, $E$13) + CHOOSE(CONTROL!$C$28, 0.0021, 0)</f>
        <v>240.37778178119501</v>
      </c>
    </row>
    <row r="517" spans="1:5" ht="15">
      <c r="A517" s="13">
        <v>56887</v>
      </c>
      <c r="B517" s="4">
        <f>34.7559 * CHOOSE(CONTROL!$C$9, $C$13, 100%, $E$13) + CHOOSE(CONTROL!$C$28, 0.0226, 0)</f>
        <v>34.778499999999994</v>
      </c>
      <c r="C517" s="4">
        <f>34.3926 * CHOOSE(CONTROL!$C$9, $C$13, 100%, $E$13) + CHOOSE(CONTROL!$C$28, 0.0226, 0)</f>
        <v>34.415199999999999</v>
      </c>
      <c r="D517" s="4">
        <f>49.0812 * CHOOSE(CONTROL!$C$9, $C$13, 100%, $E$13) + CHOOSE(CONTROL!$C$28, 0.0021, 0)</f>
        <v>49.083300000000001</v>
      </c>
      <c r="E517" s="4">
        <f>230.796506394435 * CHOOSE(CONTROL!$C$9, $C$13, 100%, $E$13) + CHOOSE(CONTROL!$C$28, 0.0021, 0)</f>
        <v>230.79860639443501</v>
      </c>
    </row>
    <row r="518" spans="1:5" ht="15">
      <c r="A518" s="13">
        <v>56918</v>
      </c>
      <c r="B518" s="4">
        <f>33.6268 * CHOOSE(CONTROL!$C$9, $C$13, 100%, $E$13) + CHOOSE(CONTROL!$C$28, 0.0226, 0)</f>
        <v>33.6494</v>
      </c>
      <c r="C518" s="4">
        <f>33.2635 * CHOOSE(CONTROL!$C$9, $C$13, 100%, $E$13) + CHOOSE(CONTROL!$C$28, 0.0226, 0)</f>
        <v>33.286099999999998</v>
      </c>
      <c r="D518" s="4">
        <f>48.4304 * CHOOSE(CONTROL!$C$9, $C$13, 100%, $E$13) + CHOOSE(CONTROL!$C$28, 0.0021, 0)</f>
        <v>48.432499999999997</v>
      </c>
      <c r="E518" s="4">
        <f>223.128186656627 * CHOOSE(CONTROL!$C$9, $C$13, 100%, $E$13) + CHOOSE(CONTROL!$C$28, 0.0021, 0)</f>
        <v>223.13028665662702</v>
      </c>
    </row>
    <row r="519" spans="1:5" ht="15">
      <c r="A519" s="13">
        <v>56948</v>
      </c>
      <c r="B519" s="4">
        <f>32.8996 * CHOOSE(CONTROL!$C$9, $C$13, 100%, $E$13) + CHOOSE(CONTROL!$C$28, 0.0226, 0)</f>
        <v>32.922199999999997</v>
      </c>
      <c r="C519" s="4">
        <f>32.5363 * CHOOSE(CONTROL!$C$9, $C$13, 100%, $E$13) + CHOOSE(CONTROL!$C$28, 0.0226, 0)</f>
        <v>32.558899999999994</v>
      </c>
      <c r="D519" s="4">
        <f>48.2067 * CHOOSE(CONTROL!$C$9, $C$13, 100%, $E$13) + CHOOSE(CONTROL!$C$28, 0.0021, 0)</f>
        <v>48.208799999999997</v>
      </c>
      <c r="E519" s="4">
        <f>218.189216111212 * CHOOSE(CONTROL!$C$9, $C$13, 100%, $E$13) + CHOOSE(CONTROL!$C$28, 0.0021, 0)</f>
        <v>218.19131611121202</v>
      </c>
    </row>
    <row r="520" spans="1:5" ht="15">
      <c r="A520" s="13">
        <v>56979</v>
      </c>
      <c r="B520" s="4">
        <f>32.3964 * CHOOSE(CONTROL!$C$9, $C$13, 100%, $E$13) + CHOOSE(CONTROL!$C$28, 0.0226, 0)</f>
        <v>32.418999999999997</v>
      </c>
      <c r="C520" s="4">
        <f>32.0332 * CHOOSE(CONTROL!$C$9, $C$13, 100%, $E$13) + CHOOSE(CONTROL!$C$28, 0.0226, 0)</f>
        <v>32.055799999999998</v>
      </c>
      <c r="D520" s="4">
        <f>46.5595 * CHOOSE(CONTROL!$C$9, $C$13, 100%, $E$13) + CHOOSE(CONTROL!$C$28, 0.0021, 0)</f>
        <v>46.561599999999999</v>
      </c>
      <c r="E520" s="4">
        <f>214.772083370906 * CHOOSE(CONTROL!$C$9, $C$13, 100%, $E$13) + CHOOSE(CONTROL!$C$28, 0.0021, 0)</f>
        <v>214.774183370906</v>
      </c>
    </row>
    <row r="521" spans="1:5" ht="15">
      <c r="A521" s="13">
        <v>57010</v>
      </c>
      <c r="B521" s="4">
        <f>31.0199 * CHOOSE(CONTROL!$C$9, $C$13, 100%, $E$13) + CHOOSE(CONTROL!$C$28, 0.0226, 0)</f>
        <v>31.0425</v>
      </c>
      <c r="C521" s="4">
        <f>30.6566 * CHOOSE(CONTROL!$C$9, $C$13, 100%, $E$13) + CHOOSE(CONTROL!$C$28, 0.0226, 0)</f>
        <v>30.679200000000002</v>
      </c>
      <c r="D521" s="4">
        <f>44.7451 * CHOOSE(CONTROL!$C$9, $C$13, 100%, $E$13) + CHOOSE(CONTROL!$C$28, 0.0021, 0)</f>
        <v>44.747199999999999</v>
      </c>
      <c r="E521" s="4">
        <f>205.82595339145 * CHOOSE(CONTROL!$C$9, $C$13, 100%, $E$13) + CHOOSE(CONTROL!$C$28, 0.0021, 0)</f>
        <v>205.82805339145003</v>
      </c>
    </row>
    <row r="522" spans="1:5" ht="15">
      <c r="A522" s="13">
        <v>57038</v>
      </c>
      <c r="B522" s="4">
        <f>31.738 * CHOOSE(CONTROL!$C$9, $C$13, 100%, $E$13) + CHOOSE(CONTROL!$C$28, 0.0226, 0)</f>
        <v>31.7606</v>
      </c>
      <c r="C522" s="4">
        <f>31.3748 * CHOOSE(CONTROL!$C$9, $C$13, 100%, $E$13) + CHOOSE(CONTROL!$C$28, 0.0226, 0)</f>
        <v>31.397400000000001</v>
      </c>
      <c r="D522" s="4">
        <f>46.259 * CHOOSE(CONTROL!$C$9, $C$13, 100%, $E$13) + CHOOSE(CONTROL!$C$28, 0.0021, 0)</f>
        <v>46.261099999999999</v>
      </c>
      <c r="E522" s="4">
        <f>210.713072666406 * CHOOSE(CONTROL!$C$9, $C$13, 100%, $E$13) + CHOOSE(CONTROL!$C$28, 0.0021, 0)</f>
        <v>210.715172666406</v>
      </c>
    </row>
    <row r="523" spans="1:5" ht="15">
      <c r="A523" s="13">
        <v>57070</v>
      </c>
      <c r="B523" s="4">
        <f>33.624 * CHOOSE(CONTROL!$C$9, $C$13, 100%, $E$13) + CHOOSE(CONTROL!$C$28, 0.0226, 0)</f>
        <v>33.646599999999999</v>
      </c>
      <c r="C523" s="4">
        <f>33.2607 * CHOOSE(CONTROL!$C$9, $C$13, 100%, $E$13) + CHOOSE(CONTROL!$C$28, 0.0226, 0)</f>
        <v>33.283299999999997</v>
      </c>
      <c r="D523" s="4">
        <f>48.6288 * CHOOSE(CONTROL!$C$9, $C$13, 100%, $E$13) + CHOOSE(CONTROL!$C$28, 0.0021, 0)</f>
        <v>48.630899999999997</v>
      </c>
      <c r="E523" s="4">
        <f>223.546907599732 * CHOOSE(CONTROL!$C$9, $C$13, 100%, $E$13) + CHOOSE(CONTROL!$C$28, 0.0021, 0)</f>
        <v>223.54900759973202</v>
      </c>
    </row>
    <row r="524" spans="1:5" ht="15">
      <c r="A524" s="13">
        <v>57100</v>
      </c>
      <c r="B524" s="4">
        <f>34.964 * CHOOSE(CONTROL!$C$9, $C$13, 100%, $E$13) + CHOOSE(CONTROL!$C$28, 0.0226, 0)</f>
        <v>34.986599999999996</v>
      </c>
      <c r="C524" s="4">
        <f>34.6007 * CHOOSE(CONTROL!$C$9, $C$13, 100%, $E$13) + CHOOSE(CONTROL!$C$28, 0.0226, 0)</f>
        <v>34.6233</v>
      </c>
      <c r="D524" s="4">
        <f>49.9939 * CHOOSE(CONTROL!$C$9, $C$13, 100%, $E$13) + CHOOSE(CONTROL!$C$28, 0.0021, 0)</f>
        <v>49.995999999999995</v>
      </c>
      <c r="E524" s="4">
        <f>232.665518353198 * CHOOSE(CONTROL!$C$9, $C$13, 100%, $E$13) + CHOOSE(CONTROL!$C$28, 0.0021, 0)</f>
        <v>232.66761835319801</v>
      </c>
    </row>
    <row r="525" spans="1:5" ht="15">
      <c r="A525" s="13">
        <v>57131</v>
      </c>
      <c r="B525" s="4">
        <f>35.7827 * CHOOSE(CONTROL!$C$9, $C$13, 100%, $E$13) + CHOOSE(CONTROL!$C$28, 0.0226, 0)</f>
        <v>35.805299999999995</v>
      </c>
      <c r="C525" s="4">
        <f>35.4194 * CHOOSE(CONTROL!$C$9, $C$13, 100%, $E$13) + CHOOSE(CONTROL!$C$28, 0.0226, 0)</f>
        <v>35.442</v>
      </c>
      <c r="D525" s="4">
        <f>49.4545 * CHOOSE(CONTROL!$C$9, $C$13, 100%, $E$13) + CHOOSE(CONTROL!$C$28, 0.0021, 0)</f>
        <v>49.456600000000002</v>
      </c>
      <c r="E525" s="4">
        <f>238.236770980967 * CHOOSE(CONTROL!$C$9, $C$13, 100%, $E$13) + CHOOSE(CONTROL!$C$28, 0.0021, 0)</f>
        <v>238.23887098096702</v>
      </c>
    </row>
    <row r="526" spans="1:5" ht="15">
      <c r="A526" s="13">
        <v>57161</v>
      </c>
      <c r="B526" s="4">
        <f>35.8935 * CHOOSE(CONTROL!$C$9, $C$13, 100%, $E$13) + CHOOSE(CONTROL!$C$28, 0.0226, 0)</f>
        <v>35.9161</v>
      </c>
      <c r="C526" s="4">
        <f>35.5302 * CHOOSE(CONTROL!$C$9, $C$13, 100%, $E$13) + CHOOSE(CONTROL!$C$28, 0.0226, 0)</f>
        <v>35.552799999999998</v>
      </c>
      <c r="D526" s="4">
        <f>49.8938 * CHOOSE(CONTROL!$C$9, $C$13, 100%, $E$13) + CHOOSE(CONTROL!$C$28, 0.0021, 0)</f>
        <v>49.895899999999997</v>
      </c>
      <c r="E526" s="4">
        <f>238.990584582677 * CHOOSE(CONTROL!$C$9, $C$13, 100%, $E$13) + CHOOSE(CONTROL!$C$28, 0.0021, 0)</f>
        <v>238.99268458267701</v>
      </c>
    </row>
    <row r="527" spans="1:5" ht="15">
      <c r="A527" s="13">
        <v>57192</v>
      </c>
      <c r="B527" s="4">
        <f>35.8823 * CHOOSE(CONTROL!$C$9, $C$13, 100%, $E$13) + CHOOSE(CONTROL!$C$28, 0.0226, 0)</f>
        <v>35.904899999999998</v>
      </c>
      <c r="C527" s="4">
        <f>35.519 * CHOOSE(CONTROL!$C$9, $C$13, 100%, $E$13) + CHOOSE(CONTROL!$C$28, 0.0226, 0)</f>
        <v>35.541599999999995</v>
      </c>
      <c r="D527" s="4">
        <f>50.6865 * CHOOSE(CONTROL!$C$9, $C$13, 100%, $E$13) + CHOOSE(CONTROL!$C$28, 0.0021, 0)</f>
        <v>50.688600000000001</v>
      </c>
      <c r="E527" s="4">
        <f>238.914569765698 * CHOOSE(CONTROL!$C$9, $C$13, 100%, $E$13) + CHOOSE(CONTROL!$C$28, 0.0021, 0)</f>
        <v>238.916669765698</v>
      </c>
    </row>
    <row r="528" spans="1:5" ht="15">
      <c r="A528" s="13">
        <v>57223</v>
      </c>
      <c r="B528" s="4">
        <f>36.7229 * CHOOSE(CONTROL!$C$9, $C$13, 100%, $E$13) + CHOOSE(CONTROL!$C$28, 0.0226, 0)</f>
        <v>36.7455</v>
      </c>
      <c r="C528" s="4">
        <f>36.3596 * CHOOSE(CONTROL!$C$9, $C$13, 100%, $E$13) + CHOOSE(CONTROL!$C$28, 0.0226, 0)</f>
        <v>36.382199999999997</v>
      </c>
      <c r="D528" s="4">
        <f>50.163 * CHOOSE(CONTROL!$C$9, $C$13, 100%, $E$13) + CHOOSE(CONTROL!$C$28, 0.0021, 0)</f>
        <v>50.165099999999995</v>
      </c>
      <c r="E528" s="4">
        <f>244.634684743384 * CHOOSE(CONTROL!$C$9, $C$13, 100%, $E$13) + CHOOSE(CONTROL!$C$28, 0.0021, 0)</f>
        <v>244.63678474338403</v>
      </c>
    </row>
    <row r="529" spans="1:5" ht="15">
      <c r="A529" s="13">
        <v>57253</v>
      </c>
      <c r="B529" s="4">
        <f>35.2903 * CHOOSE(CONTROL!$C$9, $C$13, 100%, $E$13) + CHOOSE(CONTROL!$C$28, 0.0226, 0)</f>
        <v>35.312899999999999</v>
      </c>
      <c r="C529" s="4">
        <f>34.927 * CHOOSE(CONTROL!$C$9, $C$13, 100%, $E$13) + CHOOSE(CONTROL!$C$28, 0.0226, 0)</f>
        <v>34.949599999999997</v>
      </c>
      <c r="D529" s="4">
        <f>49.9157 * CHOOSE(CONTROL!$C$9, $C$13, 100%, $E$13) + CHOOSE(CONTROL!$C$28, 0.0021, 0)</f>
        <v>49.9178</v>
      </c>
      <c r="E529" s="4">
        <f>234.885784465799 * CHOOSE(CONTROL!$C$9, $C$13, 100%, $E$13) + CHOOSE(CONTROL!$C$28, 0.0021, 0)</f>
        <v>234.887884465799</v>
      </c>
    </row>
    <row r="530" spans="1:5" ht="15">
      <c r="A530" s="13">
        <v>57284</v>
      </c>
      <c r="B530" s="4">
        <f>34.1434 * CHOOSE(CONTROL!$C$9, $C$13, 100%, $E$13) + CHOOSE(CONTROL!$C$28, 0.0226, 0)</f>
        <v>34.165999999999997</v>
      </c>
      <c r="C530" s="4">
        <f>33.7801 * CHOOSE(CONTROL!$C$9, $C$13, 100%, $E$13) + CHOOSE(CONTROL!$C$28, 0.0226, 0)</f>
        <v>33.802699999999994</v>
      </c>
      <c r="D530" s="4">
        <f>49.2534 * CHOOSE(CONTROL!$C$9, $C$13, 100%, $E$13) + CHOOSE(CONTROL!$C$28, 0.0021, 0)</f>
        <v>49.255499999999998</v>
      </c>
      <c r="E530" s="4">
        <f>227.081596589266 * CHOOSE(CONTROL!$C$9, $C$13, 100%, $E$13) + CHOOSE(CONTROL!$C$28, 0.0021, 0)</f>
        <v>227.08369658926603</v>
      </c>
    </row>
    <row r="531" spans="1:5" ht="15">
      <c r="A531" s="13">
        <v>57314</v>
      </c>
      <c r="B531" s="4">
        <f>33.4048 * CHOOSE(CONTROL!$C$9, $C$13, 100%, $E$13) + CHOOSE(CONTROL!$C$28, 0.0226, 0)</f>
        <v>33.427399999999999</v>
      </c>
      <c r="C531" s="4">
        <f>33.0415 * CHOOSE(CONTROL!$C$9, $C$13, 100%, $E$13) + CHOOSE(CONTROL!$C$28, 0.0226, 0)</f>
        <v>33.064099999999996</v>
      </c>
      <c r="D531" s="4">
        <f>49.0257 * CHOOSE(CONTROL!$C$9, $C$13, 100%, $E$13) + CHOOSE(CONTROL!$C$28, 0.0021, 0)</f>
        <v>49.027799999999999</v>
      </c>
      <c r="E531" s="4">
        <f>222.055116816514 * CHOOSE(CONTROL!$C$9, $C$13, 100%, $E$13) + CHOOSE(CONTROL!$C$28, 0.0021, 0)</f>
        <v>222.057216816514</v>
      </c>
    </row>
    <row r="532" spans="1:5" ht="15">
      <c r="A532" s="13">
        <v>57345</v>
      </c>
      <c r="B532" s="4">
        <f>32.8937 * CHOOSE(CONTROL!$C$9, $C$13, 100%, $E$13) + CHOOSE(CONTROL!$C$28, 0.0226, 0)</f>
        <v>32.9163</v>
      </c>
      <c r="C532" s="4">
        <f>32.5304 * CHOOSE(CONTROL!$C$9, $C$13, 100%, $E$13) + CHOOSE(CONTROL!$C$28, 0.0226, 0)</f>
        <v>32.552999999999997</v>
      </c>
      <c r="D532" s="4">
        <f>47.3495 * CHOOSE(CONTROL!$C$9, $C$13, 100%, $E$13) + CHOOSE(CONTROL!$C$28, 0.0021, 0)</f>
        <v>47.351599999999998</v>
      </c>
      <c r="E532" s="4">
        <f>218.577438939715 * CHOOSE(CONTROL!$C$9, $C$13, 100%, $E$13) + CHOOSE(CONTROL!$C$28, 0.0021, 0)</f>
        <v>218.57953893971501</v>
      </c>
    </row>
    <row r="533" spans="1:5" ht="15">
      <c r="A533" s="13">
        <v>57376</v>
      </c>
      <c r="B533" s="4">
        <f>31.4955 * CHOOSE(CONTROL!$C$9, $C$13, 100%, $E$13) + CHOOSE(CONTROL!$C$28, 0.0226, 0)</f>
        <v>31.5181</v>
      </c>
      <c r="C533" s="4">
        <f>31.1322 * CHOOSE(CONTROL!$C$9, $C$13, 100%, $E$13) + CHOOSE(CONTROL!$C$28, 0.0226, 0)</f>
        <v>31.154800000000002</v>
      </c>
      <c r="D533" s="4">
        <f>45.5029 * CHOOSE(CONTROL!$C$9, $C$13, 100%, $E$13) + CHOOSE(CONTROL!$C$28, 0.0021, 0)</f>
        <v>45.504999999999995</v>
      </c>
      <c r="E533" s="4">
        <f>209.472800438098 * CHOOSE(CONTROL!$C$9, $C$13, 100%, $E$13) + CHOOSE(CONTROL!$C$28, 0.0021, 0)</f>
        <v>209.47490043809802</v>
      </c>
    </row>
    <row r="534" spans="1:5" ht="15">
      <c r="A534" s="13">
        <v>57404</v>
      </c>
      <c r="B534" s="4">
        <f>32.225 * CHOOSE(CONTROL!$C$9, $C$13, 100%, $E$13) + CHOOSE(CONTROL!$C$28, 0.0226, 0)</f>
        <v>32.247599999999998</v>
      </c>
      <c r="C534" s="4">
        <f>31.8617 * CHOOSE(CONTROL!$C$9, $C$13, 100%, $E$13) + CHOOSE(CONTROL!$C$28, 0.0226, 0)</f>
        <v>31.8843</v>
      </c>
      <c r="D534" s="4">
        <f>47.0436 * CHOOSE(CONTROL!$C$9, $C$13, 100%, $E$13) + CHOOSE(CONTROL!$C$28, 0.0021, 0)</f>
        <v>47.045699999999997</v>
      </c>
      <c r="E534" s="4">
        <f>214.446510233836 * CHOOSE(CONTROL!$C$9, $C$13, 100%, $E$13) + CHOOSE(CONTROL!$C$28, 0.0021, 0)</f>
        <v>214.44861023383601</v>
      </c>
    </row>
    <row r="535" spans="1:5" ht="15">
      <c r="A535" s="13">
        <v>57435</v>
      </c>
      <c r="B535" s="4">
        <f>34.1406 * CHOOSE(CONTROL!$C$9, $C$13, 100%, $E$13) + CHOOSE(CONTROL!$C$28, 0.0226, 0)</f>
        <v>34.163199999999996</v>
      </c>
      <c r="C535" s="4">
        <f>33.7773 * CHOOSE(CONTROL!$C$9, $C$13, 100%, $E$13) + CHOOSE(CONTROL!$C$28, 0.0226, 0)</f>
        <v>33.799899999999994</v>
      </c>
      <c r="D535" s="4">
        <f>49.4553 * CHOOSE(CONTROL!$C$9, $C$13, 100%, $E$13) + CHOOSE(CONTROL!$C$28, 0.0021, 0)</f>
        <v>49.4574</v>
      </c>
      <c r="E535" s="4">
        <f>227.507736476433 * CHOOSE(CONTROL!$C$9, $C$13, 100%, $E$13) + CHOOSE(CONTROL!$C$28, 0.0021, 0)</f>
        <v>227.50983647643301</v>
      </c>
    </row>
    <row r="536" spans="1:5" ht="15">
      <c r="A536" s="13">
        <v>57465</v>
      </c>
      <c r="B536" s="4">
        <f>35.5016 * CHOOSE(CONTROL!$C$9, $C$13, 100%, $E$13) + CHOOSE(CONTROL!$C$28, 0.0226, 0)</f>
        <v>35.5242</v>
      </c>
      <c r="C536" s="4">
        <f>35.1383 * CHOOSE(CONTROL!$C$9, $C$13, 100%, $E$13) + CHOOSE(CONTROL!$C$28, 0.0226, 0)</f>
        <v>35.160899999999998</v>
      </c>
      <c r="D536" s="4">
        <f>50.8445 * CHOOSE(CONTROL!$C$9, $C$13, 100%, $E$13) + CHOOSE(CONTROL!$C$28, 0.0021, 0)</f>
        <v>50.846599999999995</v>
      </c>
      <c r="E536" s="4">
        <f>236.787911785524 * CHOOSE(CONTROL!$C$9, $C$13, 100%, $E$13) + CHOOSE(CONTROL!$C$28, 0.0021, 0)</f>
        <v>236.790011785524</v>
      </c>
    </row>
    <row r="537" spans="1:5" ht="15">
      <c r="A537" s="13">
        <v>57496</v>
      </c>
      <c r="B537" s="4">
        <f>36.3332 * CHOOSE(CONTROL!$C$9, $C$13, 100%, $E$13) + CHOOSE(CONTROL!$C$28, 0.0226, 0)</f>
        <v>36.355799999999995</v>
      </c>
      <c r="C537" s="4">
        <f>35.9699 * CHOOSE(CONTROL!$C$9, $C$13, 100%, $E$13) + CHOOSE(CONTROL!$C$28, 0.0226, 0)</f>
        <v>35.9925</v>
      </c>
      <c r="D537" s="4">
        <f>50.2955 * CHOOSE(CONTROL!$C$9, $C$13, 100%, $E$13) + CHOOSE(CONTROL!$C$28, 0.0021, 0)</f>
        <v>50.297599999999996</v>
      </c>
      <c r="E537" s="4">
        <f>242.457876484618 * CHOOSE(CONTROL!$C$9, $C$13, 100%, $E$13) + CHOOSE(CONTROL!$C$28, 0.0021, 0)</f>
        <v>242.45997648461801</v>
      </c>
    </row>
    <row r="538" spans="1:5" ht="15">
      <c r="A538" s="13">
        <v>57526</v>
      </c>
      <c r="B538" s="4">
        <f>36.4457 * CHOOSE(CONTROL!$C$9, $C$13, 100%, $E$13) + CHOOSE(CONTROL!$C$28, 0.0226, 0)</f>
        <v>36.468299999999999</v>
      </c>
      <c r="C538" s="4">
        <f>36.0824 * CHOOSE(CONTROL!$C$9, $C$13, 100%, $E$13) + CHOOSE(CONTROL!$C$28, 0.0226, 0)</f>
        <v>36.104999999999997</v>
      </c>
      <c r="D538" s="4">
        <f>50.7426 * CHOOSE(CONTROL!$C$9, $C$13, 100%, $E$13) + CHOOSE(CONTROL!$C$28, 0.0021, 0)</f>
        <v>50.744700000000002</v>
      </c>
      <c r="E538" s="4">
        <f>243.225046239242 * CHOOSE(CONTROL!$C$9, $C$13, 100%, $E$13) + CHOOSE(CONTROL!$C$28, 0.0021, 0)</f>
        <v>243.22714623924202</v>
      </c>
    </row>
    <row r="539" spans="1:5" ht="15">
      <c r="A539" s="13">
        <v>57557</v>
      </c>
      <c r="B539" s="4">
        <f>36.4344 * CHOOSE(CONTROL!$C$9, $C$13, 100%, $E$13) + CHOOSE(CONTROL!$C$28, 0.0226, 0)</f>
        <v>36.456999999999994</v>
      </c>
      <c r="C539" s="4">
        <f>36.0711 * CHOOSE(CONTROL!$C$9, $C$13, 100%, $E$13) + CHOOSE(CONTROL!$C$28, 0.0226, 0)</f>
        <v>36.093699999999998</v>
      </c>
      <c r="D539" s="4">
        <f>51.5493 * CHOOSE(CONTROL!$C$9, $C$13, 100%, $E$13) + CHOOSE(CONTROL!$C$28, 0.0021, 0)</f>
        <v>51.551400000000001</v>
      </c>
      <c r="E539" s="4">
        <f>243.147684583314 * CHOOSE(CONTROL!$C$9, $C$13, 100%, $E$13) + CHOOSE(CONTROL!$C$28, 0.0021, 0)</f>
        <v>243.14978458331402</v>
      </c>
    </row>
    <row r="540" spans="1:5" ht="15">
      <c r="A540" s="13">
        <v>57588</v>
      </c>
      <c r="B540" s="4">
        <f>37.2882 * CHOOSE(CONTROL!$C$9, $C$13, 100%, $E$13) + CHOOSE(CONTROL!$C$28, 0.0226, 0)</f>
        <v>37.3108</v>
      </c>
      <c r="C540" s="4">
        <f>36.9249 * CHOOSE(CONTROL!$C$9, $C$13, 100%, $E$13) + CHOOSE(CONTROL!$C$28, 0.0226, 0)</f>
        <v>36.947499999999998</v>
      </c>
      <c r="D540" s="4">
        <f>51.0166 * CHOOSE(CONTROL!$C$9, $C$13, 100%, $E$13) + CHOOSE(CONTROL!$C$28, 0.0021, 0)</f>
        <v>51.018699999999995</v>
      </c>
      <c r="E540" s="4">
        <f>248.969149191934 * CHOOSE(CONTROL!$C$9, $C$13, 100%, $E$13) + CHOOSE(CONTROL!$C$28, 0.0021, 0)</f>
        <v>248.97124919193402</v>
      </c>
    </row>
    <row r="541" spans="1:5" ht="15">
      <c r="A541" s="13">
        <v>57618</v>
      </c>
      <c r="B541" s="4">
        <f>35.833 * CHOOSE(CONTROL!$C$9, $C$13, 100%, $E$13) + CHOOSE(CONTROL!$C$28, 0.0226, 0)</f>
        <v>35.855599999999995</v>
      </c>
      <c r="C541" s="4">
        <f>35.4697 * CHOOSE(CONTROL!$C$9, $C$13, 100%, $E$13) + CHOOSE(CONTROL!$C$28, 0.0226, 0)</f>
        <v>35.4923</v>
      </c>
      <c r="D541" s="4">
        <f>50.7649 * CHOOSE(CONTROL!$C$9, $C$13, 100%, $E$13) + CHOOSE(CONTROL!$C$28, 0.0021, 0)</f>
        <v>50.766999999999996</v>
      </c>
      <c r="E541" s="4">
        <f>239.047516819103 * CHOOSE(CONTROL!$C$9, $C$13, 100%, $E$13) + CHOOSE(CONTROL!$C$28, 0.0021, 0)</f>
        <v>239.04961681910302</v>
      </c>
    </row>
    <row r="542" spans="1:5" ht="15">
      <c r="A542" s="13">
        <v>57649</v>
      </c>
      <c r="B542" s="4">
        <f>34.6682 * CHOOSE(CONTROL!$C$9, $C$13, 100%, $E$13) + CHOOSE(CONTROL!$C$28, 0.0226, 0)</f>
        <v>34.690799999999996</v>
      </c>
      <c r="C542" s="4">
        <f>34.3049 * CHOOSE(CONTROL!$C$9, $C$13, 100%, $E$13) + CHOOSE(CONTROL!$C$28, 0.0226, 0)</f>
        <v>34.327500000000001</v>
      </c>
      <c r="D542" s="4">
        <f>50.0909 * CHOOSE(CONTROL!$C$9, $C$13, 100%, $E$13) + CHOOSE(CONTROL!$C$28, 0.0021, 0)</f>
        <v>50.092999999999996</v>
      </c>
      <c r="E542" s="4">
        <f>231.105053477109 * CHOOSE(CONTROL!$C$9, $C$13, 100%, $E$13) + CHOOSE(CONTROL!$C$28, 0.0021, 0)</f>
        <v>231.10715347710902</v>
      </c>
    </row>
    <row r="543" spans="1:5" ht="15">
      <c r="A543" s="13">
        <v>57679</v>
      </c>
      <c r="B543" s="4">
        <f>33.9179 * CHOOSE(CONTROL!$C$9, $C$13, 100%, $E$13) + CHOOSE(CONTROL!$C$28, 0.0226, 0)</f>
        <v>33.9405</v>
      </c>
      <c r="C543" s="4">
        <f>33.5546 * CHOOSE(CONTROL!$C$9, $C$13, 100%, $E$13) + CHOOSE(CONTROL!$C$28, 0.0226, 0)</f>
        <v>33.577199999999998</v>
      </c>
      <c r="D543" s="4">
        <f>49.8592 * CHOOSE(CONTROL!$C$9, $C$13, 100%, $E$13) + CHOOSE(CONTROL!$C$28, 0.0021, 0)</f>
        <v>49.8613</v>
      </c>
      <c r="E543" s="4">
        <f>225.989513978836 * CHOOSE(CONTROL!$C$9, $C$13, 100%, $E$13) + CHOOSE(CONTROL!$C$28, 0.0021, 0)</f>
        <v>225.991613978836</v>
      </c>
    </row>
    <row r="544" spans="1:5" ht="15">
      <c r="A544" s="13">
        <v>57710</v>
      </c>
      <c r="B544" s="4">
        <f>33.3988 * CHOOSE(CONTROL!$C$9, $C$13, 100%, $E$13) + CHOOSE(CONTROL!$C$28, 0.0226, 0)</f>
        <v>33.421399999999998</v>
      </c>
      <c r="C544" s="4">
        <f>33.0355 * CHOOSE(CONTROL!$C$9, $C$13, 100%, $E$13) + CHOOSE(CONTROL!$C$28, 0.0226, 0)</f>
        <v>33.058099999999996</v>
      </c>
      <c r="D544" s="4">
        <f>48.1533 * CHOOSE(CONTROL!$C$9, $C$13, 100%, $E$13) + CHOOSE(CONTROL!$C$28, 0.0021, 0)</f>
        <v>48.1554</v>
      </c>
      <c r="E544" s="4">
        <f>222.450218220106 * CHOOSE(CONTROL!$C$9, $C$13, 100%, $E$13) + CHOOSE(CONTROL!$C$28, 0.0021, 0)</f>
        <v>222.45231822010601</v>
      </c>
    </row>
    <row r="545" spans="1:5" ht="15">
      <c r="A545" s="13">
        <v>57741</v>
      </c>
      <c r="B545" s="4">
        <f>31.9786 * CHOOSE(CONTROL!$C$9, $C$13, 100%, $E$13) + CHOOSE(CONTROL!$C$28, 0.0226, 0)</f>
        <v>32.001199999999997</v>
      </c>
      <c r="C545" s="4">
        <f>31.6153 * CHOOSE(CONTROL!$C$9, $C$13, 100%, $E$13) + CHOOSE(CONTROL!$C$28, 0.0226, 0)</f>
        <v>31.637900000000002</v>
      </c>
      <c r="D545" s="4">
        <f>46.2742 * CHOOSE(CONTROL!$C$9, $C$13, 100%, $E$13) + CHOOSE(CONTROL!$C$28, 0.0021, 0)</f>
        <v>46.276299999999999</v>
      </c>
      <c r="E545" s="4">
        <f>213.184262724771 * CHOOSE(CONTROL!$C$9, $C$13, 100%, $E$13) + CHOOSE(CONTROL!$C$28, 0.0021, 0)</f>
        <v>213.18636272477102</v>
      </c>
    </row>
    <row r="546" spans="1:5" ht="15">
      <c r="A546" s="13">
        <v>57769</v>
      </c>
      <c r="B546" s="4">
        <f>32.7195 * CHOOSE(CONTROL!$C$9, $C$13, 100%, $E$13) + CHOOSE(CONTROL!$C$28, 0.0226, 0)</f>
        <v>32.742099999999994</v>
      </c>
      <c r="C546" s="4">
        <f>32.3562 * CHOOSE(CONTROL!$C$9, $C$13, 100%, $E$13) + CHOOSE(CONTROL!$C$28, 0.0226, 0)</f>
        <v>32.378799999999998</v>
      </c>
      <c r="D546" s="4">
        <f>47.842 * CHOOSE(CONTROL!$C$9, $C$13, 100%, $E$13) + CHOOSE(CONTROL!$C$28, 0.0021, 0)</f>
        <v>47.844099999999997</v>
      </c>
      <c r="E546" s="4">
        <f>218.24609726173 * CHOOSE(CONTROL!$C$9, $C$13, 100%, $E$13) + CHOOSE(CONTROL!$C$28, 0.0021, 0)</f>
        <v>218.24819726173001</v>
      </c>
    </row>
    <row r="547" spans="1:5" ht="15">
      <c r="A547" s="13">
        <v>57800</v>
      </c>
      <c r="B547" s="4">
        <f>34.6653 * CHOOSE(CONTROL!$C$9, $C$13, 100%, $E$13) + CHOOSE(CONTROL!$C$28, 0.0226, 0)</f>
        <v>34.687899999999999</v>
      </c>
      <c r="C547" s="4">
        <f>34.302 * CHOOSE(CONTROL!$C$9, $C$13, 100%, $E$13) + CHOOSE(CONTROL!$C$28, 0.0226, 0)</f>
        <v>34.324599999999997</v>
      </c>
      <c r="D547" s="4">
        <f>50.2963 * CHOOSE(CONTROL!$C$9, $C$13, 100%, $E$13) + CHOOSE(CONTROL!$C$28, 0.0021, 0)</f>
        <v>50.298400000000001</v>
      </c>
      <c r="E547" s="4">
        <f>231.538743758011 * CHOOSE(CONTROL!$C$9, $C$13, 100%, $E$13) + CHOOSE(CONTROL!$C$28, 0.0021, 0)</f>
        <v>231.54084375801102</v>
      </c>
    </row>
    <row r="548" spans="1:5" ht="15">
      <c r="A548" s="13">
        <v>57830</v>
      </c>
      <c r="B548" s="4">
        <f>36.0477 * CHOOSE(CONTROL!$C$9, $C$13, 100%, $E$13) + CHOOSE(CONTROL!$C$28, 0.0226, 0)</f>
        <v>36.070299999999996</v>
      </c>
      <c r="C548" s="4">
        <f>35.6844 * CHOOSE(CONTROL!$C$9, $C$13, 100%, $E$13) + CHOOSE(CONTROL!$C$28, 0.0226, 0)</f>
        <v>35.706999999999994</v>
      </c>
      <c r="D548" s="4">
        <f>51.7101 * CHOOSE(CONTROL!$C$9, $C$13, 100%, $E$13) + CHOOSE(CONTROL!$C$28, 0.0021, 0)</f>
        <v>51.712199999999996</v>
      </c>
      <c r="E548" s="4">
        <f>240.983346241424 * CHOOSE(CONTROL!$C$9, $C$13, 100%, $E$13) + CHOOSE(CONTROL!$C$28, 0.0021, 0)</f>
        <v>240.985446241424</v>
      </c>
    </row>
    <row r="549" spans="1:5" ht="15">
      <c r="A549" s="13">
        <v>57861</v>
      </c>
      <c r="B549" s="4">
        <f>36.8924 * CHOOSE(CONTROL!$C$9, $C$13, 100%, $E$13) + CHOOSE(CONTROL!$C$28, 0.0226, 0)</f>
        <v>36.914999999999999</v>
      </c>
      <c r="C549" s="4">
        <f>36.5291 * CHOOSE(CONTROL!$C$9, $C$13, 100%, $E$13) + CHOOSE(CONTROL!$C$28, 0.0226, 0)</f>
        <v>36.551699999999997</v>
      </c>
      <c r="D549" s="4">
        <f>51.1515 * CHOOSE(CONTROL!$C$9, $C$13, 100%, $E$13) + CHOOSE(CONTROL!$C$28, 0.0021, 0)</f>
        <v>51.153599999999997</v>
      </c>
      <c r="E549" s="4">
        <f>246.753772003259 * CHOOSE(CONTROL!$C$9, $C$13, 100%, $E$13) + CHOOSE(CONTROL!$C$28, 0.0021, 0)</f>
        <v>246.75587200325901</v>
      </c>
    </row>
    <row r="550" spans="1:5" ht="15">
      <c r="A550" s="13">
        <v>57891</v>
      </c>
      <c r="B550" s="4">
        <f>37.0067 * CHOOSE(CONTROL!$C$9, $C$13, 100%, $E$13) + CHOOSE(CONTROL!$C$28, 0.0226, 0)</f>
        <v>37.029299999999999</v>
      </c>
      <c r="C550" s="4">
        <f>36.6434 * CHOOSE(CONTROL!$C$9, $C$13, 100%, $E$13) + CHOOSE(CONTROL!$C$28, 0.0226, 0)</f>
        <v>36.665999999999997</v>
      </c>
      <c r="D550" s="4">
        <f>51.6064 * CHOOSE(CONTROL!$C$9, $C$13, 100%, $E$13) + CHOOSE(CONTROL!$C$28, 0.0021, 0)</f>
        <v>51.608499999999999</v>
      </c>
      <c r="E550" s="4">
        <f>247.534534556595 * CHOOSE(CONTROL!$C$9, $C$13, 100%, $E$13) + CHOOSE(CONTROL!$C$28, 0.0021, 0)</f>
        <v>247.536634556595</v>
      </c>
    </row>
    <row r="551" spans="1:5" ht="15">
      <c r="A551" s="13">
        <v>57922</v>
      </c>
      <c r="B551" s="4">
        <f>36.9951 * CHOOSE(CONTROL!$C$9, $C$13, 100%, $E$13) + CHOOSE(CONTROL!$C$28, 0.0226, 0)</f>
        <v>37.017699999999998</v>
      </c>
      <c r="C551" s="4">
        <f>36.6319 * CHOOSE(CONTROL!$C$9, $C$13, 100%, $E$13) + CHOOSE(CONTROL!$C$28, 0.0226, 0)</f>
        <v>36.654499999999999</v>
      </c>
      <c r="D551" s="4">
        <f>52.4274 * CHOOSE(CONTROL!$C$9, $C$13, 100%, $E$13) + CHOOSE(CONTROL!$C$28, 0.0021, 0)</f>
        <v>52.429499999999997</v>
      </c>
      <c r="E551" s="4">
        <f>247.455802198275 * CHOOSE(CONTROL!$C$9, $C$13, 100%, $E$13) + CHOOSE(CONTROL!$C$28, 0.0021, 0)</f>
        <v>247.45790219827501</v>
      </c>
    </row>
    <row r="552" spans="1:5" ht="15">
      <c r="A552" s="13">
        <v>57953</v>
      </c>
      <c r="B552" s="4">
        <f>37.8624 * CHOOSE(CONTROL!$C$9, $C$13, 100%, $E$13) + CHOOSE(CONTROL!$C$28, 0.0226, 0)</f>
        <v>37.884999999999998</v>
      </c>
      <c r="C552" s="4">
        <f>37.4991 * CHOOSE(CONTROL!$C$9, $C$13, 100%, $E$13) + CHOOSE(CONTROL!$C$28, 0.0226, 0)</f>
        <v>37.521699999999996</v>
      </c>
      <c r="D552" s="4">
        <f>51.8852 * CHOOSE(CONTROL!$C$9, $C$13, 100%, $E$13) + CHOOSE(CONTROL!$C$28, 0.0021, 0)</f>
        <v>51.887299999999996</v>
      </c>
      <c r="E552" s="4">
        <f>253.38041216182 * CHOOSE(CONTROL!$C$9, $C$13, 100%, $E$13) + CHOOSE(CONTROL!$C$28, 0.0021, 0)</f>
        <v>253.38251216182002</v>
      </c>
    </row>
    <row r="553" spans="1:5" ht="15">
      <c r="A553" s="13">
        <v>57983</v>
      </c>
      <c r="B553" s="4">
        <f>36.3843 * CHOOSE(CONTROL!$C$9, $C$13, 100%, $E$13) + CHOOSE(CONTROL!$C$28, 0.0226, 0)</f>
        <v>36.4069</v>
      </c>
      <c r="C553" s="4">
        <f>36.0211 * CHOOSE(CONTROL!$C$9, $C$13, 100%, $E$13) + CHOOSE(CONTROL!$C$28, 0.0226, 0)</f>
        <v>36.043699999999994</v>
      </c>
      <c r="D553" s="4">
        <f>51.6291 * CHOOSE(CONTROL!$C$9, $C$13, 100%, $E$13) + CHOOSE(CONTROL!$C$28, 0.0021, 0)</f>
        <v>51.6312</v>
      </c>
      <c r="E553" s="4">
        <f>243.28298720734 * CHOOSE(CONTROL!$C$9, $C$13, 100%, $E$13) + CHOOSE(CONTROL!$C$28, 0.0021, 0)</f>
        <v>243.28508720734001</v>
      </c>
    </row>
    <row r="554" spans="1:5" ht="15">
      <c r="A554" s="13">
        <v>58014</v>
      </c>
      <c r="B554" s="4">
        <f>35.2011 * CHOOSE(CONTROL!$C$9, $C$13, 100%, $E$13) + CHOOSE(CONTROL!$C$28, 0.0226, 0)</f>
        <v>35.223699999999994</v>
      </c>
      <c r="C554" s="4">
        <f>34.8379 * CHOOSE(CONTROL!$C$9, $C$13, 100%, $E$13) + CHOOSE(CONTROL!$C$28, 0.0226, 0)</f>
        <v>34.860499999999995</v>
      </c>
      <c r="D554" s="4">
        <f>50.9432 * CHOOSE(CONTROL!$C$9, $C$13, 100%, $E$13) + CHOOSE(CONTROL!$C$28, 0.0021, 0)</f>
        <v>50.945299999999996</v>
      </c>
      <c r="E554" s="4">
        <f>235.199798419869 * CHOOSE(CONTROL!$C$9, $C$13, 100%, $E$13) + CHOOSE(CONTROL!$C$28, 0.0021, 0)</f>
        <v>235.20189841986902</v>
      </c>
    </row>
    <row r="555" spans="1:5" ht="15">
      <c r="A555" s="13">
        <v>58044</v>
      </c>
      <c r="B555" s="4">
        <f>34.4391 * CHOOSE(CONTROL!$C$9, $C$13, 100%, $E$13) + CHOOSE(CONTROL!$C$28, 0.0226, 0)</f>
        <v>34.4617</v>
      </c>
      <c r="C555" s="4">
        <f>34.0758 * CHOOSE(CONTROL!$C$9, $C$13, 100%, $E$13) + CHOOSE(CONTROL!$C$28, 0.0226, 0)</f>
        <v>34.098399999999998</v>
      </c>
      <c r="D555" s="4">
        <f>50.7074 * CHOOSE(CONTROL!$C$9, $C$13, 100%, $E$13) + CHOOSE(CONTROL!$C$28, 0.0021, 0)</f>
        <v>50.709499999999998</v>
      </c>
      <c r="E555" s="4">
        <f>229.99362122599 * CHOOSE(CONTROL!$C$9, $C$13, 100%, $E$13) + CHOOSE(CONTROL!$C$28, 0.0021, 0)</f>
        <v>229.99572122599002</v>
      </c>
    </row>
    <row r="556" spans="1:5" ht="15">
      <c r="A556" s="13">
        <v>58075</v>
      </c>
      <c r="B556" s="4">
        <f>33.9118 * CHOOSE(CONTROL!$C$9, $C$13, 100%, $E$13) + CHOOSE(CONTROL!$C$28, 0.0226, 0)</f>
        <v>33.934399999999997</v>
      </c>
      <c r="C556" s="4">
        <f>33.5486 * CHOOSE(CONTROL!$C$9, $C$13, 100%, $E$13) + CHOOSE(CONTROL!$C$28, 0.0226, 0)</f>
        <v>33.571199999999997</v>
      </c>
      <c r="D556" s="4">
        <f>48.9714 * CHOOSE(CONTROL!$C$9, $C$13, 100%, $E$13) + CHOOSE(CONTROL!$C$28, 0.0021, 0)</f>
        <v>48.973500000000001</v>
      </c>
      <c r="E556" s="4">
        <f>226.391615832872 * CHOOSE(CONTROL!$C$9, $C$13, 100%, $E$13) + CHOOSE(CONTROL!$C$28, 0.0021, 0)</f>
        <v>226.393715832872</v>
      </c>
    </row>
    <row r="557" spans="1:5" ht="15">
      <c r="A557" s="13">
        <v>58106</v>
      </c>
      <c r="B557" s="4">
        <f>32.4693 * CHOOSE(CONTROL!$C$9, $C$13, 100%, $E$13) + CHOOSE(CONTROL!$C$28, 0.0226, 0)</f>
        <v>32.491899999999994</v>
      </c>
      <c r="C557" s="4">
        <f>32.106 * CHOOSE(CONTROL!$C$9, $C$13, 100%, $E$13) + CHOOSE(CONTROL!$C$28, 0.0226, 0)</f>
        <v>32.128599999999999</v>
      </c>
      <c r="D557" s="4">
        <f>47.059 * CHOOSE(CONTROL!$C$9, $C$13, 100%, $E$13) + CHOOSE(CONTROL!$C$28, 0.0021, 0)</f>
        <v>47.061099999999996</v>
      </c>
      <c r="E557" s="4">
        <f>216.961485111449 * CHOOSE(CONTROL!$C$9, $C$13, 100%, $E$13) + CHOOSE(CONTROL!$C$28, 0.0021, 0)</f>
        <v>216.96358511144902</v>
      </c>
    </row>
    <row r="558" spans="1:5" ht="15">
      <c r="A558" s="13">
        <v>58134</v>
      </c>
      <c r="B558" s="4">
        <f>33.2219 * CHOOSE(CONTROL!$C$9, $C$13, 100%, $E$13) + CHOOSE(CONTROL!$C$28, 0.0226, 0)</f>
        <v>33.244499999999995</v>
      </c>
      <c r="C558" s="4">
        <f>32.8586 * CHOOSE(CONTROL!$C$9, $C$13, 100%, $E$13) + CHOOSE(CONTROL!$C$28, 0.0226, 0)</f>
        <v>32.8812</v>
      </c>
      <c r="D558" s="4">
        <f>48.6546 * CHOOSE(CONTROL!$C$9, $C$13, 100%, $E$13) + CHOOSE(CONTROL!$C$28, 0.0021, 0)</f>
        <v>48.656700000000001</v>
      </c>
      <c r="E558" s="4">
        <f>222.11300579356 * CHOOSE(CONTROL!$C$9, $C$13, 100%, $E$13) + CHOOSE(CONTROL!$C$28, 0.0021, 0)</f>
        <v>222.11510579356002</v>
      </c>
    </row>
    <row r="559" spans="1:5" ht="15">
      <c r="A559" s="13">
        <v>58165</v>
      </c>
      <c r="B559" s="4">
        <f>35.1982 * CHOOSE(CONTROL!$C$9, $C$13, 100%, $E$13) + CHOOSE(CONTROL!$C$28, 0.0226, 0)</f>
        <v>35.220799999999997</v>
      </c>
      <c r="C559" s="4">
        <f>34.8349 * CHOOSE(CONTROL!$C$9, $C$13, 100%, $E$13) + CHOOSE(CONTROL!$C$28, 0.0226, 0)</f>
        <v>34.857499999999995</v>
      </c>
      <c r="D559" s="4">
        <f>51.1523 * CHOOSE(CONTROL!$C$9, $C$13, 100%, $E$13) + CHOOSE(CONTROL!$C$28, 0.0021, 0)</f>
        <v>51.154399999999995</v>
      </c>
      <c r="E559" s="4">
        <f>235.641172873218 * CHOOSE(CONTROL!$C$9, $C$13, 100%, $E$13) + CHOOSE(CONTROL!$C$28, 0.0021, 0)</f>
        <v>235.64327287321802</v>
      </c>
    </row>
    <row r="560" spans="1:5" ht="15">
      <c r="A560" s="13">
        <v>58195</v>
      </c>
      <c r="B560" s="4">
        <f>36.6024 * CHOOSE(CONTROL!$C$9, $C$13, 100%, $E$13) + CHOOSE(CONTROL!$C$28, 0.0226, 0)</f>
        <v>36.625</v>
      </c>
      <c r="C560" s="4">
        <f>36.2391 * CHOOSE(CONTROL!$C$9, $C$13, 100%, $E$13) + CHOOSE(CONTROL!$C$28, 0.0226, 0)</f>
        <v>36.261699999999998</v>
      </c>
      <c r="D560" s="4">
        <f>52.591 * CHOOSE(CONTROL!$C$9, $C$13, 100%, $E$13) + CHOOSE(CONTROL!$C$28, 0.0021, 0)</f>
        <v>52.5931</v>
      </c>
      <c r="E560" s="4">
        <f>245.253115869846 * CHOOSE(CONTROL!$C$9, $C$13, 100%, $E$13) + CHOOSE(CONTROL!$C$28, 0.0021, 0)</f>
        <v>245.25521586984601</v>
      </c>
    </row>
    <row r="561" spans="1:5" ht="15">
      <c r="A561" s="13">
        <v>58226</v>
      </c>
      <c r="B561" s="4">
        <f>37.4603 * CHOOSE(CONTROL!$C$9, $C$13, 100%, $E$13) + CHOOSE(CONTROL!$C$28, 0.0226, 0)</f>
        <v>37.482899999999994</v>
      </c>
      <c r="C561" s="4">
        <f>37.0971 * CHOOSE(CONTROL!$C$9, $C$13, 100%, $E$13) + CHOOSE(CONTROL!$C$28, 0.0226, 0)</f>
        <v>37.119699999999995</v>
      </c>
      <c r="D561" s="4">
        <f>52.0225 * CHOOSE(CONTROL!$C$9, $C$13, 100%, $E$13) + CHOOSE(CONTROL!$C$28, 0.0021, 0)</f>
        <v>52.0246</v>
      </c>
      <c r="E561" s="4">
        <f>251.125782674663 * CHOOSE(CONTROL!$C$9, $C$13, 100%, $E$13) + CHOOSE(CONTROL!$C$28, 0.0021, 0)</f>
        <v>251.127882674663</v>
      </c>
    </row>
    <row r="562" spans="1:5" ht="15">
      <c r="A562" s="13">
        <v>58256</v>
      </c>
      <c r="B562" s="4">
        <f>37.5764 * CHOOSE(CONTROL!$C$9, $C$13, 100%, $E$13) + CHOOSE(CONTROL!$C$28, 0.0226, 0)</f>
        <v>37.598999999999997</v>
      </c>
      <c r="C562" s="4">
        <f>37.2131 * CHOOSE(CONTROL!$C$9, $C$13, 100%, $E$13) + CHOOSE(CONTROL!$C$28, 0.0226, 0)</f>
        <v>37.235699999999994</v>
      </c>
      <c r="D562" s="4">
        <f>52.4855 * CHOOSE(CONTROL!$C$9, $C$13, 100%, $E$13) + CHOOSE(CONTROL!$C$28, 0.0021, 0)</f>
        <v>52.4876</v>
      </c>
      <c r="E562" s="4">
        <f>251.920378865423 * CHOOSE(CONTROL!$C$9, $C$13, 100%, $E$13) + CHOOSE(CONTROL!$C$28, 0.0021, 0)</f>
        <v>251.92247886542302</v>
      </c>
    </row>
    <row r="563" spans="1:5" ht="15">
      <c r="A563" s="13">
        <v>58287</v>
      </c>
      <c r="B563" s="4">
        <f>37.5647 * CHOOSE(CONTROL!$C$9, $C$13, 100%, $E$13) + CHOOSE(CONTROL!$C$28, 0.0226, 0)</f>
        <v>37.587299999999999</v>
      </c>
      <c r="C563" s="4">
        <f>37.2014 * CHOOSE(CONTROL!$C$9, $C$13, 100%, $E$13) + CHOOSE(CONTROL!$C$28, 0.0226, 0)</f>
        <v>37.223999999999997</v>
      </c>
      <c r="D563" s="4">
        <f>53.321 * CHOOSE(CONTROL!$C$9, $C$13, 100%, $E$13) + CHOOSE(CONTROL!$C$28, 0.0021, 0)</f>
        <v>53.323099999999997</v>
      </c>
      <c r="E563" s="4">
        <f>251.840251518456 * CHOOSE(CONTROL!$C$9, $C$13, 100%, $E$13) + CHOOSE(CONTROL!$C$28, 0.0021, 0)</f>
        <v>251.84235151845601</v>
      </c>
    </row>
    <row r="564" spans="1:5" ht="15">
      <c r="A564" s="13">
        <v>58318</v>
      </c>
      <c r="B564" s="4">
        <f>38.4456 * CHOOSE(CONTROL!$C$9, $C$13, 100%, $E$13) + CHOOSE(CONTROL!$C$28, 0.0226, 0)</f>
        <v>38.468199999999996</v>
      </c>
      <c r="C564" s="4">
        <f>38.0823 * CHOOSE(CONTROL!$C$9, $C$13, 100%, $E$13) + CHOOSE(CONTROL!$C$28, 0.0226, 0)</f>
        <v>38.104899999999994</v>
      </c>
      <c r="D564" s="4">
        <f>52.7692 * CHOOSE(CONTROL!$C$9, $C$13, 100%, $E$13) + CHOOSE(CONTROL!$C$28, 0.0021, 0)</f>
        <v>52.771299999999997</v>
      </c>
      <c r="E564" s="4">
        <f>257.869834377751 * CHOOSE(CONTROL!$C$9, $C$13, 100%, $E$13) + CHOOSE(CONTROL!$C$28, 0.0021, 0)</f>
        <v>257.87193437775096</v>
      </c>
    </row>
    <row r="565" spans="1:5" ht="15">
      <c r="A565" s="13">
        <v>58348</v>
      </c>
      <c r="B565" s="4">
        <f>36.9443 * CHOOSE(CONTROL!$C$9, $C$13, 100%, $E$13) + CHOOSE(CONTROL!$C$28, 0.0226, 0)</f>
        <v>36.966899999999995</v>
      </c>
      <c r="C565" s="4">
        <f>36.581 * CHOOSE(CONTROL!$C$9, $C$13, 100%, $E$13) + CHOOSE(CONTROL!$C$28, 0.0226, 0)</f>
        <v>36.6036</v>
      </c>
      <c r="D565" s="4">
        <f>52.5086 * CHOOSE(CONTROL!$C$9, $C$13, 100%, $E$13) + CHOOSE(CONTROL!$C$28, 0.0021, 0)</f>
        <v>52.5107</v>
      </c>
      <c r="E565" s="4">
        <f>247.593502129185 * CHOOSE(CONTROL!$C$9, $C$13, 100%, $E$13) + CHOOSE(CONTROL!$C$28, 0.0021, 0)</f>
        <v>247.59560212918501</v>
      </c>
    </row>
    <row r="566" spans="1:5" ht="15">
      <c r="A566" s="13">
        <v>58379</v>
      </c>
      <c r="B566" s="4">
        <f>35.7425 * CHOOSE(CONTROL!$C$9, $C$13, 100%, $E$13) + CHOOSE(CONTROL!$C$28, 0.0226, 0)</f>
        <v>35.765099999999997</v>
      </c>
      <c r="C566" s="4">
        <f>35.3792 * CHOOSE(CONTROL!$C$9, $C$13, 100%, $E$13) + CHOOSE(CONTROL!$C$28, 0.0226, 0)</f>
        <v>35.401799999999994</v>
      </c>
      <c r="D566" s="4">
        <f>51.8106 * CHOOSE(CONTROL!$C$9, $C$13, 100%, $E$13) + CHOOSE(CONTROL!$C$28, 0.0021, 0)</f>
        <v>51.8127</v>
      </c>
      <c r="E566" s="4">
        <f>239.367094507201 * CHOOSE(CONTROL!$C$9, $C$13, 100%, $E$13) + CHOOSE(CONTROL!$C$28, 0.0021, 0)</f>
        <v>239.369194507201</v>
      </c>
    </row>
    <row r="567" spans="1:5" ht="15">
      <c r="A567" s="13">
        <v>58409</v>
      </c>
      <c r="B567" s="4">
        <f>34.9685 * CHOOSE(CONTROL!$C$9, $C$13, 100%, $E$13) + CHOOSE(CONTROL!$C$28, 0.0226, 0)</f>
        <v>34.991099999999996</v>
      </c>
      <c r="C567" s="4">
        <f>34.6052 * CHOOSE(CONTROL!$C$9, $C$13, 100%, $E$13) + CHOOSE(CONTROL!$C$28, 0.0226, 0)</f>
        <v>34.627800000000001</v>
      </c>
      <c r="D567" s="4">
        <f>51.5706 * CHOOSE(CONTROL!$C$9, $C$13, 100%, $E$13) + CHOOSE(CONTROL!$C$28, 0.0021, 0)</f>
        <v>51.572699999999998</v>
      </c>
      <c r="E567" s="4">
        <f>234.068673688984 * CHOOSE(CONTROL!$C$9, $C$13, 100%, $E$13) + CHOOSE(CONTROL!$C$28, 0.0021, 0)</f>
        <v>234.07077368898402</v>
      </c>
    </row>
    <row r="568" spans="1:5" ht="15">
      <c r="A568" s="13">
        <v>58440</v>
      </c>
      <c r="B568" s="4">
        <f>34.4329 * CHOOSE(CONTROL!$C$9, $C$13, 100%, $E$13) + CHOOSE(CONTROL!$C$28, 0.0226, 0)</f>
        <v>34.455499999999994</v>
      </c>
      <c r="C568" s="4">
        <f>34.0697 * CHOOSE(CONTROL!$C$9, $C$13, 100%, $E$13) + CHOOSE(CONTROL!$C$28, 0.0226, 0)</f>
        <v>34.092299999999994</v>
      </c>
      <c r="D568" s="4">
        <f>49.8039 * CHOOSE(CONTROL!$C$9, $C$13, 100%, $E$13) + CHOOSE(CONTROL!$C$28, 0.0021, 0)</f>
        <v>49.805999999999997</v>
      </c>
      <c r="E568" s="4">
        <f>230.402847565226 * CHOOSE(CONTROL!$C$9, $C$13, 100%, $E$13) + CHOOSE(CONTROL!$C$28, 0.0021, 0)</f>
        <v>230.40494756522602</v>
      </c>
    </row>
    <row r="569" spans="1:5" ht="15">
      <c r="A569" s="13">
        <v>58471</v>
      </c>
      <c r="B569" s="4">
        <f>32.9677 * CHOOSE(CONTROL!$C$9, $C$13, 100%, $E$13) + CHOOSE(CONTROL!$C$28, 0.0226, 0)</f>
        <v>32.990299999999998</v>
      </c>
      <c r="C569" s="4">
        <f>32.6044 * CHOOSE(CONTROL!$C$9, $C$13, 100%, $E$13) + CHOOSE(CONTROL!$C$28, 0.0226, 0)</f>
        <v>32.626999999999995</v>
      </c>
      <c r="D569" s="4">
        <f>47.8578 * CHOOSE(CONTROL!$C$9, $C$13, 100%, $E$13) + CHOOSE(CONTROL!$C$28, 0.0021, 0)</f>
        <v>47.859899999999996</v>
      </c>
      <c r="E569" s="4">
        <f>220.805632742872 * CHOOSE(CONTROL!$C$9, $C$13, 100%, $E$13) + CHOOSE(CONTROL!$C$28, 0.0021, 0)</f>
        <v>220.80773274287202</v>
      </c>
    </row>
    <row r="570" spans="1:5" ht="15">
      <c r="A570" s="13">
        <v>58499</v>
      </c>
      <c r="B570" s="4">
        <f>33.7321 * CHOOSE(CONTROL!$C$9, $C$13, 100%, $E$13) + CHOOSE(CONTROL!$C$28, 0.0226, 0)</f>
        <v>33.7547</v>
      </c>
      <c r="C570" s="4">
        <f>33.3688 * CHOOSE(CONTROL!$C$9, $C$13, 100%, $E$13) + CHOOSE(CONTROL!$C$28, 0.0226, 0)</f>
        <v>33.391399999999997</v>
      </c>
      <c r="D570" s="4">
        <f>49.4815 * CHOOSE(CONTROL!$C$9, $C$13, 100%, $E$13) + CHOOSE(CONTROL!$C$28, 0.0021, 0)</f>
        <v>49.483599999999996</v>
      </c>
      <c r="E570" s="4">
        <f>226.048428639191 * CHOOSE(CONTROL!$C$9, $C$13, 100%, $E$13) + CHOOSE(CONTROL!$C$28, 0.0021, 0)</f>
        <v>226.05052863919101</v>
      </c>
    </row>
    <row r="571" spans="1:5" ht="15">
      <c r="A571" s="13">
        <v>58531</v>
      </c>
      <c r="B571" s="4">
        <f>35.7395 * CHOOSE(CONTROL!$C$9, $C$13, 100%, $E$13) + CHOOSE(CONTROL!$C$28, 0.0226, 0)</f>
        <v>35.762099999999997</v>
      </c>
      <c r="C571" s="4">
        <f>35.3762 * CHOOSE(CONTROL!$C$9, $C$13, 100%, $E$13) + CHOOSE(CONTROL!$C$28, 0.0226, 0)</f>
        <v>35.398799999999994</v>
      </c>
      <c r="D571" s="4">
        <f>52.0233 * CHOOSE(CONTROL!$C$9, $C$13, 100%, $E$13) + CHOOSE(CONTROL!$C$28, 0.0021, 0)</f>
        <v>52.025399999999998</v>
      </c>
      <c r="E571" s="4">
        <f>239.816289282018 * CHOOSE(CONTROL!$C$9, $C$13, 100%, $E$13) + CHOOSE(CONTROL!$C$28, 0.0021, 0)</f>
        <v>239.81838928201802</v>
      </c>
    </row>
    <row r="572" spans="1:5" ht="15">
      <c r="A572" s="13">
        <v>58561</v>
      </c>
      <c r="B572" s="4">
        <f>37.1658 * CHOOSE(CONTROL!$C$9, $C$13, 100%, $E$13) + CHOOSE(CONTROL!$C$28, 0.0226, 0)</f>
        <v>37.188399999999994</v>
      </c>
      <c r="C572" s="4">
        <f>36.8025 * CHOOSE(CONTROL!$C$9, $C$13, 100%, $E$13) + CHOOSE(CONTROL!$C$28, 0.0226, 0)</f>
        <v>36.825099999999999</v>
      </c>
      <c r="D572" s="4">
        <f>53.4875 * CHOOSE(CONTROL!$C$9, $C$13, 100%, $E$13) + CHOOSE(CONTROL!$C$28, 0.0021, 0)</f>
        <v>53.489599999999996</v>
      </c>
      <c r="E572" s="4">
        <f>249.598537749614 * CHOOSE(CONTROL!$C$9, $C$13, 100%, $E$13) + CHOOSE(CONTROL!$C$28, 0.0021, 0)</f>
        <v>249.60063774961401</v>
      </c>
    </row>
    <row r="573" spans="1:5" ht="15">
      <c r="A573" s="13">
        <v>58592</v>
      </c>
      <c r="B573" s="4">
        <f>38.0372 * CHOOSE(CONTROL!$C$9, $C$13, 100%, $E$13) + CHOOSE(CONTROL!$C$28, 0.0226, 0)</f>
        <v>38.059799999999996</v>
      </c>
      <c r="C573" s="4">
        <f>37.674 * CHOOSE(CONTROL!$C$9, $C$13, 100%, $E$13) + CHOOSE(CONTROL!$C$28, 0.0226, 0)</f>
        <v>37.696599999999997</v>
      </c>
      <c r="D573" s="4">
        <f>52.9089 * CHOOSE(CONTROL!$C$9, $C$13, 100%, $E$13) + CHOOSE(CONTROL!$C$28, 0.0021, 0)</f>
        <v>52.911000000000001</v>
      </c>
      <c r="E573" s="4">
        <f>255.57525711554 * CHOOSE(CONTROL!$C$9, $C$13, 100%, $E$13) + CHOOSE(CONTROL!$C$28, 0.0021, 0)</f>
        <v>255.57735711554002</v>
      </c>
    </row>
    <row r="574" spans="1:5" ht="15">
      <c r="A574" s="13">
        <v>58622</v>
      </c>
      <c r="B574" s="4">
        <f>38.1552 * CHOOSE(CONTROL!$C$9, $C$13, 100%, $E$13) + CHOOSE(CONTROL!$C$28, 0.0226, 0)</f>
        <v>38.177799999999998</v>
      </c>
      <c r="C574" s="4">
        <f>37.7919 * CHOOSE(CONTROL!$C$9, $C$13, 100%, $E$13) + CHOOSE(CONTROL!$C$28, 0.0226, 0)</f>
        <v>37.814499999999995</v>
      </c>
      <c r="D574" s="4">
        <f>53.3801 * CHOOSE(CONTROL!$C$9, $C$13, 100%, $E$13) + CHOOSE(CONTROL!$C$28, 0.0021, 0)</f>
        <v>53.382199999999997</v>
      </c>
      <c r="E574" s="4">
        <f>256.383932049645 * CHOOSE(CONTROL!$C$9, $C$13, 100%, $E$13) + CHOOSE(CONTROL!$C$28, 0.0021, 0)</f>
        <v>256.386032049645</v>
      </c>
    </row>
    <row r="575" spans="1:5" ht="15">
      <c r="A575" s="13">
        <v>58653</v>
      </c>
      <c r="B575" s="4">
        <f>38.1433 * CHOOSE(CONTROL!$C$9, $C$13, 100%, $E$13) + CHOOSE(CONTROL!$C$28, 0.0226, 0)</f>
        <v>38.165900000000001</v>
      </c>
      <c r="C575" s="4">
        <f>37.78 * CHOOSE(CONTROL!$C$9, $C$13, 100%, $E$13) + CHOOSE(CONTROL!$C$28, 0.0226, 0)</f>
        <v>37.802599999999998</v>
      </c>
      <c r="D575" s="4">
        <f>54.2304 * CHOOSE(CONTROL!$C$9, $C$13, 100%, $E$13) + CHOOSE(CONTROL!$C$28, 0.0021, 0)</f>
        <v>54.232500000000002</v>
      </c>
      <c r="E575" s="4">
        <f>256.302384997466 * CHOOSE(CONTROL!$C$9, $C$13, 100%, $E$13) + CHOOSE(CONTROL!$C$28, 0.0021, 0)</f>
        <v>256.30448499746598</v>
      </c>
    </row>
    <row r="576" spans="1:5" ht="15">
      <c r="A576" s="13">
        <v>58684</v>
      </c>
      <c r="B576" s="4">
        <f>39.038 * CHOOSE(CONTROL!$C$9, $C$13, 100%, $E$13) + CHOOSE(CONTROL!$C$28, 0.0226, 0)</f>
        <v>39.060599999999994</v>
      </c>
      <c r="C576" s="4">
        <f>38.6747 * CHOOSE(CONTROL!$C$9, $C$13, 100%, $E$13) + CHOOSE(CONTROL!$C$28, 0.0226, 0)</f>
        <v>38.697299999999998</v>
      </c>
      <c r="D576" s="4">
        <f>53.6689 * CHOOSE(CONTROL!$C$9, $C$13, 100%, $E$13) + CHOOSE(CONTROL!$C$28, 0.0021, 0)</f>
        <v>53.670999999999999</v>
      </c>
      <c r="E576" s="4">
        <f>262.438800673909 * CHOOSE(CONTROL!$C$9, $C$13, 100%, $E$13) + CHOOSE(CONTROL!$C$28, 0.0021, 0)</f>
        <v>262.44090067390897</v>
      </c>
    </row>
    <row r="577" spans="1:5" ht="15">
      <c r="A577" s="13">
        <v>58714</v>
      </c>
      <c r="B577" s="4">
        <f>37.5131 * CHOOSE(CONTROL!$C$9, $C$13, 100%, $E$13) + CHOOSE(CONTROL!$C$28, 0.0226, 0)</f>
        <v>37.535699999999999</v>
      </c>
      <c r="C577" s="4">
        <f>37.1498 * CHOOSE(CONTROL!$C$9, $C$13, 100%, $E$13) + CHOOSE(CONTROL!$C$28, 0.0226, 0)</f>
        <v>37.172399999999996</v>
      </c>
      <c r="D577" s="4">
        <f>53.4036 * CHOOSE(CONTROL!$C$9, $C$13, 100%, $E$13) + CHOOSE(CONTROL!$C$28, 0.0021, 0)</f>
        <v>53.405699999999996</v>
      </c>
      <c r="E577" s="4">
        <f>251.980391231998 * CHOOSE(CONTROL!$C$9, $C$13, 100%, $E$13) + CHOOSE(CONTROL!$C$28, 0.0021, 0)</f>
        <v>251.98249123199801</v>
      </c>
    </row>
    <row r="578" spans="1:5" ht="15">
      <c r="A578" s="13">
        <v>58745</v>
      </c>
      <c r="B578" s="4">
        <f>36.2924 * CHOOSE(CONTROL!$C$9, $C$13, 100%, $E$13) + CHOOSE(CONTROL!$C$28, 0.0226, 0)</f>
        <v>36.314999999999998</v>
      </c>
      <c r="C578" s="4">
        <f>35.9291 * CHOOSE(CONTROL!$C$9, $C$13, 100%, $E$13) + CHOOSE(CONTROL!$C$28, 0.0226, 0)</f>
        <v>35.951699999999995</v>
      </c>
      <c r="D578" s="4">
        <f>52.6933 * CHOOSE(CONTROL!$C$9, $C$13, 100%, $E$13) + CHOOSE(CONTROL!$C$28, 0.0021, 0)</f>
        <v>52.695399999999999</v>
      </c>
      <c r="E578" s="4">
        <f>243.608227208324 * CHOOSE(CONTROL!$C$9, $C$13, 100%, $E$13) + CHOOSE(CONTROL!$C$28, 0.0021, 0)</f>
        <v>243.61032720832401</v>
      </c>
    </row>
    <row r="579" spans="1:5" ht="15">
      <c r="A579" s="13">
        <v>58775</v>
      </c>
      <c r="B579" s="4">
        <f>35.5062 * CHOOSE(CONTROL!$C$9, $C$13, 100%, $E$13) + CHOOSE(CONTROL!$C$28, 0.0226, 0)</f>
        <v>35.528799999999997</v>
      </c>
      <c r="C579" s="4">
        <f>35.1429 * CHOOSE(CONTROL!$C$9, $C$13, 100%, $E$13) + CHOOSE(CONTROL!$C$28, 0.0226, 0)</f>
        <v>35.165499999999994</v>
      </c>
      <c r="D579" s="4">
        <f>52.449 * CHOOSE(CONTROL!$C$9, $C$13, 100%, $E$13) + CHOOSE(CONTROL!$C$28, 0.0021, 0)</f>
        <v>52.451099999999997</v>
      </c>
      <c r="E579" s="4">
        <f>238.215928383012 * CHOOSE(CONTROL!$C$9, $C$13, 100%, $E$13) + CHOOSE(CONTROL!$C$28, 0.0021, 0)</f>
        <v>238.21802838301201</v>
      </c>
    </row>
    <row r="580" spans="1:5" ht="15">
      <c r="A580" s="13">
        <v>58806</v>
      </c>
      <c r="B580" s="4">
        <f>34.9622 * CHOOSE(CONTROL!$C$9, $C$13, 100%, $E$13) + CHOOSE(CONTROL!$C$28, 0.0226, 0)</f>
        <v>34.9848</v>
      </c>
      <c r="C580" s="4">
        <f>34.5989 * CHOOSE(CONTROL!$C$9, $C$13, 100%, $E$13) + CHOOSE(CONTROL!$C$28, 0.0226, 0)</f>
        <v>34.621499999999997</v>
      </c>
      <c r="D580" s="4">
        <f>50.6511 * CHOOSE(CONTROL!$C$9, $C$13, 100%, $E$13) + CHOOSE(CONTROL!$C$28, 0.0021, 0)</f>
        <v>50.653199999999998</v>
      </c>
      <c r="E580" s="4">
        <f>234.485150745839 * CHOOSE(CONTROL!$C$9, $C$13, 100%, $E$13) + CHOOSE(CONTROL!$C$28, 0.0021, 0)</f>
        <v>234.48725074583902</v>
      </c>
    </row>
    <row r="581" spans="1:5" ht="15">
      <c r="A581" s="13">
        <v>58837</v>
      </c>
      <c r="B581" s="4">
        <f>33.474 * CHOOSE(CONTROL!$C$9, $C$13, 100%, $E$13) + CHOOSE(CONTROL!$C$28, 0.0226, 0)</f>
        <v>33.496599999999994</v>
      </c>
      <c r="C581" s="4">
        <f>33.1107 * CHOOSE(CONTROL!$C$9, $C$13, 100%, $E$13) + CHOOSE(CONTROL!$C$28, 0.0226, 0)</f>
        <v>33.133299999999998</v>
      </c>
      <c r="D581" s="4">
        <f>48.6706 * CHOOSE(CONTROL!$C$9, $C$13, 100%, $E$13) + CHOOSE(CONTROL!$C$28, 0.0021, 0)</f>
        <v>48.672699999999999</v>
      </c>
      <c r="E581" s="4">
        <f>224.71789140794 * CHOOSE(CONTROL!$C$9, $C$13, 100%, $E$13) + CHOOSE(CONTROL!$C$28, 0.0021, 0)</f>
        <v>224.71999140794</v>
      </c>
    </row>
    <row r="582" spans="1:5" ht="15">
      <c r="A582" s="13">
        <v>58865</v>
      </c>
      <c r="B582" s="4">
        <f>34.2504 * CHOOSE(CONTROL!$C$9, $C$13, 100%, $E$13) + CHOOSE(CONTROL!$C$28, 0.0226, 0)</f>
        <v>34.272999999999996</v>
      </c>
      <c r="C582" s="4">
        <f>33.8871 * CHOOSE(CONTROL!$C$9, $C$13, 100%, $E$13) + CHOOSE(CONTROL!$C$28, 0.0226, 0)</f>
        <v>33.909699999999994</v>
      </c>
      <c r="D582" s="4">
        <f>50.323 * CHOOSE(CONTROL!$C$9, $C$13, 100%, $E$13) + CHOOSE(CONTROL!$C$28, 0.0021, 0)</f>
        <v>50.325099999999999</v>
      </c>
      <c r="E582" s="4">
        <f>230.053579742824 * CHOOSE(CONTROL!$C$9, $C$13, 100%, $E$13) + CHOOSE(CONTROL!$C$28, 0.0021, 0)</f>
        <v>230.05567974282403</v>
      </c>
    </row>
    <row r="583" spans="1:5" ht="15">
      <c r="A583" s="13">
        <v>58893</v>
      </c>
      <c r="B583" s="4">
        <f>36.2894 * CHOOSE(CONTROL!$C$9, $C$13, 100%, $E$13) + CHOOSE(CONTROL!$C$28, 0.0226, 0)</f>
        <v>36.311999999999998</v>
      </c>
      <c r="C583" s="4">
        <f>35.9261 * CHOOSE(CONTROL!$C$9, $C$13, 100%, $E$13) + CHOOSE(CONTROL!$C$28, 0.0226, 0)</f>
        <v>35.948699999999995</v>
      </c>
      <c r="D583" s="4">
        <f>52.9098 * CHOOSE(CONTROL!$C$9, $C$13, 100%, $E$13) + CHOOSE(CONTROL!$C$28, 0.0021, 0)</f>
        <v>52.911899999999996</v>
      </c>
      <c r="E583" s="4">
        <f>244.065380865929 * CHOOSE(CONTROL!$C$9, $C$13, 100%, $E$13) + CHOOSE(CONTROL!$C$28, 0.0021, 0)</f>
        <v>244.06748086592901</v>
      </c>
    </row>
    <row r="584" spans="1:5" ht="15">
      <c r="A584" s="13">
        <v>58926</v>
      </c>
      <c r="B584" s="4">
        <f>37.7381 * CHOOSE(CONTROL!$C$9, $C$13, 100%, $E$13) + CHOOSE(CONTROL!$C$28, 0.0226, 0)</f>
        <v>37.7607</v>
      </c>
      <c r="C584" s="4">
        <f>37.3748 * CHOOSE(CONTROL!$C$9, $C$13, 100%, $E$13) + CHOOSE(CONTROL!$C$28, 0.0226, 0)</f>
        <v>37.397399999999998</v>
      </c>
      <c r="D584" s="4">
        <f>54.3998 * CHOOSE(CONTROL!$C$9, $C$13, 100%, $E$13) + CHOOSE(CONTROL!$C$28, 0.0021, 0)</f>
        <v>54.401899999999998</v>
      </c>
      <c r="E584" s="4">
        <f>254.020952295697 * CHOOSE(CONTROL!$C$9, $C$13, 100%, $E$13) + CHOOSE(CONTROL!$C$28, 0.0021, 0)</f>
        <v>254.023052295697</v>
      </c>
    </row>
    <row r="585" spans="1:5" ht="15">
      <c r="A585" s="13">
        <v>58957</v>
      </c>
      <c r="B585" s="4">
        <f>38.6232 * CHOOSE(CONTROL!$C$9, $C$13, 100%, $E$13) + CHOOSE(CONTROL!$C$28, 0.0226, 0)</f>
        <v>38.645799999999994</v>
      </c>
      <c r="C585" s="4">
        <f>38.2599 * CHOOSE(CONTROL!$C$9, $C$13, 100%, $E$13) + CHOOSE(CONTROL!$C$28, 0.0226, 0)</f>
        <v>38.282499999999999</v>
      </c>
      <c r="D585" s="4">
        <f>53.811 * CHOOSE(CONTROL!$C$9, $C$13, 100%, $E$13) + CHOOSE(CONTROL!$C$28, 0.0021, 0)</f>
        <v>53.813099999999999</v>
      </c>
      <c r="E585" s="4">
        <f>260.103567837539 * CHOOSE(CONTROL!$C$9, $C$13, 100%, $E$13) + CHOOSE(CONTROL!$C$28, 0.0021, 0)</f>
        <v>260.10566783753899</v>
      </c>
    </row>
    <row r="586" spans="1:5" ht="15">
      <c r="A586" s="13">
        <v>58987</v>
      </c>
      <c r="B586" s="4">
        <f>38.743 * CHOOSE(CONTROL!$C$9, $C$13, 100%, $E$13) + CHOOSE(CONTROL!$C$28, 0.0226, 0)</f>
        <v>38.765599999999999</v>
      </c>
      <c r="C586" s="4">
        <f>38.3797 * CHOOSE(CONTROL!$C$9, $C$13, 100%, $E$13) + CHOOSE(CONTROL!$C$28, 0.0226, 0)</f>
        <v>38.402299999999997</v>
      </c>
      <c r="D586" s="4">
        <f>54.2906 * CHOOSE(CONTROL!$C$9, $C$13, 100%, $E$13) + CHOOSE(CONTROL!$C$28, 0.0021, 0)</f>
        <v>54.292699999999996</v>
      </c>
      <c r="E586" s="4">
        <f>260.926570963723 * CHOOSE(CONTROL!$C$9, $C$13, 100%, $E$13) + CHOOSE(CONTROL!$C$28, 0.0021, 0)</f>
        <v>260.92867096372299</v>
      </c>
    </row>
    <row r="587" spans="1:5" ht="15">
      <c r="A587" s="13">
        <v>59018</v>
      </c>
      <c r="B587" s="4">
        <f>38.7309 * CHOOSE(CONTROL!$C$9, $C$13, 100%, $E$13) + CHOOSE(CONTROL!$C$28, 0.0226, 0)</f>
        <v>38.753499999999995</v>
      </c>
      <c r="C587" s="4">
        <f>38.3676 * CHOOSE(CONTROL!$C$9, $C$13, 100%, $E$13) + CHOOSE(CONTROL!$C$28, 0.0226, 0)</f>
        <v>38.3902</v>
      </c>
      <c r="D587" s="4">
        <f>55.1558 * CHOOSE(CONTROL!$C$9, $C$13, 100%, $E$13) + CHOOSE(CONTROL!$C$28, 0.0021, 0)</f>
        <v>55.157899999999998</v>
      </c>
      <c r="E587" s="4">
        <f>260.843579051839 * CHOOSE(CONTROL!$C$9, $C$13, 100%, $E$13) + CHOOSE(CONTROL!$C$28, 0.0021, 0)</f>
        <v>260.845679051839</v>
      </c>
    </row>
    <row r="588" spans="1:5" ht="15">
      <c r="A588" s="13">
        <v>59049</v>
      </c>
      <c r="B588" s="4">
        <f>39.6397 * CHOOSE(CONTROL!$C$9, $C$13, 100%, $E$13) + CHOOSE(CONTROL!$C$28, 0.0226, 0)</f>
        <v>39.662299999999995</v>
      </c>
      <c r="C588" s="4">
        <f>39.2764 * CHOOSE(CONTROL!$C$9, $C$13, 100%, $E$13) + CHOOSE(CONTROL!$C$28, 0.0226, 0)</f>
        <v>39.298999999999999</v>
      </c>
      <c r="D588" s="4">
        <f>54.5844 * CHOOSE(CONTROL!$C$9, $C$13, 100%, $E$13) + CHOOSE(CONTROL!$C$28, 0.0021, 0)</f>
        <v>54.586500000000001</v>
      </c>
      <c r="E588" s="4">
        <f>267.08872042112 * CHOOSE(CONTROL!$C$9, $C$13, 100%, $E$13) + CHOOSE(CONTROL!$C$28, 0.0021, 0)</f>
        <v>267.09082042111999</v>
      </c>
    </row>
    <row r="589" spans="1:5" ht="15">
      <c r="A589" s="13">
        <v>59079</v>
      </c>
      <c r="B589" s="4">
        <f>38.0908 * CHOOSE(CONTROL!$C$9, $C$13, 100%, $E$13) + CHOOSE(CONTROL!$C$28, 0.0226, 0)</f>
        <v>38.113399999999999</v>
      </c>
      <c r="C589" s="4">
        <f>37.7275 * CHOOSE(CONTROL!$C$9, $C$13, 100%, $E$13) + CHOOSE(CONTROL!$C$28, 0.0226, 0)</f>
        <v>37.750099999999996</v>
      </c>
      <c r="D589" s="4">
        <f>54.3144 * CHOOSE(CONTROL!$C$9, $C$13, 100%, $E$13) + CHOOSE(CONTROL!$C$28, 0.0021, 0)</f>
        <v>54.316499999999998</v>
      </c>
      <c r="E589" s="4">
        <f>256.44500772198 * CHOOSE(CONTROL!$C$9, $C$13, 100%, $E$13) + CHOOSE(CONTROL!$C$28, 0.0021, 0)</f>
        <v>256.44710772197999</v>
      </c>
    </row>
    <row r="590" spans="1:5" ht="15">
      <c r="A590" s="13">
        <v>59110</v>
      </c>
      <c r="B590" s="4">
        <f>36.8509 * CHOOSE(CONTROL!$C$9, $C$13, 100%, $E$13) + CHOOSE(CONTROL!$C$28, 0.0226, 0)</f>
        <v>36.8735</v>
      </c>
      <c r="C590" s="4">
        <f>36.4877 * CHOOSE(CONTROL!$C$9, $C$13, 100%, $E$13) + CHOOSE(CONTROL!$C$28, 0.0226, 0)</f>
        <v>36.510299999999994</v>
      </c>
      <c r="D590" s="4">
        <f>53.5915 * CHOOSE(CONTROL!$C$9, $C$13, 100%, $E$13) + CHOOSE(CONTROL!$C$28, 0.0021, 0)</f>
        <v>53.593600000000002</v>
      </c>
      <c r="E590" s="4">
        <f>247.924504768542 * CHOOSE(CONTROL!$C$9, $C$13, 100%, $E$13) + CHOOSE(CONTROL!$C$28, 0.0021, 0)</f>
        <v>247.92660476854201</v>
      </c>
    </row>
    <row r="591" spans="1:5" ht="15">
      <c r="A591" s="13">
        <v>59140</v>
      </c>
      <c r="B591" s="4">
        <f>36.0524 * CHOOSE(CONTROL!$C$9, $C$13, 100%, $E$13) + CHOOSE(CONTROL!$C$28, 0.0226, 0)</f>
        <v>36.074999999999996</v>
      </c>
      <c r="C591" s="4">
        <f>35.6891 * CHOOSE(CONTROL!$C$9, $C$13, 100%, $E$13) + CHOOSE(CONTROL!$C$28, 0.0226, 0)</f>
        <v>35.7117</v>
      </c>
      <c r="D591" s="4">
        <f>53.343 * CHOOSE(CONTROL!$C$9, $C$13, 100%, $E$13) + CHOOSE(CONTROL!$C$28, 0.0021, 0)</f>
        <v>53.345100000000002</v>
      </c>
      <c r="E591" s="4">
        <f>242.436664595203 * CHOOSE(CONTROL!$C$9, $C$13, 100%, $E$13) + CHOOSE(CONTROL!$C$28, 0.0021, 0)</f>
        <v>242.43876459520303</v>
      </c>
    </row>
    <row r="592" spans="1:5" ht="15">
      <c r="A592" s="13">
        <v>59171</v>
      </c>
      <c r="B592" s="4">
        <f>35.4998 * CHOOSE(CONTROL!$C$9, $C$13, 100%, $E$13) + CHOOSE(CONTROL!$C$28, 0.0226, 0)</f>
        <v>35.522399999999998</v>
      </c>
      <c r="C592" s="4">
        <f>35.1366 * CHOOSE(CONTROL!$C$9, $C$13, 100%, $E$13) + CHOOSE(CONTROL!$C$28, 0.0226, 0)</f>
        <v>35.159199999999998</v>
      </c>
      <c r="D592" s="4">
        <f>51.5133 * CHOOSE(CONTROL!$C$9, $C$13, 100%, $E$13) + CHOOSE(CONTROL!$C$28, 0.0021, 0)</f>
        <v>51.5154</v>
      </c>
      <c r="E592" s="4">
        <f>238.639784626504 * CHOOSE(CONTROL!$C$9, $C$13, 100%, $E$13) + CHOOSE(CONTROL!$C$28, 0.0021, 0)</f>
        <v>238.64188462650401</v>
      </c>
    </row>
    <row r="593" spans="1:5" ht="15">
      <c r="A593" s="13">
        <v>59202</v>
      </c>
      <c r="B593" s="4">
        <f>33.9882 * CHOOSE(CONTROL!$C$9, $C$13, 100%, $E$13) + CHOOSE(CONTROL!$C$28, 0.0226, 0)</f>
        <v>34.010799999999996</v>
      </c>
      <c r="C593" s="4">
        <f>33.6249 * CHOOSE(CONTROL!$C$9, $C$13, 100%, $E$13) + CHOOSE(CONTROL!$C$28, 0.0226, 0)</f>
        <v>33.647499999999994</v>
      </c>
      <c r="D593" s="4">
        <f>49.4978 * CHOOSE(CONTROL!$C$9, $C$13, 100%, $E$13) + CHOOSE(CONTROL!$C$28, 0.0021, 0)</f>
        <v>49.499899999999997</v>
      </c>
      <c r="E593" s="4">
        <f>228.699467905494 * CHOOSE(CONTROL!$C$9, $C$13, 100%, $E$13) + CHOOSE(CONTROL!$C$28, 0.0021, 0)</f>
        <v>228.70156790549402</v>
      </c>
    </row>
    <row r="594" spans="1:5" ht="15">
      <c r="A594" s="13">
        <v>59230</v>
      </c>
      <c r="B594" s="4">
        <f>34.7768 * CHOOSE(CONTROL!$C$9, $C$13, 100%, $E$13) + CHOOSE(CONTROL!$C$28, 0.0226, 0)</f>
        <v>34.799399999999999</v>
      </c>
      <c r="C594" s="4">
        <f>34.4135 * CHOOSE(CONTROL!$C$9, $C$13, 100%, $E$13) + CHOOSE(CONTROL!$C$28, 0.0226, 0)</f>
        <v>34.436099999999996</v>
      </c>
      <c r="D594" s="4">
        <f>51.1794 * CHOOSE(CONTROL!$C$9, $C$13, 100%, $E$13) + CHOOSE(CONTROL!$C$28, 0.0021, 0)</f>
        <v>51.1815</v>
      </c>
      <c r="E594" s="4">
        <f>234.129694557463 * CHOOSE(CONTROL!$C$9, $C$13, 100%, $E$13) + CHOOSE(CONTROL!$C$28, 0.0021, 0)</f>
        <v>234.13179455746302</v>
      </c>
    </row>
    <row r="595" spans="1:5" ht="15">
      <c r="A595" s="13">
        <v>59261</v>
      </c>
      <c r="B595" s="4">
        <f>36.8479 * CHOOSE(CONTROL!$C$9, $C$13, 100%, $E$13) + CHOOSE(CONTROL!$C$28, 0.0226, 0)</f>
        <v>36.8705</v>
      </c>
      <c r="C595" s="4">
        <f>36.4846 * CHOOSE(CONTROL!$C$9, $C$13, 100%, $E$13) + CHOOSE(CONTROL!$C$28, 0.0226, 0)</f>
        <v>36.507199999999997</v>
      </c>
      <c r="D595" s="4">
        <f>53.8119 * CHOOSE(CONTROL!$C$9, $C$13, 100%, $E$13) + CHOOSE(CONTROL!$C$28, 0.0021, 0)</f>
        <v>53.814</v>
      </c>
      <c r="E595" s="4">
        <f>248.389758325302 * CHOOSE(CONTROL!$C$9, $C$13, 100%, $E$13) + CHOOSE(CONTROL!$C$28, 0.0021, 0)</f>
        <v>248.39185832530202</v>
      </c>
    </row>
    <row r="596" spans="1:5" ht="15">
      <c r="A596" s="13">
        <v>59291</v>
      </c>
      <c r="B596" s="4">
        <f>38.3193 * CHOOSE(CONTROL!$C$9, $C$13, 100%, $E$13) + CHOOSE(CONTROL!$C$28, 0.0226, 0)</f>
        <v>38.341899999999995</v>
      </c>
      <c r="C596" s="4">
        <f>37.9561 * CHOOSE(CONTROL!$C$9, $C$13, 100%, $E$13) + CHOOSE(CONTROL!$C$28, 0.0226, 0)</f>
        <v>37.978699999999996</v>
      </c>
      <c r="D596" s="4">
        <f>55.3283 * CHOOSE(CONTROL!$C$9, $C$13, 100%, $E$13) + CHOOSE(CONTROL!$C$28, 0.0021, 0)</f>
        <v>55.330399999999997</v>
      </c>
      <c r="E596" s="4">
        <f>258.521723672689 * CHOOSE(CONTROL!$C$9, $C$13, 100%, $E$13) + CHOOSE(CONTROL!$C$28, 0.0021, 0)</f>
        <v>258.52382367268899</v>
      </c>
    </row>
    <row r="597" spans="1:5" ht="15">
      <c r="A597" s="13">
        <v>59322</v>
      </c>
      <c r="B597" s="4">
        <f>39.2184 * CHOOSE(CONTROL!$C$9, $C$13, 100%, $E$13) + CHOOSE(CONTROL!$C$28, 0.0226, 0)</f>
        <v>39.241</v>
      </c>
      <c r="C597" s="4">
        <f>38.8551 * CHOOSE(CONTROL!$C$9, $C$13, 100%, $E$13) + CHOOSE(CONTROL!$C$28, 0.0226, 0)</f>
        <v>38.877699999999997</v>
      </c>
      <c r="D597" s="4">
        <f>54.7291 * CHOOSE(CONTROL!$C$9, $C$13, 100%, $E$13) + CHOOSE(CONTROL!$C$28, 0.0021, 0)</f>
        <v>54.731200000000001</v>
      </c>
      <c r="E597" s="4">
        <f>264.712111670623 * CHOOSE(CONTROL!$C$9, $C$13, 100%, $E$13) + CHOOSE(CONTROL!$C$28, 0.0021, 0)</f>
        <v>264.714211670623</v>
      </c>
    </row>
    <row r="598" spans="1:5" ht="15">
      <c r="A598" s="13">
        <v>59352</v>
      </c>
      <c r="B598" s="4">
        <f>39.34 * CHOOSE(CONTROL!$C$9, $C$13, 100%, $E$13) + CHOOSE(CONTROL!$C$28, 0.0226, 0)</f>
        <v>39.3626</v>
      </c>
      <c r="C598" s="4">
        <f>38.9768 * CHOOSE(CONTROL!$C$9, $C$13, 100%, $E$13) + CHOOSE(CONTROL!$C$28, 0.0226, 0)</f>
        <v>38.999399999999994</v>
      </c>
      <c r="D598" s="4">
        <f>55.2171 * CHOOSE(CONTROL!$C$9, $C$13, 100%, $E$13) + CHOOSE(CONTROL!$C$28, 0.0021, 0)</f>
        <v>55.219200000000001</v>
      </c>
      <c r="E598" s="4">
        <f>265.549696857382 * CHOOSE(CONTROL!$C$9, $C$13, 100%, $E$13) + CHOOSE(CONTROL!$C$28, 0.0021, 0)</f>
        <v>265.55179685738199</v>
      </c>
    </row>
    <row r="599" spans="1:5" ht="15">
      <c r="A599" s="13">
        <v>59383</v>
      </c>
      <c r="B599" s="4">
        <f>39.3278 * CHOOSE(CONTROL!$C$9, $C$13, 100%, $E$13) + CHOOSE(CONTROL!$C$28, 0.0226, 0)</f>
        <v>39.3504</v>
      </c>
      <c r="C599" s="4">
        <f>38.9645 * CHOOSE(CONTROL!$C$9, $C$13, 100%, $E$13) + CHOOSE(CONTROL!$C$28, 0.0226, 0)</f>
        <v>38.987099999999998</v>
      </c>
      <c r="D599" s="4">
        <f>56.0976 * CHOOSE(CONTROL!$C$9, $C$13, 100%, $E$13) + CHOOSE(CONTROL!$C$28, 0.0021, 0)</f>
        <v>56.099699999999999</v>
      </c>
      <c r="E599" s="4">
        <f>265.465234485608 * CHOOSE(CONTROL!$C$9, $C$13, 100%, $E$13) + CHOOSE(CONTROL!$C$28, 0.0021, 0)</f>
        <v>265.46733448560798</v>
      </c>
    </row>
    <row r="600" spans="1:5" ht="15">
      <c r="A600" s="13">
        <v>59414</v>
      </c>
      <c r="B600" s="4">
        <f>40.2508 * CHOOSE(CONTROL!$C$9, $C$13, 100%, $E$13) + CHOOSE(CONTROL!$C$28, 0.0226, 0)</f>
        <v>40.273399999999995</v>
      </c>
      <c r="C600" s="4">
        <f>39.8876 * CHOOSE(CONTROL!$C$9, $C$13, 100%, $E$13) + CHOOSE(CONTROL!$C$28, 0.0226, 0)</f>
        <v>39.910199999999996</v>
      </c>
      <c r="D600" s="4">
        <f>55.5161 * CHOOSE(CONTROL!$C$9, $C$13, 100%, $E$13) + CHOOSE(CONTROL!$C$28, 0.0021, 0)</f>
        <v>55.5182</v>
      </c>
      <c r="E600" s="4">
        <f>271.8210279616 * CHOOSE(CONTROL!$C$9, $C$13, 100%, $E$13) + CHOOSE(CONTROL!$C$28, 0.0021, 0)</f>
        <v>271.82312796159999</v>
      </c>
    </row>
    <row r="601" spans="1:5" ht="15">
      <c r="A601" s="13">
        <v>59444</v>
      </c>
      <c r="B601" s="4">
        <f>38.6776 * CHOOSE(CONTROL!$C$9, $C$13, 100%, $E$13) + CHOOSE(CONTROL!$C$28, 0.0226, 0)</f>
        <v>38.700199999999995</v>
      </c>
      <c r="C601" s="4">
        <f>38.3144 * CHOOSE(CONTROL!$C$9, $C$13, 100%, $E$13) + CHOOSE(CONTROL!$C$28, 0.0226, 0)</f>
        <v>38.336999999999996</v>
      </c>
      <c r="D601" s="4">
        <f>55.2413 * CHOOSE(CONTROL!$C$9, $C$13, 100%, $E$13) + CHOOSE(CONTROL!$C$28, 0.0021, 0)</f>
        <v>55.243400000000001</v>
      </c>
      <c r="E601" s="4">
        <f>260.988728781587 * CHOOSE(CONTROL!$C$9, $C$13, 100%, $E$13) + CHOOSE(CONTROL!$C$28, 0.0021, 0)</f>
        <v>260.99082878158697</v>
      </c>
    </row>
    <row r="602" spans="1:5" ht="15">
      <c r="A602" s="13">
        <v>59475</v>
      </c>
      <c r="B602" s="4">
        <f>37.4183 * CHOOSE(CONTROL!$C$9, $C$13, 100%, $E$13) + CHOOSE(CONTROL!$C$28, 0.0226, 0)</f>
        <v>37.440899999999999</v>
      </c>
      <c r="C602" s="4">
        <f>37.055 * CHOOSE(CONTROL!$C$9, $C$13, 100%, $E$13) + CHOOSE(CONTROL!$C$28, 0.0226, 0)</f>
        <v>37.077599999999997</v>
      </c>
      <c r="D602" s="4">
        <f>54.5057 * CHOOSE(CONTROL!$C$9, $C$13, 100%, $E$13) + CHOOSE(CONTROL!$C$28, 0.0021, 0)</f>
        <v>54.507799999999996</v>
      </c>
      <c r="E602" s="4">
        <f>252.317258612792 * CHOOSE(CONTROL!$C$9, $C$13, 100%, $E$13) + CHOOSE(CONTROL!$C$28, 0.0021, 0)</f>
        <v>252.319358612792</v>
      </c>
    </row>
    <row r="603" spans="1:5" ht="15">
      <c r="A603" s="13">
        <v>59505</v>
      </c>
      <c r="B603" s="4">
        <f>36.6071 * CHOOSE(CONTROL!$C$9, $C$13, 100%, $E$13) + CHOOSE(CONTROL!$C$28, 0.0226, 0)</f>
        <v>36.6297</v>
      </c>
      <c r="C603" s="4">
        <f>36.2438 * CHOOSE(CONTROL!$C$9, $C$13, 100%, $E$13) + CHOOSE(CONTROL!$C$28, 0.0226, 0)</f>
        <v>36.266399999999997</v>
      </c>
      <c r="D603" s="4">
        <f>54.2528 * CHOOSE(CONTROL!$C$9, $C$13, 100%, $E$13) + CHOOSE(CONTROL!$C$28, 0.0021, 0)</f>
        <v>54.254899999999999</v>
      </c>
      <c r="E603" s="4">
        <f>246.732184279238 * CHOOSE(CONTROL!$C$9, $C$13, 100%, $E$13) + CHOOSE(CONTROL!$C$28, 0.0021, 0)</f>
        <v>246.73428427923801</v>
      </c>
    </row>
    <row r="604" spans="1:5" ht="15">
      <c r="A604" s="13">
        <v>59536</v>
      </c>
      <c r="B604" s="4">
        <f>36.0459 * CHOOSE(CONTROL!$C$9, $C$13, 100%, $E$13) + CHOOSE(CONTROL!$C$28, 0.0226, 0)</f>
        <v>36.0685</v>
      </c>
      <c r="C604" s="4">
        <f>35.6826 * CHOOSE(CONTROL!$C$9, $C$13, 100%, $E$13) + CHOOSE(CONTROL!$C$28, 0.0226, 0)</f>
        <v>35.705199999999998</v>
      </c>
      <c r="D604" s="4">
        <f>52.3908 * CHOOSE(CONTROL!$C$9, $C$13, 100%, $E$13) + CHOOSE(CONTROL!$C$28, 0.0021, 0)</f>
        <v>52.392899999999997</v>
      </c>
      <c r="E604" s="4">
        <f>242.868030770579 * CHOOSE(CONTROL!$C$9, $C$13, 100%, $E$13) + CHOOSE(CONTROL!$C$28, 0.0021, 0)</f>
        <v>242.87013077057901</v>
      </c>
    </row>
    <row r="605" spans="1:5" ht="15">
      <c r="A605" s="13">
        <v>59567</v>
      </c>
      <c r="B605" s="4">
        <f>34.5105 * CHOOSE(CONTROL!$C$9, $C$13, 100%, $E$13) + CHOOSE(CONTROL!$C$28, 0.0226, 0)</f>
        <v>34.533099999999997</v>
      </c>
      <c r="C605" s="4">
        <f>34.1472 * CHOOSE(CONTROL!$C$9, $C$13, 100%, $E$13) + CHOOSE(CONTROL!$C$28, 0.0226, 0)</f>
        <v>34.169799999999995</v>
      </c>
      <c r="D605" s="4">
        <f>50.3397 * CHOOSE(CONTROL!$C$9, $C$13, 100%, $E$13) + CHOOSE(CONTROL!$C$28, 0.0021, 0)</f>
        <v>50.341799999999999</v>
      </c>
      <c r="E605" s="4">
        <f>232.75159041657 * CHOOSE(CONTROL!$C$9, $C$13, 100%, $E$13) + CHOOSE(CONTROL!$C$28, 0.0021, 0)</f>
        <v>232.75369041657001</v>
      </c>
    </row>
    <row r="606" spans="1:5" ht="15">
      <c r="A606" s="13">
        <v>59595</v>
      </c>
      <c r="B606" s="4">
        <f>35.3115 * CHOOSE(CONTROL!$C$9, $C$13, 100%, $E$13) + CHOOSE(CONTROL!$C$28, 0.0226, 0)</f>
        <v>35.334099999999999</v>
      </c>
      <c r="C606" s="4">
        <f>34.9482 * CHOOSE(CONTROL!$C$9, $C$13, 100%, $E$13) + CHOOSE(CONTROL!$C$28, 0.0226, 0)</f>
        <v>34.970799999999997</v>
      </c>
      <c r="D606" s="4">
        <f>52.051 * CHOOSE(CONTROL!$C$9, $C$13, 100%, $E$13) + CHOOSE(CONTROL!$C$28, 0.0021, 0)</f>
        <v>52.053100000000001</v>
      </c>
      <c r="E606" s="4">
        <f>238.278030425999 * CHOOSE(CONTROL!$C$9, $C$13, 100%, $E$13) + CHOOSE(CONTROL!$C$28, 0.0021, 0)</f>
        <v>238.280130425999</v>
      </c>
    </row>
    <row r="607" spans="1:5" ht="15">
      <c r="A607" s="13">
        <v>59626</v>
      </c>
      <c r="B607" s="4">
        <f>37.4151 * CHOOSE(CONTROL!$C$9, $C$13, 100%, $E$13) + CHOOSE(CONTROL!$C$28, 0.0226, 0)</f>
        <v>37.4377</v>
      </c>
      <c r="C607" s="4">
        <f>37.0518 * CHOOSE(CONTROL!$C$9, $C$13, 100%, $E$13) + CHOOSE(CONTROL!$C$28, 0.0226, 0)</f>
        <v>37.074399999999997</v>
      </c>
      <c r="D607" s="4">
        <f>54.7299 * CHOOSE(CONTROL!$C$9, $C$13, 100%, $E$13) + CHOOSE(CONTROL!$C$28, 0.0021, 0)</f>
        <v>54.731999999999999</v>
      </c>
      <c r="E607" s="4">
        <f>252.790755583619 * CHOOSE(CONTROL!$C$9, $C$13, 100%, $E$13) + CHOOSE(CONTROL!$C$28, 0.0021, 0)</f>
        <v>252.792855583619</v>
      </c>
    </row>
    <row r="608" spans="1:5" ht="15">
      <c r="A608" s="13">
        <v>59656</v>
      </c>
      <c r="B608" s="4">
        <f>38.9098 * CHOOSE(CONTROL!$C$9, $C$13, 100%, $E$13) + CHOOSE(CONTROL!$C$28, 0.0226, 0)</f>
        <v>38.932399999999994</v>
      </c>
      <c r="C608" s="4">
        <f>38.5465 * CHOOSE(CONTROL!$C$9, $C$13, 100%, $E$13) + CHOOSE(CONTROL!$C$28, 0.0226, 0)</f>
        <v>38.569099999999999</v>
      </c>
      <c r="D608" s="4">
        <f>56.2731 * CHOOSE(CONTROL!$C$9, $C$13, 100%, $E$13) + CHOOSE(CONTROL!$C$28, 0.0021, 0)</f>
        <v>56.275199999999998</v>
      </c>
      <c r="E608" s="4">
        <f>263.1022402156 * CHOOSE(CONTROL!$C$9, $C$13, 100%, $E$13) + CHOOSE(CONTROL!$C$28, 0.0021, 0)</f>
        <v>263.10434021559996</v>
      </c>
    </row>
    <row r="609" spans="1:5" ht="15">
      <c r="A609" s="13">
        <v>59687</v>
      </c>
      <c r="B609" s="4">
        <f>39.8229 * CHOOSE(CONTROL!$C$9, $C$13, 100%, $E$13) + CHOOSE(CONTROL!$C$28, 0.0226, 0)</f>
        <v>39.845499999999994</v>
      </c>
      <c r="C609" s="4">
        <f>39.4597 * CHOOSE(CONTROL!$C$9, $C$13, 100%, $E$13) + CHOOSE(CONTROL!$C$28, 0.0226, 0)</f>
        <v>39.482299999999995</v>
      </c>
      <c r="D609" s="4">
        <f>55.6633 * CHOOSE(CONTROL!$C$9, $C$13, 100%, $E$13) + CHOOSE(CONTROL!$C$28, 0.0021, 0)</f>
        <v>55.665399999999998</v>
      </c>
      <c r="E609" s="4">
        <f>269.402310193945 * CHOOSE(CONTROL!$C$9, $C$13, 100%, $E$13) + CHOOSE(CONTROL!$C$28, 0.0021, 0)</f>
        <v>269.40441019394501</v>
      </c>
    </row>
    <row r="610" spans="1:5" ht="15">
      <c r="A610" s="13">
        <v>59717</v>
      </c>
      <c r="B610" s="4">
        <f>39.9465 * CHOOSE(CONTROL!$C$9, $C$13, 100%, $E$13) + CHOOSE(CONTROL!$C$28, 0.0226, 0)</f>
        <v>39.969099999999997</v>
      </c>
      <c r="C610" s="4">
        <f>39.5832 * CHOOSE(CONTROL!$C$9, $C$13, 100%, $E$13) + CHOOSE(CONTROL!$C$28, 0.0226, 0)</f>
        <v>39.605799999999995</v>
      </c>
      <c r="D610" s="4">
        <f>56.1599 * CHOOSE(CONTROL!$C$9, $C$13, 100%, $E$13) + CHOOSE(CONTROL!$C$28, 0.0021, 0)</f>
        <v>56.161999999999999</v>
      </c>
      <c r="E610" s="4">
        <f>270.254735807843 * CHOOSE(CONTROL!$C$9, $C$13, 100%, $E$13) + CHOOSE(CONTROL!$C$28, 0.0021, 0)</f>
        <v>270.256835807843</v>
      </c>
    </row>
    <row r="611" spans="1:5" ht="15">
      <c r="A611" s="13">
        <v>59748</v>
      </c>
      <c r="B611" s="4">
        <f>39.934 * CHOOSE(CONTROL!$C$9, $C$13, 100%, $E$13) + CHOOSE(CONTROL!$C$28, 0.0226, 0)</f>
        <v>39.956599999999995</v>
      </c>
      <c r="C611" s="4">
        <f>39.5708 * CHOOSE(CONTROL!$C$9, $C$13, 100%, $E$13) + CHOOSE(CONTROL!$C$28, 0.0226, 0)</f>
        <v>39.593399999999995</v>
      </c>
      <c r="D611" s="4">
        <f>57.056 * CHOOSE(CONTROL!$C$9, $C$13, 100%, $E$13) + CHOOSE(CONTROL!$C$28, 0.0021, 0)</f>
        <v>57.058099999999996</v>
      </c>
      <c r="E611" s="4">
        <f>270.168776922408 * CHOOSE(CONTROL!$C$9, $C$13, 100%, $E$13) + CHOOSE(CONTROL!$C$28, 0.0021, 0)</f>
        <v>270.17087692240796</v>
      </c>
    </row>
    <row r="612" spans="1:5" ht="15">
      <c r="A612" s="13">
        <v>59779</v>
      </c>
      <c r="B612" s="4">
        <f>40.8716 * CHOOSE(CONTROL!$C$9, $C$13, 100%, $E$13) + CHOOSE(CONTROL!$C$28, 0.0226, 0)</f>
        <v>40.894199999999998</v>
      </c>
      <c r="C612" s="4">
        <f>40.5083 * CHOOSE(CONTROL!$C$9, $C$13, 100%, $E$13) + CHOOSE(CONTROL!$C$28, 0.0226, 0)</f>
        <v>40.530899999999995</v>
      </c>
      <c r="D612" s="4">
        <f>56.4642 * CHOOSE(CONTROL!$C$9, $C$13, 100%, $E$13) + CHOOSE(CONTROL!$C$28, 0.0021, 0)</f>
        <v>56.466299999999997</v>
      </c>
      <c r="E612" s="4">
        <f>276.637183051397 * CHOOSE(CONTROL!$C$9, $C$13, 100%, $E$13) + CHOOSE(CONTROL!$C$28, 0.0021, 0)</f>
        <v>276.639283051397</v>
      </c>
    </row>
    <row r="613" spans="1:5" ht="15">
      <c r="A613" s="13">
        <v>59809</v>
      </c>
      <c r="B613" s="4">
        <f>39.2737 * CHOOSE(CONTROL!$C$9, $C$13, 100%, $E$13) + CHOOSE(CONTROL!$C$28, 0.0226, 0)</f>
        <v>39.296299999999995</v>
      </c>
      <c r="C613" s="4">
        <f>38.9104 * CHOOSE(CONTROL!$C$9, $C$13, 100%, $E$13) + CHOOSE(CONTROL!$C$28, 0.0226, 0)</f>
        <v>38.933</v>
      </c>
      <c r="D613" s="4">
        <f>56.1846 * CHOOSE(CONTROL!$C$9, $C$13, 100%, $E$13) + CHOOSE(CONTROL!$C$28, 0.0021, 0)</f>
        <v>56.186700000000002</v>
      </c>
      <c r="E613" s="4">
        <f>265.61295599435 * CHOOSE(CONTROL!$C$9, $C$13, 100%, $E$13) + CHOOSE(CONTROL!$C$28, 0.0021, 0)</f>
        <v>265.61505599434997</v>
      </c>
    </row>
    <row r="614" spans="1:5" ht="15">
      <c r="A614" s="13">
        <v>59840</v>
      </c>
      <c r="B614" s="4">
        <f>37.9945 * CHOOSE(CONTROL!$C$9, $C$13, 100%, $E$13) + CHOOSE(CONTROL!$C$28, 0.0226, 0)</f>
        <v>38.017099999999999</v>
      </c>
      <c r="C614" s="4">
        <f>37.6312 * CHOOSE(CONTROL!$C$9, $C$13, 100%, $E$13) + CHOOSE(CONTROL!$C$28, 0.0226, 0)</f>
        <v>37.653799999999997</v>
      </c>
      <c r="D614" s="4">
        <f>55.436 * CHOOSE(CONTROL!$C$9, $C$13, 100%, $E$13) + CHOOSE(CONTROL!$C$28, 0.0021, 0)</f>
        <v>55.438099999999999</v>
      </c>
      <c r="E614" s="4">
        <f>256.78784375635 * CHOOSE(CONTROL!$C$9, $C$13, 100%, $E$13) + CHOOSE(CONTROL!$C$28, 0.0021, 0)</f>
        <v>256.78994375635</v>
      </c>
    </row>
    <row r="615" spans="1:5" ht="15">
      <c r="A615" s="13">
        <v>59870</v>
      </c>
      <c r="B615" s="4">
        <f>37.1706 * CHOOSE(CONTROL!$C$9, $C$13, 100%, $E$13) + CHOOSE(CONTROL!$C$28, 0.0226, 0)</f>
        <v>37.193199999999997</v>
      </c>
      <c r="C615" s="4">
        <f>36.8073 * CHOOSE(CONTROL!$C$9, $C$13, 100%, $E$13) + CHOOSE(CONTROL!$C$28, 0.0226, 0)</f>
        <v>36.829899999999995</v>
      </c>
      <c r="D615" s="4">
        <f>55.1786 * CHOOSE(CONTROL!$C$9, $C$13, 100%, $E$13) + CHOOSE(CONTROL!$C$28, 0.0021, 0)</f>
        <v>55.180700000000002</v>
      </c>
      <c r="E615" s="4">
        <f>251.103812456956 * CHOOSE(CONTROL!$C$9, $C$13, 100%, $E$13) + CHOOSE(CONTROL!$C$28, 0.0021, 0)</f>
        <v>251.10591245695602</v>
      </c>
    </row>
    <row r="616" spans="1:5" ht="15">
      <c r="A616" s="13">
        <v>59901</v>
      </c>
      <c r="B616" s="4">
        <f>36.6006 * CHOOSE(CONTROL!$C$9, $C$13, 100%, $E$13) + CHOOSE(CONTROL!$C$28, 0.0226, 0)</f>
        <v>36.623199999999997</v>
      </c>
      <c r="C616" s="4">
        <f>36.2373 * CHOOSE(CONTROL!$C$9, $C$13, 100%, $E$13) + CHOOSE(CONTROL!$C$28, 0.0226, 0)</f>
        <v>36.259899999999995</v>
      </c>
      <c r="D616" s="4">
        <f>53.2837 * CHOOSE(CONTROL!$C$9, $C$13, 100%, $E$13) + CHOOSE(CONTROL!$C$28, 0.0021, 0)</f>
        <v>53.285800000000002</v>
      </c>
      <c r="E616" s="4">
        <f>247.171193448302 * CHOOSE(CONTROL!$C$9, $C$13, 100%, $E$13) + CHOOSE(CONTROL!$C$28, 0.0021, 0)</f>
        <v>247.17329344830202</v>
      </c>
    </row>
    <row r="617" spans="1:5" ht="15">
      <c r="A617" s="13">
        <v>59932</v>
      </c>
      <c r="B617" s="4">
        <f>35.041 * CHOOSE(CONTROL!$C$9, $C$13, 100%, $E$13) + CHOOSE(CONTROL!$C$28, 0.0226, 0)</f>
        <v>35.063599999999994</v>
      </c>
      <c r="C617" s="4">
        <f>34.6777 * CHOOSE(CONTROL!$C$9, $C$13, 100%, $E$13) + CHOOSE(CONTROL!$C$28, 0.0226, 0)</f>
        <v>34.700299999999999</v>
      </c>
      <c r="D617" s="4">
        <f>51.1964 * CHOOSE(CONTROL!$C$9, $C$13, 100%, $E$13) + CHOOSE(CONTROL!$C$28, 0.0021, 0)</f>
        <v>51.198499999999996</v>
      </c>
      <c r="E617" s="4">
        <f>236.875508883251 * CHOOSE(CONTROL!$C$9, $C$13, 100%, $E$13) + CHOOSE(CONTROL!$C$28, 0.0021, 0)</f>
        <v>236.87760888325101</v>
      </c>
    </row>
    <row r="618" spans="1:5" ht="15">
      <c r="A618" s="13">
        <v>59961</v>
      </c>
      <c r="B618" s="4">
        <f>35.8546 * CHOOSE(CONTROL!$C$9, $C$13, 100%, $E$13) + CHOOSE(CONTROL!$C$28, 0.0226, 0)</f>
        <v>35.877199999999995</v>
      </c>
      <c r="C618" s="4">
        <f>35.4913 * CHOOSE(CONTROL!$C$9, $C$13, 100%, $E$13) + CHOOSE(CONTROL!$C$28, 0.0226, 0)</f>
        <v>35.5139</v>
      </c>
      <c r="D618" s="4">
        <f>52.9379 * CHOOSE(CONTROL!$C$9, $C$13, 100%, $E$13) + CHOOSE(CONTROL!$C$28, 0.0021, 0)</f>
        <v>52.94</v>
      </c>
      <c r="E618" s="4">
        <f>242.499866969069 * CHOOSE(CONTROL!$C$9, $C$13, 100%, $E$13) + CHOOSE(CONTROL!$C$28, 0.0021, 0)</f>
        <v>242.501966969069</v>
      </c>
    </row>
    <row r="619" spans="1:5" ht="15">
      <c r="A619" s="13">
        <v>59992</v>
      </c>
      <c r="B619" s="4">
        <f>37.9913 * CHOOSE(CONTROL!$C$9, $C$13, 100%, $E$13) + CHOOSE(CONTROL!$C$28, 0.0226, 0)</f>
        <v>38.0139</v>
      </c>
      <c r="C619" s="4">
        <f>37.628 * CHOOSE(CONTROL!$C$9, $C$13, 100%, $E$13) + CHOOSE(CONTROL!$C$28, 0.0226, 0)</f>
        <v>37.650599999999997</v>
      </c>
      <c r="D619" s="4">
        <f>55.6642 * CHOOSE(CONTROL!$C$9, $C$13, 100%, $E$13) + CHOOSE(CONTROL!$C$28, 0.0021, 0)</f>
        <v>55.6663</v>
      </c>
      <c r="E619" s="4">
        <f>257.269730198967 * CHOOSE(CONTROL!$C$9, $C$13, 100%, $E$13) + CHOOSE(CONTROL!$C$28, 0.0021, 0)</f>
        <v>257.271830198967</v>
      </c>
    </row>
    <row r="620" spans="1:5" ht="15">
      <c r="A620" s="13">
        <v>60022</v>
      </c>
      <c r="B620" s="4">
        <f>39.5094 * CHOOSE(CONTROL!$C$9, $C$13, 100%, $E$13) + CHOOSE(CONTROL!$C$28, 0.0226, 0)</f>
        <v>39.531999999999996</v>
      </c>
      <c r="C620" s="4">
        <f>39.1462 * CHOOSE(CONTROL!$C$9, $C$13, 100%, $E$13) + CHOOSE(CONTROL!$C$28, 0.0226, 0)</f>
        <v>39.168799999999997</v>
      </c>
      <c r="D620" s="4">
        <f>57.2346 * CHOOSE(CONTROL!$C$9, $C$13, 100%, $E$13) + CHOOSE(CONTROL!$C$28, 0.0021, 0)</f>
        <v>57.236699999999999</v>
      </c>
      <c r="E620" s="4">
        <f>267.763914858117 * CHOOSE(CONTROL!$C$9, $C$13, 100%, $E$13) + CHOOSE(CONTROL!$C$28, 0.0021, 0)</f>
        <v>267.76601485811699</v>
      </c>
    </row>
    <row r="621" spans="1:5" ht="15">
      <c r="A621" s="13">
        <v>60053</v>
      </c>
      <c r="B621" s="4">
        <f>40.437 * CHOOSE(CONTROL!$C$9, $C$13, 100%, $E$13) + CHOOSE(CONTROL!$C$28, 0.0226, 0)</f>
        <v>40.459599999999995</v>
      </c>
      <c r="C621" s="4">
        <f>40.0737 * CHOOSE(CONTROL!$C$9, $C$13, 100%, $E$13) + CHOOSE(CONTROL!$C$28, 0.0226, 0)</f>
        <v>40.096299999999999</v>
      </c>
      <c r="D621" s="4">
        <f>56.6141 * CHOOSE(CONTROL!$C$9, $C$13, 100%, $E$13) + CHOOSE(CONTROL!$C$28, 0.0021, 0)</f>
        <v>56.616199999999999</v>
      </c>
      <c r="E621" s="4">
        <f>274.175610174354 * CHOOSE(CONTROL!$C$9, $C$13, 100%, $E$13) + CHOOSE(CONTROL!$C$28, 0.0021, 0)</f>
        <v>274.17771017435399</v>
      </c>
    </row>
    <row r="622" spans="1:5" ht="15">
      <c r="A622" s="13">
        <v>60083</v>
      </c>
      <c r="B622" s="4">
        <f>40.5625 * CHOOSE(CONTROL!$C$9, $C$13, 100%, $E$13) + CHOOSE(CONTROL!$C$28, 0.0226, 0)</f>
        <v>40.585099999999997</v>
      </c>
      <c r="C622" s="4">
        <f>40.1992 * CHOOSE(CONTROL!$C$9, $C$13, 100%, $E$13) + CHOOSE(CONTROL!$C$28, 0.0226, 0)</f>
        <v>40.221799999999995</v>
      </c>
      <c r="D622" s="4">
        <f>57.1195 * CHOOSE(CONTROL!$C$9, $C$13, 100%, $E$13) + CHOOSE(CONTROL!$C$28, 0.0021, 0)</f>
        <v>57.121600000000001</v>
      </c>
      <c r="E622" s="4">
        <f>275.043139159723 * CHOOSE(CONTROL!$C$9, $C$13, 100%, $E$13) + CHOOSE(CONTROL!$C$28, 0.0021, 0)</f>
        <v>275.045239159723</v>
      </c>
    </row>
    <row r="623" spans="1:5" ht="15">
      <c r="A623" s="13">
        <v>60114</v>
      </c>
      <c r="B623" s="4">
        <f>40.5498 * CHOOSE(CONTROL!$C$9, $C$13, 100%, $E$13) + CHOOSE(CONTROL!$C$28, 0.0226, 0)</f>
        <v>40.572399999999995</v>
      </c>
      <c r="C623" s="4">
        <f>40.1866 * CHOOSE(CONTROL!$C$9, $C$13, 100%, $E$13) + CHOOSE(CONTROL!$C$28, 0.0226, 0)</f>
        <v>40.209199999999996</v>
      </c>
      <c r="D623" s="4">
        <f>58.0314 * CHOOSE(CONTROL!$C$9, $C$13, 100%, $E$13) + CHOOSE(CONTROL!$C$28, 0.0021, 0)</f>
        <v>58.033499999999997</v>
      </c>
      <c r="E623" s="4">
        <f>274.955657245232 * CHOOSE(CONTROL!$C$9, $C$13, 100%, $E$13) + CHOOSE(CONTROL!$C$28, 0.0021, 0)</f>
        <v>274.95775724523196</v>
      </c>
    </row>
    <row r="624" spans="1:5" ht="15">
      <c r="A624" s="13">
        <v>60145</v>
      </c>
      <c r="B624" s="4">
        <f>41.5022 * CHOOSE(CONTROL!$C$9, $C$13, 100%, $E$13) + CHOOSE(CONTROL!$C$28, 0.0226, 0)</f>
        <v>41.524799999999999</v>
      </c>
      <c r="C624" s="4">
        <f>41.1389 * CHOOSE(CONTROL!$C$9, $C$13, 100%, $E$13) + CHOOSE(CONTROL!$C$28, 0.0226, 0)</f>
        <v>41.161499999999997</v>
      </c>
      <c r="D624" s="4">
        <f>57.4291 * CHOOSE(CONTROL!$C$9, $C$13, 100%, $E$13) + CHOOSE(CONTROL!$C$28, 0.0021, 0)</f>
        <v>57.431199999999997</v>
      </c>
      <c r="E624" s="4">
        <f>281.53867131068 * CHOOSE(CONTROL!$C$9, $C$13, 100%, $E$13) + CHOOSE(CONTROL!$C$28, 0.0021, 0)</f>
        <v>281.54077131067999</v>
      </c>
    </row>
    <row r="625" spans="1:5" ht="15">
      <c r="A625" s="13">
        <v>60175</v>
      </c>
      <c r="B625" s="4">
        <f>39.8791 * CHOOSE(CONTROL!$C$9, $C$13, 100%, $E$13) + CHOOSE(CONTROL!$C$28, 0.0226, 0)</f>
        <v>39.901699999999998</v>
      </c>
      <c r="C625" s="4">
        <f>39.5158 * CHOOSE(CONTROL!$C$9, $C$13, 100%, $E$13) + CHOOSE(CONTROL!$C$28, 0.0226, 0)</f>
        <v>39.538399999999996</v>
      </c>
      <c r="D625" s="4">
        <f>57.1446 * CHOOSE(CONTROL!$C$9, $C$13, 100%, $E$13) + CHOOSE(CONTROL!$C$28, 0.0021, 0)</f>
        <v>57.146699999999996</v>
      </c>
      <c r="E625" s="4">
        <f>270.319115777209 * CHOOSE(CONTROL!$C$9, $C$13, 100%, $E$13) + CHOOSE(CONTROL!$C$28, 0.0021, 0)</f>
        <v>270.32121577720898</v>
      </c>
    </row>
    <row r="626" spans="1:5" ht="15">
      <c r="A626" s="13">
        <v>60206</v>
      </c>
      <c r="B626" s="4">
        <f>38.5798 * CHOOSE(CONTROL!$C$9, $C$13, 100%, $E$13) + CHOOSE(CONTROL!$C$28, 0.0226, 0)</f>
        <v>38.602399999999996</v>
      </c>
      <c r="C626" s="4">
        <f>38.2165 * CHOOSE(CONTROL!$C$9, $C$13, 100%, $E$13) + CHOOSE(CONTROL!$C$28, 0.0226, 0)</f>
        <v>38.239100000000001</v>
      </c>
      <c r="D626" s="4">
        <f>56.3827 * CHOOSE(CONTROL!$C$9, $C$13, 100%, $E$13) + CHOOSE(CONTROL!$C$28, 0.0021, 0)</f>
        <v>56.384799999999998</v>
      </c>
      <c r="E626" s="4">
        <f>261.337639222799 * CHOOSE(CONTROL!$C$9, $C$13, 100%, $E$13) + CHOOSE(CONTROL!$C$28, 0.0021, 0)</f>
        <v>261.33973922279898</v>
      </c>
    </row>
    <row r="627" spans="1:5" ht="15">
      <c r="A627" s="13">
        <v>60236</v>
      </c>
      <c r="B627" s="4">
        <f>37.7429 * CHOOSE(CONTROL!$C$9, $C$13, 100%, $E$13) + CHOOSE(CONTROL!$C$28, 0.0226, 0)</f>
        <v>37.765499999999996</v>
      </c>
      <c r="C627" s="4">
        <f>37.3797 * CHOOSE(CONTROL!$C$9, $C$13, 100%, $E$13) + CHOOSE(CONTROL!$C$28, 0.0226, 0)</f>
        <v>37.402299999999997</v>
      </c>
      <c r="D627" s="4">
        <f>56.1208 * CHOOSE(CONTROL!$C$9, $C$13, 100%, $E$13) + CHOOSE(CONTROL!$C$28, 0.0021, 0)</f>
        <v>56.122900000000001</v>
      </c>
      <c r="E627" s="4">
        <f>255.552897627081 * CHOOSE(CONTROL!$C$9, $C$13, 100%, $E$13) + CHOOSE(CONTROL!$C$28, 0.0021, 0)</f>
        <v>255.55499762708101</v>
      </c>
    </row>
    <row r="628" spans="1:5" ht="15">
      <c r="A628" s="13">
        <v>60267</v>
      </c>
      <c r="B628" s="4">
        <f>37.164 * CHOOSE(CONTROL!$C$9, $C$13, 100%, $E$13) + CHOOSE(CONTROL!$C$28, 0.0226, 0)</f>
        <v>37.186599999999999</v>
      </c>
      <c r="C628" s="4">
        <f>36.8007 * CHOOSE(CONTROL!$C$9, $C$13, 100%, $E$13) + CHOOSE(CONTROL!$C$28, 0.0226, 0)</f>
        <v>36.823299999999996</v>
      </c>
      <c r="D628" s="4">
        <f>54.1924 * CHOOSE(CONTROL!$C$9, $C$13, 100%, $E$13) + CHOOSE(CONTROL!$C$28, 0.0021, 0)</f>
        <v>54.194499999999998</v>
      </c>
      <c r="E628" s="4">
        <f>251.550600039117 * CHOOSE(CONTROL!$C$9, $C$13, 100%, $E$13) + CHOOSE(CONTROL!$C$28, 0.0021, 0)</f>
        <v>251.55270003911701</v>
      </c>
    </row>
    <row r="629" spans="1:5" ht="15">
      <c r="A629" s="13">
        <v>60298</v>
      </c>
      <c r="B629" s="4">
        <f>35.5798 * CHOOSE(CONTROL!$C$9, $C$13, 100%, $E$13) + CHOOSE(CONTROL!$C$28, 0.0226, 0)</f>
        <v>35.602399999999996</v>
      </c>
      <c r="C629" s="4">
        <f>35.2166 * CHOOSE(CONTROL!$C$9, $C$13, 100%, $E$13) + CHOOSE(CONTROL!$C$28, 0.0226, 0)</f>
        <v>35.239199999999997</v>
      </c>
      <c r="D629" s="4">
        <f>52.0682 * CHOOSE(CONTROL!$C$9, $C$13, 100%, $E$13) + CHOOSE(CONTROL!$C$28, 0.0021, 0)</f>
        <v>52.070299999999996</v>
      </c>
      <c r="E629" s="4">
        <f>241.072495394234 * CHOOSE(CONTROL!$C$9, $C$13, 100%, $E$13) + CHOOSE(CONTROL!$C$28, 0.0021, 0)</f>
        <v>241.07459539423402</v>
      </c>
    </row>
    <row r="630" spans="1:5" ht="15">
      <c r="A630" s="13">
        <v>60326</v>
      </c>
      <c r="B630" s="4">
        <f>36.4063 * CHOOSE(CONTROL!$C$9, $C$13, 100%, $E$13) + CHOOSE(CONTROL!$C$28, 0.0226, 0)</f>
        <v>36.428899999999999</v>
      </c>
      <c r="C630" s="4">
        <f>36.043 * CHOOSE(CONTROL!$C$9, $C$13, 100%, $E$13) + CHOOSE(CONTROL!$C$28, 0.0226, 0)</f>
        <v>36.065599999999996</v>
      </c>
      <c r="D630" s="4">
        <f>53.8405 * CHOOSE(CONTROL!$C$9, $C$13, 100%, $E$13) + CHOOSE(CONTROL!$C$28, 0.0021, 0)</f>
        <v>53.842599999999997</v>
      </c>
      <c r="E630" s="4">
        <f>246.796506479766 * CHOOSE(CONTROL!$C$9, $C$13, 100%, $E$13) + CHOOSE(CONTROL!$C$28, 0.0021, 0)</f>
        <v>246.79860647976602</v>
      </c>
    </row>
    <row r="631" spans="1:5" ht="15">
      <c r="A631" s="13">
        <v>60357</v>
      </c>
      <c r="B631" s="4">
        <f>38.5766 * CHOOSE(CONTROL!$C$9, $C$13, 100%, $E$13) + CHOOSE(CONTROL!$C$28, 0.0226, 0)</f>
        <v>38.599199999999996</v>
      </c>
      <c r="C631" s="4">
        <f>38.2133 * CHOOSE(CONTROL!$C$9, $C$13, 100%, $E$13) + CHOOSE(CONTROL!$C$28, 0.0226, 0)</f>
        <v>38.235899999999994</v>
      </c>
      <c r="D631" s="4">
        <f>56.615 * CHOOSE(CONTROL!$C$9, $C$13, 100%, $E$13) + CHOOSE(CONTROL!$C$28, 0.0021, 0)</f>
        <v>56.617100000000001</v>
      </c>
      <c r="E631" s="4">
        <f>261.828063782797 * CHOOSE(CONTROL!$C$9, $C$13, 100%, $E$13) + CHOOSE(CONTROL!$C$28, 0.0021, 0)</f>
        <v>261.830163782797</v>
      </c>
    </row>
    <row r="632" spans="1:5" ht="15">
      <c r="A632" s="13">
        <v>60387</v>
      </c>
      <c r="B632" s="4">
        <f>40.1186 * CHOOSE(CONTROL!$C$9, $C$13, 100%, $E$13) + CHOOSE(CONTROL!$C$28, 0.0226, 0)</f>
        <v>40.141199999999998</v>
      </c>
      <c r="C632" s="4">
        <f>39.7553 * CHOOSE(CONTROL!$C$9, $C$13, 100%, $E$13) + CHOOSE(CONTROL!$C$28, 0.0226, 0)</f>
        <v>39.777899999999995</v>
      </c>
      <c r="D632" s="4">
        <f>58.2131 * CHOOSE(CONTROL!$C$9, $C$13, 100%, $E$13) + CHOOSE(CONTROL!$C$28, 0.0021, 0)</f>
        <v>58.215199999999996</v>
      </c>
      <c r="E632" s="4">
        <f>272.50818556844 * CHOOSE(CONTROL!$C$9, $C$13, 100%, $E$13) + CHOOSE(CONTROL!$C$28, 0.0021, 0)</f>
        <v>272.51028556844</v>
      </c>
    </row>
    <row r="633" spans="1:5" ht="15">
      <c r="A633" s="13">
        <v>60418</v>
      </c>
      <c r="B633" s="4">
        <f>41.0607 * CHOOSE(CONTROL!$C$9, $C$13, 100%, $E$13) + CHOOSE(CONTROL!$C$28, 0.0226, 0)</f>
        <v>41.083299999999994</v>
      </c>
      <c r="C633" s="4">
        <f>40.6974 * CHOOSE(CONTROL!$C$9, $C$13, 100%, $E$13) + CHOOSE(CONTROL!$C$28, 0.0226, 0)</f>
        <v>40.72</v>
      </c>
      <c r="D633" s="4">
        <f>57.5816 * CHOOSE(CONTROL!$C$9, $C$13, 100%, $E$13) + CHOOSE(CONTROL!$C$28, 0.0021, 0)</f>
        <v>57.5837</v>
      </c>
      <c r="E633" s="4">
        <f>279.033484012672 * CHOOSE(CONTROL!$C$9, $C$13, 100%, $E$13) + CHOOSE(CONTROL!$C$28, 0.0021, 0)</f>
        <v>279.03558401267196</v>
      </c>
    </row>
    <row r="634" spans="1:5" ht="15">
      <c r="A634" s="13">
        <v>60448</v>
      </c>
      <c r="B634" s="4">
        <f>41.1882 * CHOOSE(CONTROL!$C$9, $C$13, 100%, $E$13) + CHOOSE(CONTROL!$C$28, 0.0226, 0)</f>
        <v>41.210799999999999</v>
      </c>
      <c r="C634" s="4">
        <f>40.8249 * CHOOSE(CONTROL!$C$9, $C$13, 100%, $E$13) + CHOOSE(CONTROL!$C$28, 0.0226, 0)</f>
        <v>40.847499999999997</v>
      </c>
      <c r="D634" s="4">
        <f>58.0959 * CHOOSE(CONTROL!$C$9, $C$13, 100%, $E$13) + CHOOSE(CONTROL!$C$28, 0.0021, 0)</f>
        <v>58.097999999999999</v>
      </c>
      <c r="E634" s="4">
        <f>279.916383972722 * CHOOSE(CONTROL!$C$9, $C$13, 100%, $E$13) + CHOOSE(CONTROL!$C$28, 0.0021, 0)</f>
        <v>279.91848397272196</v>
      </c>
    </row>
    <row r="635" spans="1:5" ht="15">
      <c r="A635" s="13">
        <v>60479</v>
      </c>
      <c r="B635" s="4">
        <f>41.1753 * CHOOSE(CONTROL!$C$9, $C$13, 100%, $E$13) + CHOOSE(CONTROL!$C$28, 0.0226, 0)</f>
        <v>41.197899999999997</v>
      </c>
      <c r="C635" s="4">
        <f>40.812 * CHOOSE(CONTROL!$C$9, $C$13, 100%, $E$13) + CHOOSE(CONTROL!$C$28, 0.0226, 0)</f>
        <v>40.834599999999995</v>
      </c>
      <c r="D635" s="4">
        <f>59.024 * CHOOSE(CONTROL!$C$9, $C$13, 100%, $E$13) + CHOOSE(CONTROL!$C$28, 0.0021, 0)</f>
        <v>59.0261</v>
      </c>
      <c r="E635" s="4">
        <f>279.827352043977 * CHOOSE(CONTROL!$C$9, $C$13, 100%, $E$13) + CHOOSE(CONTROL!$C$28, 0.0021, 0)</f>
        <v>279.82945204397697</v>
      </c>
    </row>
    <row r="636" spans="1:5" ht="15">
      <c r="A636" s="13">
        <v>60510</v>
      </c>
      <c r="B636" s="4">
        <f>42.1426 * CHOOSE(CONTROL!$C$9, $C$13, 100%, $E$13) + CHOOSE(CONTROL!$C$28, 0.0226, 0)</f>
        <v>42.165199999999999</v>
      </c>
      <c r="C636" s="4">
        <f>41.7793 * CHOOSE(CONTROL!$C$9, $C$13, 100%, $E$13) + CHOOSE(CONTROL!$C$28, 0.0226, 0)</f>
        <v>41.801899999999996</v>
      </c>
      <c r="D636" s="4">
        <f>58.4111 * CHOOSE(CONTROL!$C$9, $C$13, 100%, $E$13) + CHOOSE(CONTROL!$C$28, 0.0021, 0)</f>
        <v>58.413199999999996</v>
      </c>
      <c r="E636" s="4">
        <f>286.527004682001 * CHOOSE(CONTROL!$C$9, $C$13, 100%, $E$13) + CHOOSE(CONTROL!$C$28, 0.0021, 0)</f>
        <v>286.52910468200099</v>
      </c>
    </row>
    <row r="637" spans="1:5" ht="15">
      <c r="A637" s="13">
        <v>60540</v>
      </c>
      <c r="B637" s="4">
        <f>40.494 * CHOOSE(CONTROL!$C$9, $C$13, 100%, $E$13) + CHOOSE(CONTROL!$C$28, 0.0226, 0)</f>
        <v>40.516599999999997</v>
      </c>
      <c r="C637" s="4">
        <f>40.1307 * CHOOSE(CONTROL!$C$9, $C$13, 100%, $E$13) + CHOOSE(CONTROL!$C$28, 0.0226, 0)</f>
        <v>40.153299999999994</v>
      </c>
      <c r="D637" s="4">
        <f>58.1215 * CHOOSE(CONTROL!$C$9, $C$13, 100%, $E$13) + CHOOSE(CONTROL!$C$28, 0.0021, 0)</f>
        <v>58.123599999999996</v>
      </c>
      <c r="E637" s="4">
        <f>275.108659820519 * CHOOSE(CONTROL!$C$9, $C$13, 100%, $E$13) + CHOOSE(CONTROL!$C$28, 0.0021, 0)</f>
        <v>275.11075982051898</v>
      </c>
    </row>
    <row r="638" spans="1:5" ht="15">
      <c r="A638" s="13">
        <v>60571</v>
      </c>
      <c r="B638" s="4">
        <f>39.1743 * CHOOSE(CONTROL!$C$9, $C$13, 100%, $E$13) + CHOOSE(CONTROL!$C$28, 0.0226, 0)</f>
        <v>39.196899999999999</v>
      </c>
      <c r="C638" s="4">
        <f>38.811 * CHOOSE(CONTROL!$C$9, $C$13, 100%, $E$13) + CHOOSE(CONTROL!$C$28, 0.0226, 0)</f>
        <v>38.833599999999997</v>
      </c>
      <c r="D638" s="4">
        <f>57.3462 * CHOOSE(CONTROL!$C$9, $C$13, 100%, $E$13) + CHOOSE(CONTROL!$C$28, 0.0021, 0)</f>
        <v>57.348300000000002</v>
      </c>
      <c r="E638" s="4">
        <f>265.968048469416 * CHOOSE(CONTROL!$C$9, $C$13, 100%, $E$13) + CHOOSE(CONTROL!$C$28, 0.0021, 0)</f>
        <v>265.97014846941596</v>
      </c>
    </row>
    <row r="639" spans="1:5" ht="15">
      <c r="A639" s="13">
        <v>60601</v>
      </c>
      <c r="B639" s="4">
        <f>38.3243 * CHOOSE(CONTROL!$C$9, $C$13, 100%, $E$13) + CHOOSE(CONTROL!$C$28, 0.0226, 0)</f>
        <v>38.346899999999998</v>
      </c>
      <c r="C639" s="4">
        <f>37.961 * CHOOSE(CONTROL!$C$9, $C$13, 100%, $E$13) + CHOOSE(CONTROL!$C$28, 0.0226, 0)</f>
        <v>37.983599999999996</v>
      </c>
      <c r="D639" s="4">
        <f>57.0796 * CHOOSE(CONTROL!$C$9, $C$13, 100%, $E$13) + CHOOSE(CONTROL!$C$28, 0.0021, 0)</f>
        <v>57.081699999999998</v>
      </c>
      <c r="E639" s="4">
        <f>260.080812181186 * CHOOSE(CONTROL!$C$9, $C$13, 100%, $E$13) + CHOOSE(CONTROL!$C$28, 0.0021, 0)</f>
        <v>260.08291218118597</v>
      </c>
    </row>
    <row r="640" spans="1:5" ht="15">
      <c r="A640" s="13">
        <v>60632</v>
      </c>
      <c r="B640" s="4">
        <f>37.7362 * CHOOSE(CONTROL!$C$9, $C$13, 100%, $E$13) + CHOOSE(CONTROL!$C$28, 0.0226, 0)</f>
        <v>37.758799999999994</v>
      </c>
      <c r="C640" s="4">
        <f>37.3729 * CHOOSE(CONTROL!$C$9, $C$13, 100%, $E$13) + CHOOSE(CONTROL!$C$28, 0.0226, 0)</f>
        <v>37.395499999999998</v>
      </c>
      <c r="D640" s="4">
        <f>55.1172 * CHOOSE(CONTROL!$C$9, $C$13, 100%, $E$13) + CHOOSE(CONTROL!$C$28, 0.0021, 0)</f>
        <v>55.119299999999996</v>
      </c>
      <c r="E640" s="4">
        <f>256.007601441125 * CHOOSE(CONTROL!$C$9, $C$13, 100%, $E$13) + CHOOSE(CONTROL!$C$28, 0.0021, 0)</f>
        <v>256.009701441125</v>
      </c>
    </row>
    <row r="641" spans="1:5" ht="15">
      <c r="A641" s="13">
        <v>60663</v>
      </c>
      <c r="B641" s="4">
        <f>36.1272 * CHOOSE(CONTROL!$C$9, $C$13, 100%, $E$13) + CHOOSE(CONTROL!$C$28, 0.0226, 0)</f>
        <v>36.149799999999999</v>
      </c>
      <c r="C641" s="4">
        <f>35.7639 * CHOOSE(CONTROL!$C$9, $C$13, 100%, $E$13) + CHOOSE(CONTROL!$C$28, 0.0226, 0)</f>
        <v>35.786499999999997</v>
      </c>
      <c r="D641" s="4">
        <f>52.9554 * CHOOSE(CONTROL!$C$9, $C$13, 100%, $E$13) + CHOOSE(CONTROL!$C$28, 0.0021, 0)</f>
        <v>52.957499999999996</v>
      </c>
      <c r="E641" s="4">
        <f>245.343844577223 * CHOOSE(CONTROL!$C$9, $C$13, 100%, $E$13) + CHOOSE(CONTROL!$C$28, 0.0021, 0)</f>
        <v>245.34594457722301</v>
      </c>
    </row>
    <row r="642" spans="1:5" ht="15">
      <c r="A642" s="13">
        <v>60691</v>
      </c>
      <c r="B642" s="4">
        <f>36.9666 * CHOOSE(CONTROL!$C$9, $C$13, 100%, $E$13) + CHOOSE(CONTROL!$C$28, 0.0226, 0)</f>
        <v>36.989199999999997</v>
      </c>
      <c r="C642" s="4">
        <f>36.6033 * CHOOSE(CONTROL!$C$9, $C$13, 100%, $E$13) + CHOOSE(CONTROL!$C$28, 0.0226, 0)</f>
        <v>36.625899999999994</v>
      </c>
      <c r="D642" s="4">
        <f>54.7591 * CHOOSE(CONTROL!$C$9, $C$13, 100%, $E$13) + CHOOSE(CONTROL!$C$28, 0.0021, 0)</f>
        <v>54.761199999999995</v>
      </c>
      <c r="E642" s="4">
        <f>251.16927432536 * CHOOSE(CONTROL!$C$9, $C$13, 100%, $E$13) + CHOOSE(CONTROL!$C$28, 0.0021, 0)</f>
        <v>251.17137432536001</v>
      </c>
    </row>
    <row r="643" spans="1:5" ht="15">
      <c r="A643" s="13">
        <v>60722</v>
      </c>
      <c r="B643" s="4">
        <f>39.171 * CHOOSE(CONTROL!$C$9, $C$13, 100%, $E$13) + CHOOSE(CONTROL!$C$28, 0.0226, 0)</f>
        <v>39.193599999999996</v>
      </c>
      <c r="C643" s="4">
        <f>38.8077 * CHOOSE(CONTROL!$C$9, $C$13, 100%, $E$13) + CHOOSE(CONTROL!$C$28, 0.0226, 0)</f>
        <v>38.830299999999994</v>
      </c>
      <c r="D643" s="4">
        <f>57.5825 * CHOOSE(CONTROL!$C$9, $C$13, 100%, $E$13) + CHOOSE(CONTROL!$C$28, 0.0021, 0)</f>
        <v>57.584600000000002</v>
      </c>
      <c r="E643" s="4">
        <f>266.467162426105 * CHOOSE(CONTROL!$C$9, $C$13, 100%, $E$13) + CHOOSE(CONTROL!$C$28, 0.0021, 0)</f>
        <v>266.46926242610499</v>
      </c>
    </row>
    <row r="644" spans="1:5" ht="15">
      <c r="A644" s="13">
        <v>60752</v>
      </c>
      <c r="B644" s="4">
        <f>40.7373 * CHOOSE(CONTROL!$C$9, $C$13, 100%, $E$13) + CHOOSE(CONTROL!$C$28, 0.0226, 0)</f>
        <v>40.759899999999995</v>
      </c>
      <c r="C644" s="4">
        <f>40.374 * CHOOSE(CONTROL!$C$9, $C$13, 100%, $E$13) + CHOOSE(CONTROL!$C$28, 0.0226, 0)</f>
        <v>40.396599999999999</v>
      </c>
      <c r="D644" s="4">
        <f>59.209 * CHOOSE(CONTROL!$C$9, $C$13, 100%, $E$13) + CHOOSE(CONTROL!$C$28, 0.0021, 0)</f>
        <v>59.211100000000002</v>
      </c>
      <c r="E644" s="4">
        <f>277.336515792848 * CHOOSE(CONTROL!$C$9, $C$13, 100%, $E$13) + CHOOSE(CONTROL!$C$28, 0.0021, 0)</f>
        <v>277.33861579284797</v>
      </c>
    </row>
    <row r="645" spans="1:5" ht="15">
      <c r="A645" s="13">
        <v>60783</v>
      </c>
      <c r="B645" s="4">
        <f>41.6942 * CHOOSE(CONTROL!$C$9, $C$13, 100%, $E$13) + CHOOSE(CONTROL!$C$28, 0.0226, 0)</f>
        <v>41.716799999999999</v>
      </c>
      <c r="C645" s="4">
        <f>41.3309 * CHOOSE(CONTROL!$C$9, $C$13, 100%, $E$13) + CHOOSE(CONTROL!$C$28, 0.0226, 0)</f>
        <v>41.353499999999997</v>
      </c>
      <c r="D645" s="4">
        <f>58.5663 * CHOOSE(CONTROL!$C$9, $C$13, 100%, $E$13) + CHOOSE(CONTROL!$C$28, 0.0021, 0)</f>
        <v>58.568399999999997</v>
      </c>
      <c r="E645" s="4">
        <f>283.977430197885 * CHOOSE(CONTROL!$C$9, $C$13, 100%, $E$13) + CHOOSE(CONTROL!$C$28, 0.0021, 0)</f>
        <v>283.97953019788497</v>
      </c>
    </row>
    <row r="646" spans="1:5" ht="15">
      <c r="A646" s="13">
        <v>60813</v>
      </c>
      <c r="B646" s="4">
        <f>41.8237 * CHOOSE(CONTROL!$C$9, $C$13, 100%, $E$13) + CHOOSE(CONTROL!$C$28, 0.0226, 0)</f>
        <v>41.846299999999999</v>
      </c>
      <c r="C646" s="4">
        <f>41.4604 * CHOOSE(CONTROL!$C$9, $C$13, 100%, $E$13) + CHOOSE(CONTROL!$C$28, 0.0226, 0)</f>
        <v>41.482999999999997</v>
      </c>
      <c r="D646" s="4">
        <f>59.0897 * CHOOSE(CONTROL!$C$9, $C$13, 100%, $E$13) + CHOOSE(CONTROL!$C$28, 0.0021, 0)</f>
        <v>59.091799999999999</v>
      </c>
      <c r="E646" s="4">
        <f>284.875973477248 * CHOOSE(CONTROL!$C$9, $C$13, 100%, $E$13) + CHOOSE(CONTROL!$C$28, 0.0021, 0)</f>
        <v>284.87807347724799</v>
      </c>
    </row>
    <row r="647" spans="1:5" ht="15">
      <c r="A647" s="13">
        <v>60844</v>
      </c>
      <c r="B647" s="4">
        <f>41.8106 * CHOOSE(CONTROL!$C$9, $C$13, 100%, $E$13) + CHOOSE(CONTROL!$C$28, 0.0226, 0)</f>
        <v>41.833199999999998</v>
      </c>
      <c r="C647" s="4">
        <f>41.4474 * CHOOSE(CONTROL!$C$9, $C$13, 100%, $E$13) + CHOOSE(CONTROL!$C$28, 0.0226, 0)</f>
        <v>41.47</v>
      </c>
      <c r="D647" s="4">
        <f>60.0341 * CHOOSE(CONTROL!$C$9, $C$13, 100%, $E$13) + CHOOSE(CONTROL!$C$28, 0.0021, 0)</f>
        <v>60.036200000000001</v>
      </c>
      <c r="E647" s="4">
        <f>284.785364070926 * CHOOSE(CONTROL!$C$9, $C$13, 100%, $E$13) + CHOOSE(CONTROL!$C$28, 0.0021, 0)</f>
        <v>284.78746407092598</v>
      </c>
    </row>
    <row r="648" spans="1:5" ht="15">
      <c r="A648" s="13">
        <v>60875</v>
      </c>
      <c r="B648" s="4">
        <f>42.7932 * CHOOSE(CONTROL!$C$9, $C$13, 100%, $E$13) + CHOOSE(CONTROL!$C$28, 0.0226, 0)</f>
        <v>42.815799999999996</v>
      </c>
      <c r="C648" s="4">
        <f>42.4299 * CHOOSE(CONTROL!$C$9, $C$13, 100%, $E$13) + CHOOSE(CONTROL!$C$28, 0.0226, 0)</f>
        <v>42.452500000000001</v>
      </c>
      <c r="D648" s="4">
        <f>59.4104 * CHOOSE(CONTROL!$C$9, $C$13, 100%, $E$13) + CHOOSE(CONTROL!$C$28, 0.0021, 0)</f>
        <v>59.412500000000001</v>
      </c>
      <c r="E648" s="4">
        <f>291.603721896677 * CHOOSE(CONTROL!$C$9, $C$13, 100%, $E$13) + CHOOSE(CONTROL!$C$28, 0.0021, 0)</f>
        <v>291.60582189667696</v>
      </c>
    </row>
    <row r="649" spans="1:5" ht="15">
      <c r="A649" s="13">
        <v>60905</v>
      </c>
      <c r="B649" s="4">
        <f>41.1186 * CHOOSE(CONTROL!$C$9, $C$13, 100%, $E$13) + CHOOSE(CONTROL!$C$28, 0.0226, 0)</f>
        <v>41.141199999999998</v>
      </c>
      <c r="C649" s="4">
        <f>40.7554 * CHOOSE(CONTROL!$C$9, $C$13, 100%, $E$13) + CHOOSE(CONTROL!$C$28, 0.0226, 0)</f>
        <v>40.777999999999999</v>
      </c>
      <c r="D649" s="4">
        <f>59.1157 * CHOOSE(CONTROL!$C$9, $C$13, 100%, $E$13) + CHOOSE(CONTROL!$C$28, 0.0021, 0)</f>
        <v>59.117799999999995</v>
      </c>
      <c r="E649" s="4">
        <f>279.983065535845 * CHOOSE(CONTROL!$C$9, $C$13, 100%, $E$13) + CHOOSE(CONTROL!$C$28, 0.0021, 0)</f>
        <v>279.985165535845</v>
      </c>
    </row>
    <row r="650" spans="1:5" ht="15">
      <c r="A650" s="13">
        <v>60936</v>
      </c>
      <c r="B650" s="4">
        <f>39.7781 * CHOOSE(CONTROL!$C$9, $C$13, 100%, $E$13) + CHOOSE(CONTROL!$C$28, 0.0226, 0)</f>
        <v>39.800699999999999</v>
      </c>
      <c r="C650" s="4">
        <f>39.4149 * CHOOSE(CONTROL!$C$9, $C$13, 100%, $E$13) + CHOOSE(CONTROL!$C$28, 0.0226, 0)</f>
        <v>39.4375</v>
      </c>
      <c r="D650" s="4">
        <f>58.3267 * CHOOSE(CONTROL!$C$9, $C$13, 100%, $E$13) + CHOOSE(CONTROL!$C$28, 0.0021, 0)</f>
        <v>58.328800000000001</v>
      </c>
      <c r="E650" s="4">
        <f>270.680499820091 * CHOOSE(CONTROL!$C$9, $C$13, 100%, $E$13) + CHOOSE(CONTROL!$C$28, 0.0021, 0)</f>
        <v>270.68259982009096</v>
      </c>
    </row>
    <row r="651" spans="1:5" ht="15">
      <c r="A651" s="13">
        <v>60966</v>
      </c>
      <c r="B651" s="4">
        <f>38.9148 * CHOOSE(CONTROL!$C$9, $C$13, 100%, $E$13) + CHOOSE(CONTROL!$C$28, 0.0226, 0)</f>
        <v>38.937399999999997</v>
      </c>
      <c r="C651" s="4">
        <f>38.5515 * CHOOSE(CONTROL!$C$9, $C$13, 100%, $E$13) + CHOOSE(CONTROL!$C$28, 0.0226, 0)</f>
        <v>38.574099999999994</v>
      </c>
      <c r="D651" s="4">
        <f>58.0554 * CHOOSE(CONTROL!$C$9, $C$13, 100%, $E$13) + CHOOSE(CONTROL!$C$28, 0.0021, 0)</f>
        <v>58.057499999999997</v>
      </c>
      <c r="E651" s="4">
        <f>264.68895282703 * CHOOSE(CONTROL!$C$9, $C$13, 100%, $E$13) + CHOOSE(CONTROL!$C$28, 0.0021, 0)</f>
        <v>264.69105282702998</v>
      </c>
    </row>
    <row r="652" spans="1:5" ht="15">
      <c r="A652" s="13">
        <v>60997</v>
      </c>
      <c r="B652" s="4">
        <f>38.3174 * CHOOSE(CONTROL!$C$9, $C$13, 100%, $E$13) + CHOOSE(CONTROL!$C$28, 0.0226, 0)</f>
        <v>38.339999999999996</v>
      </c>
      <c r="C652" s="4">
        <f>37.9541 * CHOOSE(CONTROL!$C$9, $C$13, 100%, $E$13) + CHOOSE(CONTROL!$C$28, 0.0226, 0)</f>
        <v>37.976699999999994</v>
      </c>
      <c r="D652" s="4">
        <f>56.0583 * CHOOSE(CONTROL!$C$9, $C$13, 100%, $E$13) + CHOOSE(CONTROL!$C$28, 0.0021, 0)</f>
        <v>56.060400000000001</v>
      </c>
      <c r="E652" s="4">
        <f>260.543572487786 * CHOOSE(CONTROL!$C$9, $C$13, 100%, $E$13) + CHOOSE(CONTROL!$C$28, 0.0021, 0)</f>
        <v>260.54567248778596</v>
      </c>
    </row>
    <row r="653" spans="1:5" ht="15">
      <c r="A653" s="13">
        <v>61028</v>
      </c>
      <c r="B653" s="4">
        <f>36.6831 * CHOOSE(CONTROL!$C$9, $C$13, 100%, $E$13) + CHOOSE(CONTROL!$C$28, 0.0226, 0)</f>
        <v>36.7057</v>
      </c>
      <c r="C653" s="4">
        <f>36.3198 * CHOOSE(CONTROL!$C$9, $C$13, 100%, $E$13) + CHOOSE(CONTROL!$C$28, 0.0226, 0)</f>
        <v>36.342399999999998</v>
      </c>
      <c r="D653" s="4">
        <f>53.8583 * CHOOSE(CONTROL!$C$9, $C$13, 100%, $E$13) + CHOOSE(CONTROL!$C$28, 0.0021, 0)</f>
        <v>53.860399999999998</v>
      </c>
      <c r="E653" s="4">
        <f>249.69087399828 * CHOOSE(CONTROL!$C$9, $C$13, 100%, $E$13) + CHOOSE(CONTROL!$C$28, 0.0021, 0)</f>
        <v>249.69297399828002</v>
      </c>
    </row>
    <row r="654" spans="1:5" ht="15">
      <c r="A654" s="13">
        <v>61056</v>
      </c>
      <c r="B654" s="4">
        <f>37.5357 * CHOOSE(CONTROL!$C$9, $C$13, 100%, $E$13) + CHOOSE(CONTROL!$C$28, 0.0226, 0)</f>
        <v>37.558299999999996</v>
      </c>
      <c r="C654" s="4">
        <f>37.1725 * CHOOSE(CONTROL!$C$9, $C$13, 100%, $E$13) + CHOOSE(CONTROL!$C$28, 0.0226, 0)</f>
        <v>37.195099999999996</v>
      </c>
      <c r="D654" s="4">
        <f>55.6939 * CHOOSE(CONTROL!$C$9, $C$13, 100%, $E$13) + CHOOSE(CONTROL!$C$28, 0.0021, 0)</f>
        <v>55.695999999999998</v>
      </c>
      <c r="E654" s="4">
        <f>255.619519356122 * CHOOSE(CONTROL!$C$9, $C$13, 100%, $E$13) + CHOOSE(CONTROL!$C$28, 0.0021, 0)</f>
        <v>255.62161935612201</v>
      </c>
    </row>
    <row r="655" spans="1:5" ht="15">
      <c r="A655" s="13">
        <v>61087</v>
      </c>
      <c r="B655" s="4">
        <f>39.7748 * CHOOSE(CONTROL!$C$9, $C$13, 100%, $E$13) + CHOOSE(CONTROL!$C$28, 0.0226, 0)</f>
        <v>39.797399999999996</v>
      </c>
      <c r="C655" s="4">
        <f>39.4115 * CHOOSE(CONTROL!$C$9, $C$13, 100%, $E$13) + CHOOSE(CONTROL!$C$28, 0.0226, 0)</f>
        <v>39.434099999999994</v>
      </c>
      <c r="D655" s="4">
        <f>58.5672 * CHOOSE(CONTROL!$C$9, $C$13, 100%, $E$13) + CHOOSE(CONTROL!$C$28, 0.0021, 0)</f>
        <v>58.569299999999998</v>
      </c>
      <c r="E655" s="4">
        <f>271.188457133163 * CHOOSE(CONTROL!$C$9, $C$13, 100%, $E$13) + CHOOSE(CONTROL!$C$28, 0.0021, 0)</f>
        <v>271.190557133163</v>
      </c>
    </row>
    <row r="656" spans="1:5" ht="15">
      <c r="A656" s="13">
        <v>61117</v>
      </c>
      <c r="B656" s="4">
        <f>41.3657 * CHOOSE(CONTROL!$C$9, $C$13, 100%, $E$13) + CHOOSE(CONTROL!$C$28, 0.0226, 0)</f>
        <v>41.388299999999994</v>
      </c>
      <c r="C656" s="4">
        <f>41.0024 * CHOOSE(CONTROL!$C$9, $C$13, 100%, $E$13) + CHOOSE(CONTROL!$C$28, 0.0226, 0)</f>
        <v>41.024999999999999</v>
      </c>
      <c r="D656" s="4">
        <f>60.2224 * CHOOSE(CONTROL!$C$9, $C$13, 100%, $E$13) + CHOOSE(CONTROL!$C$28, 0.0021, 0)</f>
        <v>60.224499999999999</v>
      </c>
      <c r="E656" s="4">
        <f>282.250394907127 * CHOOSE(CONTROL!$C$9, $C$13, 100%, $E$13) + CHOOSE(CONTROL!$C$28, 0.0021, 0)</f>
        <v>282.25249490712696</v>
      </c>
    </row>
    <row r="657" spans="1:5" ht="15">
      <c r="A657" s="13">
        <v>61148</v>
      </c>
      <c r="B657" s="4">
        <f>42.3377 * CHOOSE(CONTROL!$C$9, $C$13, 100%, $E$13) + CHOOSE(CONTROL!$C$28, 0.0226, 0)</f>
        <v>42.360299999999995</v>
      </c>
      <c r="C657" s="4">
        <f>41.9744 * CHOOSE(CONTROL!$C$9, $C$13, 100%, $E$13) + CHOOSE(CONTROL!$C$28, 0.0226, 0)</f>
        <v>41.997</v>
      </c>
      <c r="D657" s="4">
        <f>59.5683 * CHOOSE(CONTROL!$C$9, $C$13, 100%, $E$13) + CHOOSE(CONTROL!$C$28, 0.0021, 0)</f>
        <v>59.570399999999999</v>
      </c>
      <c r="E657" s="4">
        <f>289.008973769372 * CHOOSE(CONTROL!$C$9, $C$13, 100%, $E$13) + CHOOSE(CONTROL!$C$28, 0.0021, 0)</f>
        <v>289.01107376937199</v>
      </c>
    </row>
    <row r="658" spans="1:5" ht="15">
      <c r="A658" s="13">
        <v>61178</v>
      </c>
      <c r="B658" s="4">
        <f>42.4692 * CHOOSE(CONTROL!$C$9, $C$13, 100%, $E$13) + CHOOSE(CONTROL!$C$28, 0.0226, 0)</f>
        <v>42.491799999999998</v>
      </c>
      <c r="C658" s="4">
        <f>42.1059 * CHOOSE(CONTROL!$C$9, $C$13, 100%, $E$13) + CHOOSE(CONTROL!$C$28, 0.0226, 0)</f>
        <v>42.128499999999995</v>
      </c>
      <c r="D658" s="4">
        <f>60.101 * CHOOSE(CONTROL!$C$9, $C$13, 100%, $E$13) + CHOOSE(CONTROL!$C$28, 0.0021, 0)</f>
        <v>60.103099999999998</v>
      </c>
      <c r="E658" s="4">
        <f>289.923437538112 * CHOOSE(CONTROL!$C$9, $C$13, 100%, $E$13) + CHOOSE(CONTROL!$C$28, 0.0021, 0)</f>
        <v>289.925537538112</v>
      </c>
    </row>
    <row r="659" spans="1:5" ht="15">
      <c r="A659" s="13">
        <v>61209</v>
      </c>
      <c r="B659" s="4">
        <f>42.4559 * CHOOSE(CONTROL!$C$9, $C$13, 100%, $E$13) + CHOOSE(CONTROL!$C$28, 0.0226, 0)</f>
        <v>42.478499999999997</v>
      </c>
      <c r="C659" s="4">
        <f>42.0927 * CHOOSE(CONTROL!$C$9, $C$13, 100%, $E$13) + CHOOSE(CONTROL!$C$28, 0.0226, 0)</f>
        <v>42.115299999999998</v>
      </c>
      <c r="D659" s="4">
        <f>61.0621 * CHOOSE(CONTROL!$C$9, $C$13, 100%, $E$13) + CHOOSE(CONTROL!$C$28, 0.0021, 0)</f>
        <v>61.0642</v>
      </c>
      <c r="E659" s="4">
        <f>289.83122270429 * CHOOSE(CONTROL!$C$9, $C$13, 100%, $E$13) + CHOOSE(CONTROL!$C$28, 0.0021, 0)</f>
        <v>289.83332270428997</v>
      </c>
    </row>
    <row r="660" spans="1:5" ht="15">
      <c r="A660" s="13">
        <v>61240</v>
      </c>
      <c r="B660" s="4">
        <f>43.4539 * CHOOSE(CONTROL!$C$9, $C$13, 100%, $E$13) + CHOOSE(CONTROL!$C$28, 0.0226, 0)</f>
        <v>43.476499999999994</v>
      </c>
      <c r="C660" s="4">
        <f>43.0906 * CHOOSE(CONTROL!$C$9, $C$13, 100%, $E$13) + CHOOSE(CONTROL!$C$28, 0.0226, 0)</f>
        <v>43.113199999999999</v>
      </c>
      <c r="D660" s="4">
        <f>60.4274 * CHOOSE(CONTROL!$C$9, $C$13, 100%, $E$13) + CHOOSE(CONTROL!$C$28, 0.0021, 0)</f>
        <v>60.429499999999997</v>
      </c>
      <c r="E660" s="4">
        <f>296.770388949437 * CHOOSE(CONTROL!$C$9, $C$13, 100%, $E$13) + CHOOSE(CONTROL!$C$28, 0.0021, 0)</f>
        <v>296.77248894943699</v>
      </c>
    </row>
    <row r="661" spans="1:5" ht="15">
      <c r="A661" s="13">
        <v>61270</v>
      </c>
      <c r="B661" s="4">
        <f>41.7531 * CHOOSE(CONTROL!$C$9, $C$13, 100%, $E$13) + CHOOSE(CONTROL!$C$28, 0.0226, 0)</f>
        <v>41.775700000000001</v>
      </c>
      <c r="C661" s="4">
        <f>41.3898 * CHOOSE(CONTROL!$C$9, $C$13, 100%, $E$13) + CHOOSE(CONTROL!$C$28, 0.0226, 0)</f>
        <v>41.412399999999998</v>
      </c>
      <c r="D661" s="4">
        <f>60.1275 * CHOOSE(CONTROL!$C$9, $C$13, 100%, $E$13) + CHOOSE(CONTROL!$C$28, 0.0021, 0)</f>
        <v>60.129599999999996</v>
      </c>
      <c r="E661" s="4">
        <f>284.943836511694 * CHOOSE(CONTROL!$C$9, $C$13, 100%, $E$13) + CHOOSE(CONTROL!$C$28, 0.0021, 0)</f>
        <v>284.94593651169396</v>
      </c>
    </row>
    <row r="662" spans="1:5" ht="15">
      <c r="A662" s="13">
        <v>61301</v>
      </c>
      <c r="B662" s="4">
        <f>40.3915 * CHOOSE(CONTROL!$C$9, $C$13, 100%, $E$13) + CHOOSE(CONTROL!$C$28, 0.0226, 0)</f>
        <v>40.414099999999998</v>
      </c>
      <c r="C662" s="4">
        <f>40.0282 * CHOOSE(CONTROL!$C$9, $C$13, 100%, $E$13) + CHOOSE(CONTROL!$C$28, 0.0226, 0)</f>
        <v>40.050799999999995</v>
      </c>
      <c r="D662" s="4">
        <f>59.3245 * CHOOSE(CONTROL!$C$9, $C$13, 100%, $E$13) + CHOOSE(CONTROL!$C$28, 0.0021, 0)</f>
        <v>59.326599999999999</v>
      </c>
      <c r="E662" s="4">
        <f>275.476446905912 * CHOOSE(CONTROL!$C$9, $C$13, 100%, $E$13) + CHOOSE(CONTROL!$C$28, 0.0021, 0)</f>
        <v>275.47854690591197</v>
      </c>
    </row>
    <row r="663" spans="1:5" ht="15">
      <c r="A663" s="13">
        <v>61331</v>
      </c>
      <c r="B663" s="4">
        <f>39.5145 * CHOOSE(CONTROL!$C$9, $C$13, 100%, $E$13) + CHOOSE(CONTROL!$C$28, 0.0226, 0)</f>
        <v>39.537099999999995</v>
      </c>
      <c r="C663" s="4">
        <f>39.1513 * CHOOSE(CONTROL!$C$9, $C$13, 100%, $E$13) + CHOOSE(CONTROL!$C$28, 0.0226, 0)</f>
        <v>39.173899999999996</v>
      </c>
      <c r="D663" s="4">
        <f>59.0484 * CHOOSE(CONTROL!$C$9, $C$13, 100%, $E$13) + CHOOSE(CONTROL!$C$28, 0.0021, 0)</f>
        <v>59.0505</v>
      </c>
      <c r="E663" s="4">
        <f>269.378741019396 * CHOOSE(CONTROL!$C$9, $C$13, 100%, $E$13) + CHOOSE(CONTROL!$C$28, 0.0021, 0)</f>
        <v>269.38084101939597</v>
      </c>
    </row>
    <row r="664" spans="1:5" ht="15">
      <c r="A664" s="13">
        <v>61362</v>
      </c>
      <c r="B664" s="4">
        <f>38.9078 * CHOOSE(CONTROL!$C$9, $C$13, 100%, $E$13) + CHOOSE(CONTROL!$C$28, 0.0226, 0)</f>
        <v>38.930399999999999</v>
      </c>
      <c r="C664" s="4">
        <f>38.5445 * CHOOSE(CONTROL!$C$9, $C$13, 100%, $E$13) + CHOOSE(CONTROL!$C$28, 0.0226, 0)</f>
        <v>38.567099999999996</v>
      </c>
      <c r="D664" s="4">
        <f>57.016 * CHOOSE(CONTROL!$C$9, $C$13, 100%, $E$13) + CHOOSE(CONTROL!$C$28, 0.0021, 0)</f>
        <v>57.018099999999997</v>
      </c>
      <c r="E664" s="4">
        <f>265.159912372014 * CHOOSE(CONTROL!$C$9, $C$13, 100%, $E$13) + CHOOSE(CONTROL!$C$28, 0.0021, 0)</f>
        <v>265.16201237201398</v>
      </c>
    </row>
    <row r="665" spans="1:5" ht="15">
      <c r="A665" s="13">
        <v>61393</v>
      </c>
      <c r="B665" s="4">
        <f>37.2478 * CHOOSE(CONTROL!$C$9, $C$13, 100%, $E$13) + CHOOSE(CONTROL!$C$28, 0.0226, 0)</f>
        <v>37.270399999999995</v>
      </c>
      <c r="C665" s="4">
        <f>36.8845 * CHOOSE(CONTROL!$C$9, $C$13, 100%, $E$13) + CHOOSE(CONTROL!$C$28, 0.0226, 0)</f>
        <v>36.9071</v>
      </c>
      <c r="D665" s="4">
        <f>54.7772 * CHOOSE(CONTROL!$C$9, $C$13, 100%, $E$13) + CHOOSE(CONTROL!$C$28, 0.0021, 0)</f>
        <v>54.779299999999999</v>
      </c>
      <c r="E665" s="4">
        <f>254.114924568248 * CHOOSE(CONTROL!$C$9, $C$13, 100%, $E$13) + CHOOSE(CONTROL!$C$28, 0.0021, 0)</f>
        <v>254.11702456824801</v>
      </c>
    </row>
    <row r="666" spans="1:5" ht="15">
      <c r="A666" s="13">
        <v>61422</v>
      </c>
      <c r="B666" s="4">
        <f>38.1138 * CHOOSE(CONTROL!$C$9, $C$13, 100%, $E$13) + CHOOSE(CONTROL!$C$28, 0.0226, 0)</f>
        <v>38.136399999999995</v>
      </c>
      <c r="C666" s="4">
        <f>37.7505 * CHOOSE(CONTROL!$C$9, $C$13, 100%, $E$13) + CHOOSE(CONTROL!$C$28, 0.0226, 0)</f>
        <v>37.773099999999999</v>
      </c>
      <c r="D666" s="4">
        <f>56.6451 * CHOOSE(CONTROL!$C$9, $C$13, 100%, $E$13) + CHOOSE(CONTROL!$C$28, 0.0021, 0)</f>
        <v>56.647199999999998</v>
      </c>
      <c r="E666" s="4">
        <f>260.148614321403 * CHOOSE(CONTROL!$C$9, $C$13, 100%, $E$13) + CHOOSE(CONTROL!$C$28, 0.0021, 0)</f>
        <v>260.15071432140297</v>
      </c>
    </row>
    <row r="667" spans="1:5" ht="15">
      <c r="A667" s="13">
        <v>61453</v>
      </c>
      <c r="B667" s="4">
        <f>40.3881 * CHOOSE(CONTROL!$C$9, $C$13, 100%, $E$13) + CHOOSE(CONTROL!$C$28, 0.0226, 0)</f>
        <v>40.410699999999999</v>
      </c>
      <c r="C667" s="4">
        <f>40.0248 * CHOOSE(CONTROL!$C$9, $C$13, 100%, $E$13) + CHOOSE(CONTROL!$C$28, 0.0226, 0)</f>
        <v>40.047399999999996</v>
      </c>
      <c r="D667" s="4">
        <f>59.5693 * CHOOSE(CONTROL!$C$9, $C$13, 100%, $E$13) + CHOOSE(CONTROL!$C$28, 0.0021, 0)</f>
        <v>59.571399999999997</v>
      </c>
      <c r="E667" s="4">
        <f>275.993404262937 * CHOOSE(CONTROL!$C$9, $C$13, 100%, $E$13) + CHOOSE(CONTROL!$C$28, 0.0021, 0)</f>
        <v>275.995504262937</v>
      </c>
    </row>
    <row r="668" spans="1:5" ht="15">
      <c r="A668" s="13">
        <v>61483</v>
      </c>
      <c r="B668" s="4">
        <f>42.004 * CHOOSE(CONTROL!$C$9, $C$13, 100%, $E$13) + CHOOSE(CONTROL!$C$28, 0.0226, 0)</f>
        <v>42.026599999999995</v>
      </c>
      <c r="C668" s="4">
        <f>41.6407 * CHOOSE(CONTROL!$C$9, $C$13, 100%, $E$13) + CHOOSE(CONTROL!$C$28, 0.0226, 0)</f>
        <v>41.6633</v>
      </c>
      <c r="D668" s="4">
        <f>61.2537 * CHOOSE(CONTROL!$C$9, $C$13, 100%, $E$13) + CHOOSE(CONTROL!$C$28, 0.0021, 0)</f>
        <v>61.255800000000001</v>
      </c>
      <c r="E668" s="4">
        <f>287.251338675985 * CHOOSE(CONTROL!$C$9, $C$13, 100%, $E$13) + CHOOSE(CONTROL!$C$28, 0.0021, 0)</f>
        <v>287.25343867598497</v>
      </c>
    </row>
    <row r="669" spans="1:5" ht="15">
      <c r="A669" s="13">
        <v>61514</v>
      </c>
      <c r="B669" s="4">
        <f>42.9913 * CHOOSE(CONTROL!$C$9, $C$13, 100%, $E$13) + CHOOSE(CONTROL!$C$28, 0.0226, 0)</f>
        <v>43.0139</v>
      </c>
      <c r="C669" s="4">
        <f>42.628 * CHOOSE(CONTROL!$C$9, $C$13, 100%, $E$13) + CHOOSE(CONTROL!$C$28, 0.0226, 0)</f>
        <v>42.650599999999997</v>
      </c>
      <c r="D669" s="4">
        <f>60.5881 * CHOOSE(CONTROL!$C$9, $C$13, 100%, $E$13) + CHOOSE(CONTROL!$C$28, 0.0021, 0)</f>
        <v>60.590199999999996</v>
      </c>
      <c r="E669" s="4">
        <f>294.129666787327 * CHOOSE(CONTROL!$C$9, $C$13, 100%, $E$13) + CHOOSE(CONTROL!$C$28, 0.0021, 0)</f>
        <v>294.13176678732697</v>
      </c>
    </row>
    <row r="670" spans="1:5" ht="15">
      <c r="A670" s="13">
        <v>61544</v>
      </c>
      <c r="B670" s="4">
        <f>43.1249 * CHOOSE(CONTROL!$C$9, $C$13, 100%, $E$13) + CHOOSE(CONTROL!$C$28, 0.0226, 0)</f>
        <v>43.147499999999994</v>
      </c>
      <c r="C670" s="4">
        <f>42.7616 * CHOOSE(CONTROL!$C$9, $C$13, 100%, $E$13) + CHOOSE(CONTROL!$C$28, 0.0226, 0)</f>
        <v>42.784199999999998</v>
      </c>
      <c r="D670" s="4">
        <f>61.1301 * CHOOSE(CONTROL!$C$9, $C$13, 100%, $E$13) + CHOOSE(CONTROL!$C$28, 0.0021, 0)</f>
        <v>61.132199999999997</v>
      </c>
      <c r="E670" s="4">
        <f>295.06033312644 * CHOOSE(CONTROL!$C$9, $C$13, 100%, $E$13) + CHOOSE(CONTROL!$C$28, 0.0021, 0)</f>
        <v>295.06243312644</v>
      </c>
    </row>
    <row r="671" spans="1:5" ht="15">
      <c r="A671" s="13">
        <v>61575</v>
      </c>
      <c r="B671" s="4">
        <f>43.1114 * CHOOSE(CONTROL!$C$9, $C$13, 100%, $E$13) + CHOOSE(CONTROL!$C$28, 0.0226, 0)</f>
        <v>43.134</v>
      </c>
      <c r="C671" s="4">
        <f>42.7481 * CHOOSE(CONTROL!$C$9, $C$13, 100%, $E$13) + CHOOSE(CONTROL!$C$28, 0.0226, 0)</f>
        <v>42.770699999999998</v>
      </c>
      <c r="D671" s="4">
        <f>62.1082 * CHOOSE(CONTROL!$C$9, $C$13, 100%, $E$13) + CHOOSE(CONTROL!$C$28, 0.0021, 0)</f>
        <v>62.110299999999995</v>
      </c>
      <c r="E671" s="4">
        <f>294.966484419975 * CHOOSE(CONTROL!$C$9, $C$13, 100%, $E$13) + CHOOSE(CONTROL!$C$28, 0.0021, 0)</f>
        <v>294.968584419975</v>
      </c>
    </row>
    <row r="672" spans="1:5" ht="15">
      <c r="A672" s="13">
        <v>61606</v>
      </c>
      <c r="B672" s="4">
        <f>44.1251 * CHOOSE(CONTROL!$C$9, $C$13, 100%, $E$13) + CHOOSE(CONTROL!$C$28, 0.0226, 0)</f>
        <v>44.1477</v>
      </c>
      <c r="C672" s="4">
        <f>43.7618 * CHOOSE(CONTROL!$C$9, $C$13, 100%, $E$13) + CHOOSE(CONTROL!$C$28, 0.0226, 0)</f>
        <v>43.784399999999998</v>
      </c>
      <c r="D672" s="4">
        <f>61.4623 * CHOOSE(CONTROL!$C$9, $C$13, 100%, $E$13) + CHOOSE(CONTROL!$C$28, 0.0021, 0)</f>
        <v>61.464399999999998</v>
      </c>
      <c r="E672" s="4">
        <f>302.028599581478 * CHOOSE(CONTROL!$C$9, $C$13, 100%, $E$13) + CHOOSE(CONTROL!$C$28, 0.0021, 0)</f>
        <v>302.03069958147796</v>
      </c>
    </row>
    <row r="673" spans="1:5" ht="15">
      <c r="A673" s="13">
        <v>61636</v>
      </c>
      <c r="B673" s="4">
        <f>42.3975 * CHOOSE(CONTROL!$C$9, $C$13, 100%, $E$13) + CHOOSE(CONTROL!$C$28, 0.0226, 0)</f>
        <v>42.420099999999998</v>
      </c>
      <c r="C673" s="4">
        <f>42.0342 * CHOOSE(CONTROL!$C$9, $C$13, 100%, $E$13) + CHOOSE(CONTROL!$C$28, 0.0226, 0)</f>
        <v>42.056799999999996</v>
      </c>
      <c r="D673" s="4">
        <f>61.1571 * CHOOSE(CONTROL!$C$9, $C$13, 100%, $E$13) + CHOOSE(CONTROL!$C$28, 0.0021, 0)</f>
        <v>61.159199999999998</v>
      </c>
      <c r="E673" s="4">
        <f>289.992502977322 * CHOOSE(CONTROL!$C$9, $C$13, 100%, $E$13) + CHOOSE(CONTROL!$C$28, 0.0021, 0)</f>
        <v>289.99460297732196</v>
      </c>
    </row>
    <row r="674" spans="1:5" ht="15">
      <c r="A674" s="13">
        <v>61667</v>
      </c>
      <c r="B674" s="4">
        <f>41.0145 * CHOOSE(CONTROL!$C$9, $C$13, 100%, $E$13) + CHOOSE(CONTROL!$C$28, 0.0226, 0)</f>
        <v>41.037099999999995</v>
      </c>
      <c r="C674" s="4">
        <f>40.6512 * CHOOSE(CONTROL!$C$9, $C$13, 100%, $E$13) + CHOOSE(CONTROL!$C$28, 0.0226, 0)</f>
        <v>40.6738</v>
      </c>
      <c r="D674" s="4">
        <f>60.3399 * CHOOSE(CONTROL!$C$9, $C$13, 100%, $E$13) + CHOOSE(CONTROL!$C$28, 0.0021, 0)</f>
        <v>60.341999999999999</v>
      </c>
      <c r="E674" s="4">
        <f>280.357369113566 * CHOOSE(CONTROL!$C$9, $C$13, 100%, $E$13) + CHOOSE(CONTROL!$C$28, 0.0021, 0)</f>
        <v>280.35946911356598</v>
      </c>
    </row>
    <row r="675" spans="1:5" ht="15">
      <c r="A675" s="13">
        <v>61697</v>
      </c>
      <c r="B675" s="4">
        <f>40.1237 * CHOOSE(CONTROL!$C$9, $C$13, 100%, $E$13) + CHOOSE(CONTROL!$C$28, 0.0226, 0)</f>
        <v>40.146299999999997</v>
      </c>
      <c r="C675" s="4">
        <f>39.7605 * CHOOSE(CONTROL!$C$9, $C$13, 100%, $E$13) + CHOOSE(CONTROL!$C$28, 0.0226, 0)</f>
        <v>39.783099999999997</v>
      </c>
      <c r="D675" s="4">
        <f>60.059 * CHOOSE(CONTROL!$C$9, $C$13, 100%, $E$13) + CHOOSE(CONTROL!$C$28, 0.0021, 0)</f>
        <v>60.061099999999996</v>
      </c>
      <c r="E675" s="4">
        <f>274.151623398558 * CHOOSE(CONTROL!$C$9, $C$13, 100%, $E$13) + CHOOSE(CONTROL!$C$28, 0.0021, 0)</f>
        <v>274.15372339855799</v>
      </c>
    </row>
    <row r="676" spans="1:5" ht="15">
      <c r="A676" s="13">
        <v>61728</v>
      </c>
      <c r="B676" s="4">
        <f>39.5075 * CHOOSE(CONTROL!$C$9, $C$13, 100%, $E$13) + CHOOSE(CONTROL!$C$28, 0.0226, 0)</f>
        <v>39.530099999999997</v>
      </c>
      <c r="C676" s="4">
        <f>39.1442 * CHOOSE(CONTROL!$C$9, $C$13, 100%, $E$13) + CHOOSE(CONTROL!$C$28, 0.0226, 0)</f>
        <v>39.166799999999995</v>
      </c>
      <c r="D676" s="4">
        <f>57.9907 * CHOOSE(CONTROL!$C$9, $C$13, 100%, $E$13) + CHOOSE(CONTROL!$C$28, 0.0021, 0)</f>
        <v>57.992799999999995</v>
      </c>
      <c r="E676" s="4">
        <f>269.858045077777 * CHOOSE(CONTROL!$C$9, $C$13, 100%, $E$13) + CHOOSE(CONTROL!$C$28, 0.0021, 0)</f>
        <v>269.86014507777696</v>
      </c>
    </row>
    <row r="677" spans="1:5" ht="15">
      <c r="A677" s="13">
        <v>61759</v>
      </c>
      <c r="B677" s="4">
        <f>37.8213 * CHOOSE(CONTROL!$C$9, $C$13, 100%, $E$13) + CHOOSE(CONTROL!$C$28, 0.0226, 0)</f>
        <v>37.843899999999998</v>
      </c>
      <c r="C677" s="4">
        <f>37.4581 * CHOOSE(CONTROL!$C$9, $C$13, 100%, $E$13) + CHOOSE(CONTROL!$C$28, 0.0226, 0)</f>
        <v>37.480699999999999</v>
      </c>
      <c r="D677" s="4">
        <f>55.7123 * CHOOSE(CONTROL!$C$9, $C$13, 100%, $E$13) + CHOOSE(CONTROL!$C$28, 0.0021, 0)</f>
        <v>55.714399999999998</v>
      </c>
      <c r="E677" s="4">
        <f>258.617360956376 * CHOOSE(CONTROL!$C$9, $C$13, 100%, $E$13) + CHOOSE(CONTROL!$C$28, 0.0021, 0)</f>
        <v>258.61946095637597</v>
      </c>
    </row>
    <row r="678" spans="1:5" ht="15">
      <c r="A678" s="13">
        <v>61787</v>
      </c>
      <c r="B678" s="4">
        <f>38.701 * CHOOSE(CONTROL!$C$9, $C$13, 100%, $E$13) + CHOOSE(CONTROL!$C$28, 0.0226, 0)</f>
        <v>38.723599999999998</v>
      </c>
      <c r="C678" s="4">
        <f>38.3377 * CHOOSE(CONTROL!$C$9, $C$13, 100%, $E$13) + CHOOSE(CONTROL!$C$28, 0.0226, 0)</f>
        <v>38.360299999999995</v>
      </c>
      <c r="D678" s="4">
        <f>57.6133 * CHOOSE(CONTROL!$C$9, $C$13, 100%, $E$13) + CHOOSE(CONTROL!$C$28, 0.0021, 0)</f>
        <v>57.615400000000001</v>
      </c>
      <c r="E678" s="4">
        <f>264.75795629308 * CHOOSE(CONTROL!$C$9, $C$13, 100%, $E$13) + CHOOSE(CONTROL!$C$28, 0.0021, 0)</f>
        <v>264.76005629307997</v>
      </c>
    </row>
    <row r="679" spans="1:5" ht="15">
      <c r="A679" s="13">
        <v>61818</v>
      </c>
      <c r="B679" s="4">
        <f>41.011 * CHOOSE(CONTROL!$C$9, $C$13, 100%, $E$13) + CHOOSE(CONTROL!$C$28, 0.0226, 0)</f>
        <v>41.0336</v>
      </c>
      <c r="C679" s="4">
        <f>40.6478 * CHOOSE(CONTROL!$C$9, $C$13, 100%, $E$13) + CHOOSE(CONTROL!$C$28, 0.0226, 0)</f>
        <v>40.670399999999994</v>
      </c>
      <c r="D679" s="4">
        <f>60.589 * CHOOSE(CONTROL!$C$9, $C$13, 100%, $E$13) + CHOOSE(CONTROL!$C$28, 0.0021, 0)</f>
        <v>60.591099999999997</v>
      </c>
      <c r="E679" s="4">
        <f>280.883485978319 * CHOOSE(CONTROL!$C$9, $C$13, 100%, $E$13) + CHOOSE(CONTROL!$C$28, 0.0021, 0)</f>
        <v>280.885585978319</v>
      </c>
    </row>
    <row r="680" spans="1:5" ht="15">
      <c r="A680" s="13">
        <v>61848</v>
      </c>
      <c r="B680" s="4">
        <f>42.6524 * CHOOSE(CONTROL!$C$9, $C$13, 100%, $E$13) + CHOOSE(CONTROL!$C$28, 0.0226, 0)</f>
        <v>42.674999999999997</v>
      </c>
      <c r="C680" s="4">
        <f>42.2891 * CHOOSE(CONTROL!$C$9, $C$13, 100%, $E$13) + CHOOSE(CONTROL!$C$28, 0.0226, 0)</f>
        <v>42.311699999999995</v>
      </c>
      <c r="D680" s="4">
        <f>62.3032 * CHOOSE(CONTROL!$C$9, $C$13, 100%, $E$13) + CHOOSE(CONTROL!$C$28, 0.0021, 0)</f>
        <v>62.305299999999995</v>
      </c>
      <c r="E680" s="4">
        <f>292.340889720619 * CHOOSE(CONTROL!$C$9, $C$13, 100%, $E$13) + CHOOSE(CONTROL!$C$28, 0.0021, 0)</f>
        <v>292.34298972061896</v>
      </c>
    </row>
    <row r="681" spans="1:5" ht="15">
      <c r="A681" s="13">
        <v>61879</v>
      </c>
      <c r="B681" s="4">
        <f>43.6552 * CHOOSE(CONTROL!$C$9, $C$13, 100%, $E$13) + CHOOSE(CONTROL!$C$28, 0.0226, 0)</f>
        <v>43.677799999999998</v>
      </c>
      <c r="C681" s="4">
        <f>43.2919 * CHOOSE(CONTROL!$C$9, $C$13, 100%, $E$13) + CHOOSE(CONTROL!$C$28, 0.0226, 0)</f>
        <v>43.314499999999995</v>
      </c>
      <c r="D681" s="4">
        <f>61.6258 * CHOOSE(CONTROL!$C$9, $C$13, 100%, $E$13) + CHOOSE(CONTROL!$C$28, 0.0021, 0)</f>
        <v>61.627899999999997</v>
      </c>
      <c r="E681" s="4">
        <f>299.341088811521 * CHOOSE(CONTROL!$C$9, $C$13, 100%, $E$13) + CHOOSE(CONTROL!$C$28, 0.0021, 0)</f>
        <v>299.34318881152097</v>
      </c>
    </row>
    <row r="682" spans="1:5" ht="15">
      <c r="A682" s="13">
        <v>61909</v>
      </c>
      <c r="B682" s="4">
        <f>43.7908 * CHOOSE(CONTROL!$C$9, $C$13, 100%, $E$13) + CHOOSE(CONTROL!$C$28, 0.0226, 0)</f>
        <v>43.813399999999994</v>
      </c>
      <c r="C682" s="4">
        <f>43.4276 * CHOOSE(CONTROL!$C$9, $C$13, 100%, $E$13) + CHOOSE(CONTROL!$C$28, 0.0226, 0)</f>
        <v>43.450199999999995</v>
      </c>
      <c r="D682" s="4">
        <f>62.1775 * CHOOSE(CONTROL!$C$9, $C$13, 100%, $E$13) + CHOOSE(CONTROL!$C$28, 0.0021, 0)</f>
        <v>62.179600000000001</v>
      </c>
      <c r="E682" s="4">
        <f>300.288244799943 * CHOOSE(CONTROL!$C$9, $C$13, 100%, $E$13) + CHOOSE(CONTROL!$C$28, 0.0021, 0)</f>
        <v>300.290344799943</v>
      </c>
    </row>
    <row r="683" spans="1:5" ht="15">
      <c r="A683" s="13">
        <v>61940</v>
      </c>
      <c r="B683" s="4">
        <f>43.7772 * CHOOSE(CONTROL!$C$9, $C$13, 100%, $E$13) + CHOOSE(CONTROL!$C$28, 0.0226, 0)</f>
        <v>43.799799999999998</v>
      </c>
      <c r="C683" s="4">
        <f>43.4139 * CHOOSE(CONTROL!$C$9, $C$13, 100%, $E$13) + CHOOSE(CONTROL!$C$28, 0.0226, 0)</f>
        <v>43.436499999999995</v>
      </c>
      <c r="D683" s="4">
        <f>63.1729 * CHOOSE(CONTROL!$C$9, $C$13, 100%, $E$13) + CHOOSE(CONTROL!$C$28, 0.0021, 0)</f>
        <v>63.174999999999997</v>
      </c>
      <c r="E683" s="4">
        <f>300.192733271699 * CHOOSE(CONTROL!$C$9, $C$13, 100%, $E$13) + CHOOSE(CONTROL!$C$28, 0.0021, 0)</f>
        <v>300.194833271699</v>
      </c>
    </row>
    <row r="684" spans="1:5" ht="15">
      <c r="A684" s="13">
        <v>61971</v>
      </c>
      <c r="B684" s="4">
        <f>44.8068 * CHOOSE(CONTROL!$C$9, $C$13, 100%, $E$13) + CHOOSE(CONTROL!$C$28, 0.0226, 0)</f>
        <v>44.8294</v>
      </c>
      <c r="C684" s="4">
        <f>44.4435 * CHOOSE(CONTROL!$C$9, $C$13, 100%, $E$13) + CHOOSE(CONTROL!$C$28, 0.0226, 0)</f>
        <v>44.466099999999997</v>
      </c>
      <c r="D684" s="4">
        <f>62.5155 * CHOOSE(CONTROL!$C$9, $C$13, 100%, $E$13) + CHOOSE(CONTROL!$C$28, 0.0021, 0)</f>
        <v>62.517600000000002</v>
      </c>
      <c r="E684" s="4">
        <f>307.37997577208 * CHOOSE(CONTROL!$C$9, $C$13, 100%, $E$13) + CHOOSE(CONTROL!$C$28, 0.0021, 0)</f>
        <v>307.38207577207999</v>
      </c>
    </row>
    <row r="685" spans="1:5" ht="15">
      <c r="A685" s="13">
        <v>62001</v>
      </c>
      <c r="B685" s="4">
        <f>43.052 * CHOOSE(CONTROL!$C$9, $C$13, 100%, $E$13) + CHOOSE(CONTROL!$C$28, 0.0226, 0)</f>
        <v>43.074599999999997</v>
      </c>
      <c r="C685" s="4">
        <f>42.6887 * CHOOSE(CONTROL!$C$9, $C$13, 100%, $E$13) + CHOOSE(CONTROL!$C$28, 0.0226, 0)</f>
        <v>42.711299999999994</v>
      </c>
      <c r="D685" s="4">
        <f>62.2049 * CHOOSE(CONTROL!$C$9, $C$13, 100%, $E$13) + CHOOSE(CONTROL!$C$28, 0.0021, 0)</f>
        <v>62.207000000000001</v>
      </c>
      <c r="E685" s="4">
        <f>295.130622274754 * CHOOSE(CONTROL!$C$9, $C$13, 100%, $E$13) + CHOOSE(CONTROL!$C$28, 0.0021, 0)</f>
        <v>295.13272227475397</v>
      </c>
    </row>
    <row r="686" spans="1:5" ht="15">
      <c r="A686" s="13">
        <v>62032</v>
      </c>
      <c r="B686" s="4">
        <f>41.6473 * CHOOSE(CONTROL!$C$9, $C$13, 100%, $E$13) + CHOOSE(CONTROL!$C$28, 0.0226, 0)</f>
        <v>41.669899999999998</v>
      </c>
      <c r="C686" s="4">
        <f>41.284 * CHOOSE(CONTROL!$C$9, $C$13, 100%, $E$13) + CHOOSE(CONTROL!$C$28, 0.0226, 0)</f>
        <v>41.306599999999996</v>
      </c>
      <c r="D686" s="4">
        <f>61.3733 * CHOOSE(CONTROL!$C$9, $C$13, 100%, $E$13) + CHOOSE(CONTROL!$C$28, 0.0021, 0)</f>
        <v>61.375399999999999</v>
      </c>
      <c r="E686" s="4">
        <f>285.324772041677 * CHOOSE(CONTROL!$C$9, $C$13, 100%, $E$13) + CHOOSE(CONTROL!$C$28, 0.0021, 0)</f>
        <v>285.32687204167701</v>
      </c>
    </row>
    <row r="687" spans="1:5" ht="15">
      <c r="A687" s="13">
        <v>62062</v>
      </c>
      <c r="B687" s="4">
        <f>40.7425 * CHOOSE(CONTROL!$C$9, $C$13, 100%, $E$13) + CHOOSE(CONTROL!$C$28, 0.0226, 0)</f>
        <v>40.765099999999997</v>
      </c>
      <c r="C687" s="4">
        <f>40.3792 * CHOOSE(CONTROL!$C$9, $C$13, 100%, $E$13) + CHOOSE(CONTROL!$C$28, 0.0226, 0)</f>
        <v>40.401799999999994</v>
      </c>
      <c r="D687" s="4">
        <f>61.0874 * CHOOSE(CONTROL!$C$9, $C$13, 100%, $E$13) + CHOOSE(CONTROL!$C$28, 0.0021, 0)</f>
        <v>61.089500000000001</v>
      </c>
      <c r="E687" s="4">
        <f>279.009072236525 * CHOOSE(CONTROL!$C$9, $C$13, 100%, $E$13) + CHOOSE(CONTROL!$C$28, 0.0021, 0)</f>
        <v>279.011172236525</v>
      </c>
    </row>
    <row r="688" spans="1:5" ht="15">
      <c r="A688" s="13">
        <v>62093</v>
      </c>
      <c r="B688" s="4">
        <f>40.1166 * CHOOSE(CONTROL!$C$9, $C$13, 100%, $E$13) + CHOOSE(CONTROL!$C$28, 0.0226, 0)</f>
        <v>40.139199999999995</v>
      </c>
      <c r="C688" s="4">
        <f>39.7533 * CHOOSE(CONTROL!$C$9, $C$13, 100%, $E$13) + CHOOSE(CONTROL!$C$28, 0.0226, 0)</f>
        <v>39.7759</v>
      </c>
      <c r="D688" s="4">
        <f>58.9826 * CHOOSE(CONTROL!$C$9, $C$13, 100%, $E$13) + CHOOSE(CONTROL!$C$28, 0.0021, 0)</f>
        <v>58.984699999999997</v>
      </c>
      <c r="E688" s="4">
        <f>274.63941981935 * CHOOSE(CONTROL!$C$9, $C$13, 100%, $E$13) + CHOOSE(CONTROL!$C$28, 0.0021, 0)</f>
        <v>274.64151981934998</v>
      </c>
    </row>
    <row r="689" spans="1:5" ht="15">
      <c r="A689" s="13">
        <v>62124</v>
      </c>
      <c r="B689" s="4">
        <f>38.4039 * CHOOSE(CONTROL!$C$9, $C$13, 100%, $E$13) + CHOOSE(CONTROL!$C$28, 0.0226, 0)</f>
        <v>38.426499999999997</v>
      </c>
      <c r="C689" s="4">
        <f>38.0406 * CHOOSE(CONTROL!$C$9, $C$13, 100%, $E$13) + CHOOSE(CONTROL!$C$28, 0.0226, 0)</f>
        <v>38.063199999999995</v>
      </c>
      <c r="D689" s="4">
        <f>56.6639 * CHOOSE(CONTROL!$C$9, $C$13, 100%, $E$13) + CHOOSE(CONTROL!$C$28, 0.0021, 0)</f>
        <v>56.665999999999997</v>
      </c>
      <c r="E689" s="4">
        <f>263.199572011276 * CHOOSE(CONTROL!$C$9, $C$13, 100%, $E$13) + CHOOSE(CONTROL!$C$28, 0.0021, 0)</f>
        <v>263.201672011276</v>
      </c>
    </row>
    <row r="690" spans="1:5" ht="15">
      <c r="A690" s="13">
        <v>62152</v>
      </c>
      <c r="B690" s="4">
        <f>39.2974 * CHOOSE(CONTROL!$C$9, $C$13, 100%, $E$13) + CHOOSE(CONTROL!$C$28, 0.0226, 0)</f>
        <v>39.32</v>
      </c>
      <c r="C690" s="4">
        <f>38.9341 * CHOOSE(CONTROL!$C$9, $C$13, 100%, $E$13) + CHOOSE(CONTROL!$C$28, 0.0226, 0)</f>
        <v>38.956699999999998</v>
      </c>
      <c r="D690" s="4">
        <f>58.5985 * CHOOSE(CONTROL!$C$9, $C$13, 100%, $E$13) + CHOOSE(CONTROL!$C$28, 0.0021, 0)</f>
        <v>58.6006</v>
      </c>
      <c r="E690" s="4">
        <f>269.448967096502 * CHOOSE(CONTROL!$C$9, $C$13, 100%, $E$13) + CHOOSE(CONTROL!$C$28, 0.0021, 0)</f>
        <v>269.45106709650196</v>
      </c>
    </row>
    <row r="691" spans="1:5" ht="15">
      <c r="A691" s="13">
        <v>62183</v>
      </c>
      <c r="B691" s="4">
        <f>41.6438 * CHOOSE(CONTROL!$C$9, $C$13, 100%, $E$13) + CHOOSE(CONTROL!$C$28, 0.0226, 0)</f>
        <v>41.666399999999996</v>
      </c>
      <c r="C691" s="4">
        <f>41.2805 * CHOOSE(CONTROL!$C$9, $C$13, 100%, $E$13) + CHOOSE(CONTROL!$C$28, 0.0226, 0)</f>
        <v>41.303100000000001</v>
      </c>
      <c r="D691" s="4">
        <f>61.6268 * CHOOSE(CONTROL!$C$9, $C$13, 100%, $E$13) + CHOOSE(CONTROL!$C$28, 0.0021, 0)</f>
        <v>61.628900000000002</v>
      </c>
      <c r="E691" s="4">
        <f>285.86021070333 * CHOOSE(CONTROL!$C$9, $C$13, 100%, $E$13) + CHOOSE(CONTROL!$C$28, 0.0021, 0)</f>
        <v>285.86231070332997</v>
      </c>
    </row>
    <row r="692" spans="1:5" ht="15">
      <c r="A692" s="13">
        <v>62213</v>
      </c>
      <c r="B692" s="4">
        <f>43.3109 * CHOOSE(CONTROL!$C$9, $C$13, 100%, $E$13) + CHOOSE(CONTROL!$C$28, 0.0226, 0)</f>
        <v>43.333499999999994</v>
      </c>
      <c r="C692" s="4">
        <f>42.9476 * CHOOSE(CONTROL!$C$9, $C$13, 100%, $E$13) + CHOOSE(CONTROL!$C$28, 0.0226, 0)</f>
        <v>42.970199999999998</v>
      </c>
      <c r="D692" s="4">
        <f>63.3713 * CHOOSE(CONTROL!$C$9, $C$13, 100%, $E$13) + CHOOSE(CONTROL!$C$28, 0.0021, 0)</f>
        <v>63.373399999999997</v>
      </c>
      <c r="E692" s="4">
        <f>297.520617994558 * CHOOSE(CONTROL!$C$9, $C$13, 100%, $E$13) + CHOOSE(CONTROL!$C$28, 0.0021, 0)</f>
        <v>297.52271799455798</v>
      </c>
    </row>
    <row r="693" spans="1:5" ht="15">
      <c r="A693" s="13">
        <v>62244</v>
      </c>
      <c r="B693" s="4">
        <f>44.3295 * CHOOSE(CONTROL!$C$9, $C$13, 100%, $E$13) + CHOOSE(CONTROL!$C$28, 0.0226, 0)</f>
        <v>44.3521</v>
      </c>
      <c r="C693" s="4">
        <f>43.9662 * CHOOSE(CONTROL!$C$9, $C$13, 100%, $E$13) + CHOOSE(CONTROL!$C$28, 0.0226, 0)</f>
        <v>43.988799999999998</v>
      </c>
      <c r="D693" s="4">
        <f>62.6819 * CHOOSE(CONTROL!$C$9, $C$13, 100%, $E$13) + CHOOSE(CONTROL!$C$28, 0.0021, 0)</f>
        <v>62.683999999999997</v>
      </c>
      <c r="E693" s="4">
        <f>304.644847388539 * CHOOSE(CONTROL!$C$9, $C$13, 100%, $E$13) + CHOOSE(CONTROL!$C$28, 0.0021, 0)</f>
        <v>304.64694738853899</v>
      </c>
    </row>
    <row r="694" spans="1:5" ht="15">
      <c r="A694" s="13">
        <v>62274</v>
      </c>
      <c r="B694" s="4">
        <f>44.4673 * CHOOSE(CONTROL!$C$9, $C$13, 100%, $E$13) + CHOOSE(CONTROL!$C$28, 0.0226, 0)</f>
        <v>44.489899999999999</v>
      </c>
      <c r="C694" s="4">
        <f>44.104 * CHOOSE(CONTROL!$C$9, $C$13, 100%, $E$13) + CHOOSE(CONTROL!$C$28, 0.0226, 0)</f>
        <v>44.126599999999996</v>
      </c>
      <c r="D694" s="4">
        <f>63.2433 * CHOOSE(CONTROL!$C$9, $C$13, 100%, $E$13) + CHOOSE(CONTROL!$C$28, 0.0021, 0)</f>
        <v>63.245399999999997</v>
      </c>
      <c r="E694" s="4">
        <f>305.608785191704 * CHOOSE(CONTROL!$C$9, $C$13, 100%, $E$13) + CHOOSE(CONTROL!$C$28, 0.0021, 0)</f>
        <v>305.61088519170397</v>
      </c>
    </row>
    <row r="695" spans="1:5" ht="15">
      <c r="A695" s="13">
        <v>62305</v>
      </c>
      <c r="B695" s="4">
        <f>44.4534 * CHOOSE(CONTROL!$C$9, $C$13, 100%, $E$13) + CHOOSE(CONTROL!$C$28, 0.0226, 0)</f>
        <v>44.475999999999999</v>
      </c>
      <c r="C695" s="4">
        <f>44.0901 * CHOOSE(CONTROL!$C$9, $C$13, 100%, $E$13) + CHOOSE(CONTROL!$C$28, 0.0226, 0)</f>
        <v>44.112699999999997</v>
      </c>
      <c r="D695" s="4">
        <f>64.2563 * CHOOSE(CONTROL!$C$9, $C$13, 100%, $E$13) + CHOOSE(CONTROL!$C$28, 0.0021, 0)</f>
        <v>64.258399999999995</v>
      </c>
      <c r="E695" s="4">
        <f>305.51158137962 * CHOOSE(CONTROL!$C$9, $C$13, 100%, $E$13) + CHOOSE(CONTROL!$C$28, 0.0021, 0)</f>
        <v>305.51368137961998</v>
      </c>
    </row>
    <row r="696" spans="1:5" ht="15">
      <c r="A696" s="13">
        <v>62336</v>
      </c>
      <c r="B696" s="4">
        <f>45.4992 * CHOOSE(CONTROL!$C$9, $C$13, 100%, $E$13) + CHOOSE(CONTROL!$C$28, 0.0226, 0)</f>
        <v>45.521799999999999</v>
      </c>
      <c r="C696" s="4">
        <f>45.1359 * CHOOSE(CONTROL!$C$9, $C$13, 100%, $E$13) + CHOOSE(CONTROL!$C$28, 0.0226, 0)</f>
        <v>45.158499999999997</v>
      </c>
      <c r="D696" s="4">
        <f>63.5873 * CHOOSE(CONTROL!$C$9, $C$13, 100%, $E$13) + CHOOSE(CONTROL!$C$28, 0.0021, 0)</f>
        <v>63.589399999999998</v>
      </c>
      <c r="E696" s="4">
        <f>312.826168238932 * CHOOSE(CONTROL!$C$9, $C$13, 100%, $E$13) + CHOOSE(CONTROL!$C$28, 0.0021, 0)</f>
        <v>312.82826823893197</v>
      </c>
    </row>
    <row r="697" spans="1:5" ht="15">
      <c r="A697" s="13">
        <v>62366</v>
      </c>
      <c r="B697" s="4">
        <f>43.7168 * CHOOSE(CONTROL!$C$9, $C$13, 100%, $E$13) + CHOOSE(CONTROL!$C$28, 0.0226, 0)</f>
        <v>43.739399999999996</v>
      </c>
      <c r="C697" s="4">
        <f>43.3535 * CHOOSE(CONTROL!$C$9, $C$13, 100%, $E$13) + CHOOSE(CONTROL!$C$28, 0.0226, 0)</f>
        <v>43.376099999999994</v>
      </c>
      <c r="D697" s="4">
        <f>63.2713 * CHOOSE(CONTROL!$C$9, $C$13, 100%, $E$13) + CHOOSE(CONTROL!$C$28, 0.0021, 0)</f>
        <v>63.273399999999995</v>
      </c>
      <c r="E697" s="4">
        <f>300.359779339175 * CHOOSE(CONTROL!$C$9, $C$13, 100%, $E$13) + CHOOSE(CONTROL!$C$28, 0.0021, 0)</f>
        <v>300.361879339175</v>
      </c>
    </row>
    <row r="698" spans="1:5" ht="15">
      <c r="A698" s="13">
        <v>62397</v>
      </c>
      <c r="B698" s="4">
        <f>42.29 * CHOOSE(CONTROL!$C$9, $C$13, 100%, $E$13) + CHOOSE(CONTROL!$C$28, 0.0226, 0)</f>
        <v>42.312599999999996</v>
      </c>
      <c r="C698" s="4">
        <f>41.9267 * CHOOSE(CONTROL!$C$9, $C$13, 100%, $E$13) + CHOOSE(CONTROL!$C$28, 0.0226, 0)</f>
        <v>41.949299999999994</v>
      </c>
      <c r="D698" s="4">
        <f>62.425 * CHOOSE(CONTROL!$C$9, $C$13, 100%, $E$13) + CHOOSE(CONTROL!$C$28, 0.0021, 0)</f>
        <v>62.427099999999996</v>
      </c>
      <c r="E698" s="4">
        <f>290.38018796523 * CHOOSE(CONTROL!$C$9, $C$13, 100%, $E$13) + CHOOSE(CONTROL!$C$28, 0.0021, 0)</f>
        <v>290.38228796522998</v>
      </c>
    </row>
    <row r="699" spans="1:5" ht="15">
      <c r="A699" s="13">
        <v>62427</v>
      </c>
      <c r="B699" s="4">
        <f>41.371 * CHOOSE(CONTROL!$C$9, $C$13, 100%, $E$13) + CHOOSE(CONTROL!$C$28, 0.0226, 0)</f>
        <v>41.393599999999999</v>
      </c>
      <c r="C699" s="4">
        <f>41.0078 * CHOOSE(CONTROL!$C$9, $C$13, 100%, $E$13) + CHOOSE(CONTROL!$C$28, 0.0226, 0)</f>
        <v>41.0304</v>
      </c>
      <c r="D699" s="4">
        <f>62.134 * CHOOSE(CONTROL!$C$9, $C$13, 100%, $E$13) + CHOOSE(CONTROL!$C$28, 0.0021, 0)</f>
        <v>62.136099999999999</v>
      </c>
      <c r="E699" s="4">
        <f>283.952585891184 * CHOOSE(CONTROL!$C$9, $C$13, 100%, $E$13) + CHOOSE(CONTROL!$C$28, 0.0021, 0)</f>
        <v>283.954685891184</v>
      </c>
    </row>
    <row r="700" spans="1:5" ht="15">
      <c r="A700" s="13">
        <v>62458</v>
      </c>
      <c r="B700" s="4">
        <f>40.7352 * CHOOSE(CONTROL!$C$9, $C$13, 100%, $E$13) + CHOOSE(CONTROL!$C$28, 0.0226, 0)</f>
        <v>40.757799999999996</v>
      </c>
      <c r="C700" s="4">
        <f>40.3719 * CHOOSE(CONTROL!$C$9, $C$13, 100%, $E$13) + CHOOSE(CONTROL!$C$28, 0.0226, 0)</f>
        <v>40.394499999999994</v>
      </c>
      <c r="D700" s="4">
        <f>59.992 * CHOOSE(CONTROL!$C$9, $C$13, 100%, $E$13) + CHOOSE(CONTROL!$C$28, 0.0021, 0)</f>
        <v>59.994099999999996</v>
      </c>
      <c r="E700" s="4">
        <f>279.505511488346 * CHOOSE(CONTROL!$C$9, $C$13, 100%, $E$13) + CHOOSE(CONTROL!$C$28, 0.0021, 0)</f>
        <v>279.50761148834596</v>
      </c>
    </row>
    <row r="701" spans="1:5" ht="15">
      <c r="A701" s="13">
        <v>62489</v>
      </c>
      <c r="B701" s="4">
        <f>38.9956 * CHOOSE(CONTROL!$C$9, $C$13, 100%, $E$13) + CHOOSE(CONTROL!$C$28, 0.0226, 0)</f>
        <v>39.0182</v>
      </c>
      <c r="C701" s="4">
        <f>38.6324 * CHOOSE(CONTROL!$C$9, $C$13, 100%, $E$13) + CHOOSE(CONTROL!$C$28, 0.0226, 0)</f>
        <v>38.654999999999994</v>
      </c>
      <c r="D701" s="4">
        <f>57.6324 * CHOOSE(CONTROL!$C$9, $C$13, 100%, $E$13) + CHOOSE(CONTROL!$C$28, 0.0021, 0)</f>
        <v>57.634499999999996</v>
      </c>
      <c r="E701" s="4">
        <f>267.862971189333 * CHOOSE(CONTROL!$C$9, $C$13, 100%, $E$13) + CHOOSE(CONTROL!$C$28, 0.0021, 0)</f>
        <v>267.86507118933298</v>
      </c>
    </row>
    <row r="702" spans="1:5" ht="15">
      <c r="A702" s="13">
        <v>62517</v>
      </c>
      <c r="B702" s="4">
        <f>39.9032 * CHOOSE(CONTROL!$C$9, $C$13, 100%, $E$13) + CHOOSE(CONTROL!$C$28, 0.0226, 0)</f>
        <v>39.925799999999995</v>
      </c>
      <c r="C702" s="4">
        <f>39.5399 * CHOOSE(CONTROL!$C$9, $C$13, 100%, $E$13) + CHOOSE(CONTROL!$C$28, 0.0226, 0)</f>
        <v>39.5625</v>
      </c>
      <c r="D702" s="4">
        <f>59.6011 * CHOOSE(CONTROL!$C$9, $C$13, 100%, $E$13) + CHOOSE(CONTROL!$C$28, 0.0021, 0)</f>
        <v>59.603200000000001</v>
      </c>
      <c r="E702" s="4">
        <f>274.22309374908 * CHOOSE(CONTROL!$C$9, $C$13, 100%, $E$13) + CHOOSE(CONTROL!$C$28, 0.0021, 0)</f>
        <v>274.22519374908001</v>
      </c>
    </row>
    <row r="703" spans="1:5" ht="15">
      <c r="A703" s="13">
        <v>62548</v>
      </c>
      <c r="B703" s="4">
        <f>42.2865 * CHOOSE(CONTROL!$C$9, $C$13, 100%, $E$13) + CHOOSE(CONTROL!$C$28, 0.0226, 0)</f>
        <v>42.309099999999994</v>
      </c>
      <c r="C703" s="4">
        <f>41.9232 * CHOOSE(CONTROL!$C$9, $C$13, 100%, $E$13) + CHOOSE(CONTROL!$C$28, 0.0226, 0)</f>
        <v>41.945799999999998</v>
      </c>
      <c r="D703" s="4">
        <f>62.683 * CHOOSE(CONTROL!$C$9, $C$13, 100%, $E$13) + CHOOSE(CONTROL!$C$28, 0.0021, 0)</f>
        <v>62.685099999999998</v>
      </c>
      <c r="E703" s="4">
        <f>290.925113588414 * CHOOSE(CONTROL!$C$9, $C$13, 100%, $E$13) + CHOOSE(CONTROL!$C$28, 0.0021, 0)</f>
        <v>290.92721358841396</v>
      </c>
    </row>
    <row r="704" spans="1:5" ht="15">
      <c r="A704" s="13">
        <v>62578</v>
      </c>
      <c r="B704" s="4">
        <f>43.9798 * CHOOSE(CONTROL!$C$9, $C$13, 100%, $E$13) + CHOOSE(CONTROL!$C$28, 0.0226, 0)</f>
        <v>44.002399999999994</v>
      </c>
      <c r="C704" s="4">
        <f>43.6165 * CHOOSE(CONTROL!$C$9, $C$13, 100%, $E$13) + CHOOSE(CONTROL!$C$28, 0.0226, 0)</f>
        <v>43.639099999999999</v>
      </c>
      <c r="D704" s="4">
        <f>64.4582 * CHOOSE(CONTROL!$C$9, $C$13, 100%, $E$13) + CHOOSE(CONTROL!$C$28, 0.0021, 0)</f>
        <v>64.460300000000004</v>
      </c>
      <c r="E704" s="4">
        <f>302.792121267942 * CHOOSE(CONTROL!$C$9, $C$13, 100%, $E$13) + CHOOSE(CONTROL!$C$28, 0.0021, 0)</f>
        <v>302.79422126794196</v>
      </c>
    </row>
    <row r="705" spans="1:5" ht="15">
      <c r="A705" s="13">
        <v>62609</v>
      </c>
      <c r="B705" s="4">
        <f>45.0144 * CHOOSE(CONTROL!$C$9, $C$13, 100%, $E$13) + CHOOSE(CONTROL!$C$28, 0.0226, 0)</f>
        <v>45.036999999999999</v>
      </c>
      <c r="C705" s="4">
        <f>44.6511 * CHOOSE(CONTROL!$C$9, $C$13, 100%, $E$13) + CHOOSE(CONTROL!$C$28, 0.0226, 0)</f>
        <v>44.673699999999997</v>
      </c>
      <c r="D705" s="4">
        <f>63.7567 * CHOOSE(CONTROL!$C$9, $C$13, 100%, $E$13) + CHOOSE(CONTROL!$C$28, 0.0021, 0)</f>
        <v>63.758800000000001</v>
      </c>
      <c r="E705" s="4">
        <f>310.042578547653 * CHOOSE(CONTROL!$C$9, $C$13, 100%, $E$13) + CHOOSE(CONTROL!$C$28, 0.0021, 0)</f>
        <v>310.04467854765301</v>
      </c>
    </row>
    <row r="706" spans="1:5" ht="15">
      <c r="A706" s="13">
        <v>62639</v>
      </c>
      <c r="B706" s="4">
        <f>45.1544 * CHOOSE(CONTROL!$C$9, $C$13, 100%, $E$13) + CHOOSE(CONTROL!$C$28, 0.0226, 0)</f>
        <v>45.177</v>
      </c>
      <c r="C706" s="4">
        <f>44.7911 * CHOOSE(CONTROL!$C$9, $C$13, 100%, $E$13) + CHOOSE(CONTROL!$C$28, 0.0226, 0)</f>
        <v>44.813699999999997</v>
      </c>
      <c r="D706" s="4">
        <f>64.328 * CHOOSE(CONTROL!$C$9, $C$13, 100%, $E$13) + CHOOSE(CONTROL!$C$28, 0.0021, 0)</f>
        <v>64.330100000000002</v>
      </c>
      <c r="E706" s="4">
        <f>311.023595507614 * CHOOSE(CONTROL!$C$9, $C$13, 100%, $E$13) + CHOOSE(CONTROL!$C$28, 0.0021, 0)</f>
        <v>311.02569550761399</v>
      </c>
    </row>
    <row r="707" spans="1:5" ht="15">
      <c r="A707" s="13">
        <v>62670</v>
      </c>
      <c r="B707" s="4">
        <f>45.1403 * CHOOSE(CONTROL!$C$9, $C$13, 100%, $E$13) + CHOOSE(CONTROL!$C$28, 0.0226, 0)</f>
        <v>45.1629</v>
      </c>
      <c r="C707" s="4">
        <f>44.777 * CHOOSE(CONTROL!$C$9, $C$13, 100%, $E$13) + CHOOSE(CONTROL!$C$28, 0.0226, 0)</f>
        <v>44.799599999999998</v>
      </c>
      <c r="D707" s="4">
        <f>65.3589 * CHOOSE(CONTROL!$C$9, $C$13, 100%, $E$13) + CHOOSE(CONTROL!$C$28, 0.0021, 0)</f>
        <v>65.361000000000004</v>
      </c>
      <c r="E707" s="4">
        <f>310.924669427618 * CHOOSE(CONTROL!$C$9, $C$13, 100%, $E$13) + CHOOSE(CONTROL!$C$28, 0.0021, 0)</f>
        <v>310.92676942761801</v>
      </c>
    </row>
    <row r="708" spans="1:5" ht="15">
      <c r="A708" s="13">
        <v>62701</v>
      </c>
      <c r="B708" s="4">
        <f>46.2025 * CHOOSE(CONTROL!$C$9, $C$13, 100%, $E$13) + CHOOSE(CONTROL!$C$28, 0.0226, 0)</f>
        <v>46.225099999999998</v>
      </c>
      <c r="C708" s="4">
        <f>45.8392 * CHOOSE(CONTROL!$C$9, $C$13, 100%, $E$13) + CHOOSE(CONTROL!$C$28, 0.0226, 0)</f>
        <v>45.861799999999995</v>
      </c>
      <c r="D708" s="4">
        <f>64.6781 * CHOOSE(CONTROL!$C$9, $C$13, 100%, $E$13) + CHOOSE(CONTROL!$C$28, 0.0021, 0)</f>
        <v>64.680199999999999</v>
      </c>
      <c r="E708" s="4">
        <f>318.368856947321 * CHOOSE(CONTROL!$C$9, $C$13, 100%, $E$13) + CHOOSE(CONTROL!$C$28, 0.0021, 0)</f>
        <v>318.37095694732096</v>
      </c>
    </row>
    <row r="709" spans="1:5" ht="15">
      <c r="A709" s="13">
        <v>62731</v>
      </c>
      <c r="B709" s="4">
        <f>44.3921 * CHOOSE(CONTROL!$C$9, $C$13, 100%, $E$13) + CHOOSE(CONTROL!$C$28, 0.0226, 0)</f>
        <v>44.414699999999996</v>
      </c>
      <c r="C709" s="4">
        <f>44.0288 * CHOOSE(CONTROL!$C$9, $C$13, 100%, $E$13) + CHOOSE(CONTROL!$C$28, 0.0226, 0)</f>
        <v>44.051399999999994</v>
      </c>
      <c r="D709" s="4">
        <f>64.3564 * CHOOSE(CONTROL!$C$9, $C$13, 100%, $E$13) + CHOOSE(CONTROL!$C$28, 0.0021, 0)</f>
        <v>64.358499999999992</v>
      </c>
      <c r="E709" s="4">
        <f>305.681587187827 * CHOOSE(CONTROL!$C$9, $C$13, 100%, $E$13) + CHOOSE(CONTROL!$C$28, 0.0021, 0)</f>
        <v>305.68368718782699</v>
      </c>
    </row>
    <row r="710" spans="1:5" ht="15">
      <c r="A710" s="13">
        <v>62762</v>
      </c>
      <c r="B710" s="4">
        <f>42.9429 * CHOOSE(CONTROL!$C$9, $C$13, 100%, $E$13) + CHOOSE(CONTROL!$C$28, 0.0226, 0)</f>
        <v>42.965499999999999</v>
      </c>
      <c r="C710" s="4">
        <f>42.5796 * CHOOSE(CONTROL!$C$9, $C$13, 100%, $E$13) + CHOOSE(CONTROL!$C$28, 0.0226, 0)</f>
        <v>42.602199999999996</v>
      </c>
      <c r="D710" s="4">
        <f>63.4952 * CHOOSE(CONTROL!$C$9, $C$13, 100%, $E$13) + CHOOSE(CONTROL!$C$28, 0.0021, 0)</f>
        <v>63.497299999999996</v>
      </c>
      <c r="E710" s="4">
        <f>295.525176308231 * CHOOSE(CONTROL!$C$9, $C$13, 100%, $E$13) + CHOOSE(CONTROL!$C$28, 0.0021, 0)</f>
        <v>295.52727630823097</v>
      </c>
    </row>
    <row r="711" spans="1:5" ht="15">
      <c r="A711" s="13">
        <v>62792</v>
      </c>
      <c r="B711" s="4">
        <f>42.0094 * CHOOSE(CONTROL!$C$9, $C$13, 100%, $E$13) + CHOOSE(CONTROL!$C$28, 0.0226, 0)</f>
        <v>42.031999999999996</v>
      </c>
      <c r="C711" s="4">
        <f>41.6461 * CHOOSE(CONTROL!$C$9, $C$13, 100%, $E$13) + CHOOSE(CONTROL!$C$28, 0.0226, 0)</f>
        <v>41.668699999999994</v>
      </c>
      <c r="D711" s="4">
        <f>63.1991 * CHOOSE(CONTROL!$C$9, $C$13, 100%, $E$13) + CHOOSE(CONTROL!$C$28, 0.0021, 0)</f>
        <v>63.2012</v>
      </c>
      <c r="E711" s="4">
        <f>288.983689268492 * CHOOSE(CONTROL!$C$9, $C$13, 100%, $E$13) + CHOOSE(CONTROL!$C$28, 0.0021, 0)</f>
        <v>288.985789268492</v>
      </c>
    </row>
    <row r="712" spans="1:5" ht="15">
      <c r="A712" s="13">
        <v>62823</v>
      </c>
      <c r="B712" s="4">
        <f>41.3636 * CHOOSE(CONTROL!$C$9, $C$13, 100%, $E$13) + CHOOSE(CONTROL!$C$28, 0.0226, 0)</f>
        <v>41.386199999999995</v>
      </c>
      <c r="C712" s="4">
        <f>41.0003 * CHOOSE(CONTROL!$C$9, $C$13, 100%, $E$13) + CHOOSE(CONTROL!$C$28, 0.0226, 0)</f>
        <v>41.0229</v>
      </c>
      <c r="D712" s="4">
        <f>61.0192 * CHOOSE(CONTROL!$C$9, $C$13, 100%, $E$13) + CHOOSE(CONTROL!$C$28, 0.0021, 0)</f>
        <v>61.021299999999997</v>
      </c>
      <c r="E712" s="4">
        <f>284.457821108672 * CHOOSE(CONTROL!$C$9, $C$13, 100%, $E$13) + CHOOSE(CONTROL!$C$28, 0.0021, 0)</f>
        <v>284.45992110867201</v>
      </c>
    </row>
    <row r="713" spans="1:5" ht="15">
      <c r="A713" s="13">
        <v>62854</v>
      </c>
      <c r="B713" s="4">
        <f>39.5967 * CHOOSE(CONTROL!$C$9, $C$13, 100%, $E$13) + CHOOSE(CONTROL!$C$28, 0.0226, 0)</f>
        <v>39.619299999999996</v>
      </c>
      <c r="C713" s="4">
        <f>39.2334 * CHOOSE(CONTROL!$C$9, $C$13, 100%, $E$13) + CHOOSE(CONTROL!$C$28, 0.0226, 0)</f>
        <v>39.256</v>
      </c>
      <c r="D713" s="4">
        <f>58.6179 * CHOOSE(CONTROL!$C$9, $C$13, 100%, $E$13) + CHOOSE(CONTROL!$C$28, 0.0021, 0)</f>
        <v>58.62</v>
      </c>
      <c r="E713" s="4">
        <f>272.608996990706 * CHOOSE(CONTROL!$C$9, $C$13, 100%, $E$13) + CHOOSE(CONTROL!$C$28, 0.0021, 0)</f>
        <v>272.61109699070596</v>
      </c>
    </row>
    <row r="714" spans="1:5" ht="15">
      <c r="A714" s="13">
        <v>62883</v>
      </c>
      <c r="B714" s="4">
        <f>40.5185 * CHOOSE(CONTROL!$C$9, $C$13, 100%, $E$13) + CHOOSE(CONTROL!$C$28, 0.0226, 0)</f>
        <v>40.5411</v>
      </c>
      <c r="C714" s="4">
        <f>40.1552 * CHOOSE(CONTROL!$C$9, $C$13, 100%, $E$13) + CHOOSE(CONTROL!$C$28, 0.0226, 0)</f>
        <v>40.177799999999998</v>
      </c>
      <c r="D714" s="4">
        <f>60.6214 * CHOOSE(CONTROL!$C$9, $C$13, 100%, $E$13) + CHOOSE(CONTROL!$C$28, 0.0021, 0)</f>
        <v>60.6235</v>
      </c>
      <c r="E714" s="4">
        <f>279.081808906636 * CHOOSE(CONTROL!$C$9, $C$13, 100%, $E$13) + CHOOSE(CONTROL!$C$28, 0.0021, 0)</f>
        <v>279.083908906636</v>
      </c>
    </row>
    <row r="715" spans="1:5" ht="15">
      <c r="A715" s="13">
        <v>62914</v>
      </c>
      <c r="B715" s="4">
        <f>42.9392 * CHOOSE(CONTROL!$C$9, $C$13, 100%, $E$13) + CHOOSE(CONTROL!$C$28, 0.0226, 0)</f>
        <v>42.961799999999997</v>
      </c>
      <c r="C715" s="4">
        <f>42.576 * CHOOSE(CONTROL!$C$9, $C$13, 100%, $E$13) + CHOOSE(CONTROL!$C$28, 0.0226, 0)</f>
        <v>42.598599999999998</v>
      </c>
      <c r="D715" s="4">
        <f>63.7577 * CHOOSE(CONTROL!$C$9, $C$13, 100%, $E$13) + CHOOSE(CONTROL!$C$28, 0.0021, 0)</f>
        <v>63.759799999999998</v>
      </c>
      <c r="E715" s="4">
        <f>296.079756983982 * CHOOSE(CONTROL!$C$9, $C$13, 100%, $E$13) + CHOOSE(CONTROL!$C$28, 0.0021, 0)</f>
        <v>296.08185698398199</v>
      </c>
    </row>
    <row r="716" spans="1:5" ht="15">
      <c r="A716" s="13">
        <v>62944</v>
      </c>
      <c r="B716" s="4">
        <f>44.6592 * CHOOSE(CONTROL!$C$9, $C$13, 100%, $E$13) + CHOOSE(CONTROL!$C$28, 0.0226, 0)</f>
        <v>44.681799999999996</v>
      </c>
      <c r="C716" s="4">
        <f>44.2959 * CHOOSE(CONTROL!$C$9, $C$13, 100%, $E$13) + CHOOSE(CONTROL!$C$28, 0.0226, 0)</f>
        <v>44.3185</v>
      </c>
      <c r="D716" s="4">
        <f>65.5644 * CHOOSE(CONTROL!$C$9, $C$13, 100%, $E$13) + CHOOSE(CONTROL!$C$28, 0.0021, 0)</f>
        <v>65.566500000000005</v>
      </c>
      <c r="E716" s="4">
        <f>308.157025620379 * CHOOSE(CONTROL!$C$9, $C$13, 100%, $E$13) + CHOOSE(CONTROL!$C$28, 0.0021, 0)</f>
        <v>308.15912562037897</v>
      </c>
    </row>
    <row r="717" spans="1:5" ht="15">
      <c r="A717" s="13">
        <v>62975</v>
      </c>
      <c r="B717" s="4">
        <f>45.7101 * CHOOSE(CONTROL!$C$9, $C$13, 100%, $E$13) + CHOOSE(CONTROL!$C$28, 0.0226, 0)</f>
        <v>45.732699999999994</v>
      </c>
      <c r="C717" s="4">
        <f>45.3468 * CHOOSE(CONTROL!$C$9, $C$13, 100%, $E$13) + CHOOSE(CONTROL!$C$28, 0.0226, 0)</f>
        <v>45.369399999999999</v>
      </c>
      <c r="D717" s="4">
        <f>64.8505 * CHOOSE(CONTROL!$C$9, $C$13, 100%, $E$13) + CHOOSE(CONTROL!$C$28, 0.0021, 0)</f>
        <v>64.852599999999995</v>
      </c>
      <c r="E717" s="4">
        <f>315.535947305485 * CHOOSE(CONTROL!$C$9, $C$13, 100%, $E$13) + CHOOSE(CONTROL!$C$28, 0.0021, 0)</f>
        <v>315.53804730548501</v>
      </c>
    </row>
    <row r="718" spans="1:5" ht="15">
      <c r="A718" s="13">
        <v>63005</v>
      </c>
      <c r="B718" s="4">
        <f>45.8523 * CHOOSE(CONTROL!$C$9, $C$13, 100%, $E$13) + CHOOSE(CONTROL!$C$28, 0.0226, 0)</f>
        <v>45.874899999999997</v>
      </c>
      <c r="C718" s="4">
        <f>45.489 * CHOOSE(CONTROL!$C$9, $C$13, 100%, $E$13) + CHOOSE(CONTROL!$C$28, 0.0226, 0)</f>
        <v>45.511599999999994</v>
      </c>
      <c r="D718" s="4">
        <f>65.4319 * CHOOSE(CONTROL!$C$9, $C$13, 100%, $E$13) + CHOOSE(CONTROL!$C$28, 0.0021, 0)</f>
        <v>65.433999999999997</v>
      </c>
      <c r="E718" s="4">
        <f>316.534346032634 * CHOOSE(CONTROL!$C$9, $C$13, 100%, $E$13) + CHOOSE(CONTROL!$C$28, 0.0021, 0)</f>
        <v>316.53644603263399</v>
      </c>
    </row>
    <row r="719" spans="1:5" ht="15">
      <c r="A719" s="13">
        <v>63036</v>
      </c>
      <c r="B719" s="4">
        <f>45.8379 * CHOOSE(CONTROL!$C$9, $C$13, 100%, $E$13) + CHOOSE(CONTROL!$C$28, 0.0226, 0)</f>
        <v>45.860499999999995</v>
      </c>
      <c r="C719" s="4">
        <f>45.4746 * CHOOSE(CONTROL!$C$9, $C$13, 100%, $E$13) + CHOOSE(CONTROL!$C$28, 0.0226, 0)</f>
        <v>45.497199999999999</v>
      </c>
      <c r="D719" s="4">
        <f>66.4809 * CHOOSE(CONTROL!$C$9, $C$13, 100%, $E$13) + CHOOSE(CONTROL!$C$28, 0.0021, 0)</f>
        <v>66.483000000000004</v>
      </c>
      <c r="E719" s="4">
        <f>316.433667169393 * CHOOSE(CONTROL!$C$9, $C$13, 100%, $E$13) + CHOOSE(CONTROL!$C$28, 0.0021, 0)</f>
        <v>316.43576716939299</v>
      </c>
    </row>
    <row r="720" spans="1:5" ht="15">
      <c r="A720" s="13">
        <v>63067</v>
      </c>
      <c r="B720" s="4">
        <f>46.9169 * CHOOSE(CONTROL!$C$9, $C$13, 100%, $E$13) + CHOOSE(CONTROL!$C$28, 0.0226, 0)</f>
        <v>46.939499999999995</v>
      </c>
      <c r="C720" s="4">
        <f>46.5536 * CHOOSE(CONTROL!$C$9, $C$13, 100%, $E$13) + CHOOSE(CONTROL!$C$28, 0.0226, 0)</f>
        <v>46.5762</v>
      </c>
      <c r="D720" s="4">
        <f>65.7881 * CHOOSE(CONTROL!$C$9, $C$13, 100%, $E$13) + CHOOSE(CONTROL!$C$28, 0.0021, 0)</f>
        <v>65.790199999999999</v>
      </c>
      <c r="E720" s="4">
        <f>324.009751628348 * CHOOSE(CONTROL!$C$9, $C$13, 100%, $E$13) + CHOOSE(CONTROL!$C$28, 0.0021, 0)</f>
        <v>324.01185162834798</v>
      </c>
    </row>
    <row r="721" spans="1:5" ht="15">
      <c r="A721" s="13">
        <v>63097</v>
      </c>
      <c r="B721" s="4">
        <f>45.078 * CHOOSE(CONTROL!$C$9, $C$13, 100%, $E$13) + CHOOSE(CONTROL!$C$28, 0.0226, 0)</f>
        <v>45.1006</v>
      </c>
      <c r="C721" s="4">
        <f>44.7147 * CHOOSE(CONTROL!$C$9, $C$13, 100%, $E$13) + CHOOSE(CONTROL!$C$28, 0.0226, 0)</f>
        <v>44.737299999999998</v>
      </c>
      <c r="D721" s="4">
        <f>65.4608 * CHOOSE(CONTROL!$C$9, $C$13, 100%, $E$13) + CHOOSE(CONTROL!$C$28, 0.0021, 0)</f>
        <v>65.462900000000005</v>
      </c>
      <c r="E721" s="4">
        <f>311.09768741757 * CHOOSE(CONTROL!$C$9, $C$13, 100%, $E$13) + CHOOSE(CONTROL!$C$28, 0.0021, 0)</f>
        <v>311.09978741756998</v>
      </c>
    </row>
    <row r="722" spans="1:5" ht="15">
      <c r="A722" s="13">
        <v>63128</v>
      </c>
      <c r="B722" s="4">
        <f>43.606 * CHOOSE(CONTROL!$C$9, $C$13, 100%, $E$13) + CHOOSE(CONTROL!$C$28, 0.0226, 0)</f>
        <v>43.628599999999999</v>
      </c>
      <c r="C722" s="4">
        <f>43.2427 * CHOOSE(CONTROL!$C$9, $C$13, 100%, $E$13) + CHOOSE(CONTROL!$C$28, 0.0226, 0)</f>
        <v>43.265299999999996</v>
      </c>
      <c r="D722" s="4">
        <f>64.5843 * CHOOSE(CONTROL!$C$9, $C$13, 100%, $E$13) + CHOOSE(CONTROL!$C$28, 0.0021, 0)</f>
        <v>64.586399999999998</v>
      </c>
      <c r="E722" s="4">
        <f>300.761324124732 * CHOOSE(CONTROL!$C$9, $C$13, 100%, $E$13) + CHOOSE(CONTROL!$C$28, 0.0021, 0)</f>
        <v>300.76342412473201</v>
      </c>
    </row>
    <row r="723" spans="1:5" ht="15">
      <c r="A723" s="13">
        <v>63158</v>
      </c>
      <c r="B723" s="4">
        <f>42.6579 * CHOOSE(CONTROL!$C$9, $C$13, 100%, $E$13) + CHOOSE(CONTROL!$C$28, 0.0226, 0)</f>
        <v>42.680499999999995</v>
      </c>
      <c r="C723" s="4">
        <f>42.2946 * CHOOSE(CONTROL!$C$9, $C$13, 100%, $E$13) + CHOOSE(CONTROL!$C$28, 0.0226, 0)</f>
        <v>42.3172</v>
      </c>
      <c r="D723" s="4">
        <f>64.283 * CHOOSE(CONTROL!$C$9, $C$13, 100%, $E$13) + CHOOSE(CONTROL!$C$28, 0.0021, 0)</f>
        <v>64.2851</v>
      </c>
      <c r="E723" s="4">
        <f>294.103934292859 * CHOOSE(CONTROL!$C$9, $C$13, 100%, $E$13) + CHOOSE(CONTROL!$C$28, 0.0021, 0)</f>
        <v>294.10603429285896</v>
      </c>
    </row>
    <row r="724" spans="1:5" ht="15">
      <c r="A724" s="13">
        <v>63189</v>
      </c>
      <c r="B724" s="4">
        <f>42.0019 * CHOOSE(CONTROL!$C$9, $C$13, 100%, $E$13) + CHOOSE(CONTROL!$C$28, 0.0226, 0)</f>
        <v>42.024499999999996</v>
      </c>
      <c r="C724" s="4">
        <f>41.6386 * CHOOSE(CONTROL!$C$9, $C$13, 100%, $E$13) + CHOOSE(CONTROL!$C$28, 0.0226, 0)</f>
        <v>41.661199999999994</v>
      </c>
      <c r="D724" s="4">
        <f>62.0646 * CHOOSE(CONTROL!$C$9, $C$13, 100%, $E$13) + CHOOSE(CONTROL!$C$28, 0.0021, 0)</f>
        <v>62.066699999999997</v>
      </c>
      <c r="E724" s="4">
        <f>289.497876299541 * CHOOSE(CONTROL!$C$9, $C$13, 100%, $E$13) + CHOOSE(CONTROL!$C$28, 0.0021, 0)</f>
        <v>289.499976299541</v>
      </c>
    </row>
    <row r="725" spans="1:5" ht="15">
      <c r="A725" s="13">
        <v>63220</v>
      </c>
      <c r="B725" s="4">
        <f>40.2072 * CHOOSE(CONTROL!$C$9, $C$13, 100%, $E$13) + CHOOSE(CONTROL!$C$28, 0.0226, 0)</f>
        <v>40.229799999999997</v>
      </c>
      <c r="C725" s="4">
        <f>39.8439 * CHOOSE(CONTROL!$C$9, $C$13, 100%, $E$13) + CHOOSE(CONTROL!$C$28, 0.0226, 0)</f>
        <v>39.866499999999995</v>
      </c>
      <c r="D725" s="4">
        <f>59.6209 * CHOOSE(CONTROL!$C$9, $C$13, 100%, $E$13) + CHOOSE(CONTROL!$C$28, 0.0021, 0)</f>
        <v>59.622999999999998</v>
      </c>
      <c r="E725" s="4">
        <f>277.439113403064 * CHOOSE(CONTROL!$C$9, $C$13, 100%, $E$13) + CHOOSE(CONTROL!$C$28, 0.0021, 0)</f>
        <v>277.44121340306401</v>
      </c>
    </row>
    <row r="726" spans="1:5" ht="15">
      <c r="A726" s="13">
        <v>63248</v>
      </c>
      <c r="B726" s="4">
        <f>41.1435 * CHOOSE(CONTROL!$C$9, $C$13, 100%, $E$13) + CHOOSE(CONTROL!$C$28, 0.0226, 0)</f>
        <v>41.1661</v>
      </c>
      <c r="C726" s="4">
        <f>40.7802 * CHOOSE(CONTROL!$C$9, $C$13, 100%, $E$13) + CHOOSE(CONTROL!$C$28, 0.0226, 0)</f>
        <v>40.802799999999998</v>
      </c>
      <c r="D726" s="4">
        <f>61.6598 * CHOOSE(CONTROL!$C$9, $C$13, 100%, $E$13) + CHOOSE(CONTROL!$C$28, 0.0021, 0)</f>
        <v>61.661899999999996</v>
      </c>
      <c r="E726" s="4">
        <f>284.026611317674 * CHOOSE(CONTROL!$C$9, $C$13, 100%, $E$13) + CHOOSE(CONTROL!$C$28, 0.0021, 0)</f>
        <v>284.02871131767398</v>
      </c>
    </row>
    <row r="727" spans="1:5" ht="15">
      <c r="A727" s="13">
        <v>63279</v>
      </c>
      <c r="B727" s="4">
        <f>43.6023 * CHOOSE(CONTROL!$C$9, $C$13, 100%, $E$13) + CHOOSE(CONTROL!$C$28, 0.0226, 0)</f>
        <v>43.624899999999997</v>
      </c>
      <c r="C727" s="4">
        <f>43.239 * CHOOSE(CONTROL!$C$9, $C$13, 100%, $E$13) + CHOOSE(CONTROL!$C$28, 0.0226, 0)</f>
        <v>43.261599999999994</v>
      </c>
      <c r="D727" s="4">
        <f>64.8515 * CHOOSE(CONTROL!$C$9, $C$13, 100%, $E$13) + CHOOSE(CONTROL!$C$28, 0.0021, 0)</f>
        <v>64.8536</v>
      </c>
      <c r="E727" s="4">
        <f>301.32573092234 * CHOOSE(CONTROL!$C$9, $C$13, 100%, $E$13) + CHOOSE(CONTROL!$C$28, 0.0021, 0)</f>
        <v>301.32783092233996</v>
      </c>
    </row>
    <row r="728" spans="1:5" ht="15">
      <c r="A728" s="13">
        <v>63309</v>
      </c>
      <c r="B728" s="4">
        <f>45.3493 * CHOOSE(CONTROL!$C$9, $C$13, 100%, $E$13) + CHOOSE(CONTROL!$C$28, 0.0226, 0)</f>
        <v>45.371899999999997</v>
      </c>
      <c r="C728" s="4">
        <f>44.986 * CHOOSE(CONTROL!$C$9, $C$13, 100%, $E$13) + CHOOSE(CONTROL!$C$28, 0.0226, 0)</f>
        <v>45.008599999999994</v>
      </c>
      <c r="D728" s="4">
        <f>66.69 * CHOOSE(CONTROL!$C$9, $C$13, 100%, $E$13) + CHOOSE(CONTROL!$C$28, 0.0021, 0)</f>
        <v>66.692099999999996</v>
      </c>
      <c r="E728" s="4">
        <f>313.616985942536 * CHOOSE(CONTROL!$C$9, $C$13, 100%, $E$13) + CHOOSE(CONTROL!$C$28, 0.0021, 0)</f>
        <v>313.619085942536</v>
      </c>
    </row>
    <row r="729" spans="1:5" ht="15">
      <c r="A729" s="13">
        <v>63340</v>
      </c>
      <c r="B729" s="4">
        <f>46.4167 * CHOOSE(CONTROL!$C$9, $C$13, 100%, $E$13) + CHOOSE(CONTROL!$C$28, 0.0226, 0)</f>
        <v>46.439299999999996</v>
      </c>
      <c r="C729" s="4">
        <f>46.0534 * CHOOSE(CONTROL!$C$9, $C$13, 100%, $E$13) + CHOOSE(CONTROL!$C$28, 0.0226, 0)</f>
        <v>46.076000000000001</v>
      </c>
      <c r="D729" s="4">
        <f>65.9635 * CHOOSE(CONTROL!$C$9, $C$13, 100%, $E$13) + CHOOSE(CONTROL!$C$28, 0.0021, 0)</f>
        <v>65.965599999999995</v>
      </c>
      <c r="E729" s="4">
        <f>321.126648179606 * CHOOSE(CONTROL!$C$9, $C$13, 100%, $E$13) + CHOOSE(CONTROL!$C$28, 0.0021, 0)</f>
        <v>321.12874817960596</v>
      </c>
    </row>
    <row r="730" spans="1:5" ht="15">
      <c r="A730" s="13">
        <v>63370</v>
      </c>
      <c r="B730" s="4">
        <f>46.5611 * CHOOSE(CONTROL!$C$9, $C$13, 100%, $E$13) + CHOOSE(CONTROL!$C$28, 0.0226, 0)</f>
        <v>46.5837</v>
      </c>
      <c r="C730" s="4">
        <f>46.1978 * CHOOSE(CONTROL!$C$9, $C$13, 100%, $E$13) + CHOOSE(CONTROL!$C$28, 0.0226, 0)</f>
        <v>46.220399999999998</v>
      </c>
      <c r="D730" s="4">
        <f>66.5552 * CHOOSE(CONTROL!$C$9, $C$13, 100%, $E$13) + CHOOSE(CONTROL!$C$28, 0.0021, 0)</f>
        <v>66.557299999999998</v>
      </c>
      <c r="E730" s="4">
        <f>322.14273664602 * CHOOSE(CONTROL!$C$9, $C$13, 100%, $E$13) + CHOOSE(CONTROL!$C$28, 0.0021, 0)</f>
        <v>322.14483664602</v>
      </c>
    </row>
    <row r="731" spans="1:5" ht="15">
      <c r="A731" s="13">
        <v>63401</v>
      </c>
      <c r="B731" s="4">
        <f>46.5466 * CHOOSE(CONTROL!$C$9, $C$13, 100%, $E$13) + CHOOSE(CONTROL!$C$28, 0.0226, 0)</f>
        <v>46.569199999999995</v>
      </c>
      <c r="C731" s="4">
        <f>46.1833 * CHOOSE(CONTROL!$C$9, $C$13, 100%, $E$13) + CHOOSE(CONTROL!$C$28, 0.0226, 0)</f>
        <v>46.2059</v>
      </c>
      <c r="D731" s="4">
        <f>67.6228 * CHOOSE(CONTROL!$C$9, $C$13, 100%, $E$13) + CHOOSE(CONTROL!$C$28, 0.0021, 0)</f>
        <v>67.624899999999997</v>
      </c>
      <c r="E731" s="4">
        <f>322.040273943525 * CHOOSE(CONTROL!$C$9, $C$13, 100%, $E$13) + CHOOSE(CONTROL!$C$28, 0.0021, 0)</f>
        <v>322.04237394352498</v>
      </c>
    </row>
    <row r="732" spans="1:5" ht="15">
      <c r="A732" s="13">
        <v>63432</v>
      </c>
      <c r="B732" s="4">
        <f>47.6425 * CHOOSE(CONTROL!$C$9, $C$13, 100%, $E$13) + CHOOSE(CONTROL!$C$28, 0.0226, 0)</f>
        <v>47.665099999999995</v>
      </c>
      <c r="C732" s="4">
        <f>47.2792 * CHOOSE(CONTROL!$C$9, $C$13, 100%, $E$13) + CHOOSE(CONTROL!$C$28, 0.0226, 0)</f>
        <v>47.3018</v>
      </c>
      <c r="D732" s="4">
        <f>66.9178 * CHOOSE(CONTROL!$C$9, $C$13, 100%, $E$13) + CHOOSE(CONTROL!$C$28, 0.0021, 0)</f>
        <v>66.919899999999998</v>
      </c>
      <c r="E732" s="4">
        <f>329.750592306315 * CHOOSE(CONTROL!$C$9, $C$13, 100%, $E$13) + CHOOSE(CONTROL!$C$28, 0.0021, 0)</f>
        <v>329.752692306315</v>
      </c>
    </row>
    <row r="733" spans="1:5" ht="15">
      <c r="A733" s="13">
        <v>63462</v>
      </c>
      <c r="B733" s="4">
        <f>45.7747 * CHOOSE(CONTROL!$C$9, $C$13, 100%, $E$13) + CHOOSE(CONTROL!$C$28, 0.0226, 0)</f>
        <v>45.7973</v>
      </c>
      <c r="C733" s="4">
        <f>45.4114 * CHOOSE(CONTROL!$C$9, $C$13, 100%, $E$13) + CHOOSE(CONTROL!$C$28, 0.0226, 0)</f>
        <v>45.433999999999997</v>
      </c>
      <c r="D733" s="4">
        <f>66.5847 * CHOOSE(CONTROL!$C$9, $C$13, 100%, $E$13) + CHOOSE(CONTROL!$C$28, 0.0021, 0)</f>
        <v>66.586799999999997</v>
      </c>
      <c r="E733" s="4">
        <f>316.60975071126 * CHOOSE(CONTROL!$C$9, $C$13, 100%, $E$13) + CHOOSE(CONTROL!$C$28, 0.0021, 0)</f>
        <v>316.61185071125999</v>
      </c>
    </row>
    <row r="734" spans="1:5" ht="15">
      <c r="A734" s="13">
        <v>63493</v>
      </c>
      <c r="B734" s="4">
        <f>44.2795 * CHOOSE(CONTROL!$C$9, $C$13, 100%, $E$13) + CHOOSE(CONTROL!$C$28, 0.0226, 0)</f>
        <v>44.302099999999996</v>
      </c>
      <c r="C734" s="4">
        <f>43.9162 * CHOOSE(CONTROL!$C$9, $C$13, 100%, $E$13) + CHOOSE(CONTROL!$C$28, 0.0226, 0)</f>
        <v>43.938800000000001</v>
      </c>
      <c r="D734" s="4">
        <f>65.6927 * CHOOSE(CONTROL!$C$9, $C$13, 100%, $E$13) + CHOOSE(CONTROL!$C$28, 0.0021, 0)</f>
        <v>65.694800000000001</v>
      </c>
      <c r="E734" s="4">
        <f>306.090246588383 * CHOOSE(CONTROL!$C$9, $C$13, 100%, $E$13) + CHOOSE(CONTROL!$C$28, 0.0021, 0)</f>
        <v>306.09234658838301</v>
      </c>
    </row>
    <row r="735" spans="1:5" ht="15">
      <c r="A735" s="13">
        <v>63523</v>
      </c>
      <c r="B735" s="4">
        <f>43.3165 * CHOOSE(CONTROL!$C$9, $C$13, 100%, $E$13) + CHOOSE(CONTROL!$C$28, 0.0226, 0)</f>
        <v>43.339099999999995</v>
      </c>
      <c r="C735" s="4">
        <f>42.9532 * CHOOSE(CONTROL!$C$9, $C$13, 100%, $E$13) + CHOOSE(CONTROL!$C$28, 0.0226, 0)</f>
        <v>42.9758</v>
      </c>
      <c r="D735" s="4">
        <f>65.3861 * CHOOSE(CONTROL!$C$9, $C$13, 100%, $E$13) + CHOOSE(CONTROL!$C$28, 0.0021, 0)</f>
        <v>65.388199999999998</v>
      </c>
      <c r="E735" s="4">
        <f>299.314900385865 * CHOOSE(CONTROL!$C$9, $C$13, 100%, $E$13) + CHOOSE(CONTROL!$C$28, 0.0021, 0)</f>
        <v>299.31700038586496</v>
      </c>
    </row>
    <row r="736" spans="1:5" ht="15">
      <c r="A736" s="13">
        <v>63554</v>
      </c>
      <c r="B736" s="4">
        <f>42.6502 * CHOOSE(CONTROL!$C$9, $C$13, 100%, $E$13) + CHOOSE(CONTROL!$C$28, 0.0226, 0)</f>
        <v>42.672799999999995</v>
      </c>
      <c r="C736" s="4">
        <f>42.2869 * CHOOSE(CONTROL!$C$9, $C$13, 100%, $E$13) + CHOOSE(CONTROL!$C$28, 0.0226, 0)</f>
        <v>42.3095</v>
      </c>
      <c r="D736" s="4">
        <f>63.1285 * CHOOSE(CONTROL!$C$9, $C$13, 100%, $E$13) + CHOOSE(CONTROL!$C$28, 0.0021, 0)</f>
        <v>63.130600000000001</v>
      </c>
      <c r="E736" s="4">
        <f>294.627231746694 * CHOOSE(CONTROL!$C$9, $C$13, 100%, $E$13) + CHOOSE(CONTROL!$C$28, 0.0021, 0)</f>
        <v>294.62933174669399</v>
      </c>
    </row>
    <row r="737" spans="1:5" ht="15">
      <c r="A737" s="13">
        <v>63585</v>
      </c>
      <c r="B737" s="4">
        <f>40.8273 * CHOOSE(CONTROL!$C$9, $C$13, 100%, $E$13) + CHOOSE(CONTROL!$C$28, 0.0226, 0)</f>
        <v>40.849899999999998</v>
      </c>
      <c r="C737" s="4">
        <f>40.464 * CHOOSE(CONTROL!$C$9, $C$13, 100%, $E$13) + CHOOSE(CONTROL!$C$28, 0.0226, 0)</f>
        <v>40.486599999999996</v>
      </c>
      <c r="D737" s="4">
        <f>60.6416 * CHOOSE(CONTROL!$C$9, $C$13, 100%, $E$13) + CHOOSE(CONTROL!$C$28, 0.0021, 0)</f>
        <v>60.643699999999995</v>
      </c>
      <c r="E737" s="4">
        <f>282.354810353168 * CHOOSE(CONTROL!$C$9, $C$13, 100%, $E$13) + CHOOSE(CONTROL!$C$28, 0.0021, 0)</f>
        <v>282.35691035316796</v>
      </c>
    </row>
    <row r="738" spans="1:5" ht="15">
      <c r="A738" s="13">
        <v>63613</v>
      </c>
      <c r="B738" s="4">
        <f>41.7783 * CHOOSE(CONTROL!$C$9, $C$13, 100%, $E$13) + CHOOSE(CONTROL!$C$28, 0.0226, 0)</f>
        <v>41.800899999999999</v>
      </c>
      <c r="C738" s="4">
        <f>41.415 * CHOOSE(CONTROL!$C$9, $C$13, 100%, $E$13) + CHOOSE(CONTROL!$C$28, 0.0226, 0)</f>
        <v>41.437599999999996</v>
      </c>
      <c r="D738" s="4">
        <f>62.7165 * CHOOSE(CONTROL!$C$9, $C$13, 100%, $E$13) + CHOOSE(CONTROL!$C$28, 0.0021, 0)</f>
        <v>62.718600000000002</v>
      </c>
      <c r="E738" s="4">
        <f>289.05902628569 * CHOOSE(CONTROL!$C$9, $C$13, 100%, $E$13) + CHOOSE(CONTROL!$C$28, 0.0021, 0)</f>
        <v>289.06112628568997</v>
      </c>
    </row>
    <row r="739" spans="1:5" ht="15">
      <c r="A739" s="13">
        <v>63644</v>
      </c>
      <c r="B739" s="4">
        <f>44.2758 * CHOOSE(CONTROL!$C$9, $C$13, 100%, $E$13) + CHOOSE(CONTROL!$C$28, 0.0226, 0)</f>
        <v>44.298399999999994</v>
      </c>
      <c r="C739" s="4">
        <f>43.9125 * CHOOSE(CONTROL!$C$9, $C$13, 100%, $E$13) + CHOOSE(CONTROL!$C$28, 0.0226, 0)</f>
        <v>43.935099999999998</v>
      </c>
      <c r="D739" s="4">
        <f>65.9646 * CHOOSE(CONTROL!$C$9, $C$13, 100%, $E$13) + CHOOSE(CONTROL!$C$28, 0.0021, 0)</f>
        <v>65.966700000000003</v>
      </c>
      <c r="E739" s="4">
        <f>306.664653608165 * CHOOSE(CONTROL!$C$9, $C$13, 100%, $E$13) + CHOOSE(CONTROL!$C$28, 0.0021, 0)</f>
        <v>306.66675360816498</v>
      </c>
    </row>
    <row r="740" spans="1:5" ht="15">
      <c r="A740" s="13">
        <v>63674</v>
      </c>
      <c r="B740" s="4">
        <f>46.0503 * CHOOSE(CONTROL!$C$9, $C$13, 100%, $E$13) + CHOOSE(CONTROL!$C$28, 0.0226, 0)</f>
        <v>46.072899999999997</v>
      </c>
      <c r="C740" s="4">
        <f>45.687 * CHOOSE(CONTROL!$C$9, $C$13, 100%, $E$13) + CHOOSE(CONTROL!$C$28, 0.0226, 0)</f>
        <v>45.709599999999995</v>
      </c>
      <c r="D740" s="4">
        <f>67.8356 * CHOOSE(CONTROL!$C$9, $C$13, 100%, $E$13) + CHOOSE(CONTROL!$C$28, 0.0021, 0)</f>
        <v>67.837699999999998</v>
      </c>
      <c r="E740" s="4">
        <f>319.173686446617 * CHOOSE(CONTROL!$C$9, $C$13, 100%, $E$13) + CHOOSE(CONTROL!$C$28, 0.0021, 0)</f>
        <v>319.175786446617</v>
      </c>
    </row>
    <row r="741" spans="1:5" ht="15">
      <c r="A741" s="13">
        <v>63705</v>
      </c>
      <c r="B741" s="4">
        <f>47.1344 * CHOOSE(CONTROL!$C$9, $C$13, 100%, $E$13) + CHOOSE(CONTROL!$C$28, 0.0226, 0)</f>
        <v>47.156999999999996</v>
      </c>
      <c r="C741" s="4">
        <f>46.7712 * CHOOSE(CONTROL!$C$9, $C$13, 100%, $E$13) + CHOOSE(CONTROL!$C$28, 0.0226, 0)</f>
        <v>46.793799999999997</v>
      </c>
      <c r="D741" s="4">
        <f>67.0963 * CHOOSE(CONTROL!$C$9, $C$13, 100%, $E$13) + CHOOSE(CONTROL!$C$28, 0.0021, 0)</f>
        <v>67.098399999999998</v>
      </c>
      <c r="E741" s="4">
        <f>326.816405711235 * CHOOSE(CONTROL!$C$9, $C$13, 100%, $E$13) + CHOOSE(CONTROL!$C$28, 0.0021, 0)</f>
        <v>326.81850571123499</v>
      </c>
    </row>
    <row r="742" spans="1:5" ht="15">
      <c r="A742" s="13">
        <v>63735</v>
      </c>
      <c r="B742" s="4">
        <f>47.2811 * CHOOSE(CONTROL!$C$9, $C$13, 100%, $E$13) + CHOOSE(CONTROL!$C$28, 0.0226, 0)</f>
        <v>47.303699999999999</v>
      </c>
      <c r="C742" s="4">
        <f>46.9178 * CHOOSE(CONTROL!$C$9, $C$13, 100%, $E$13) + CHOOSE(CONTROL!$C$28, 0.0226, 0)</f>
        <v>46.940399999999997</v>
      </c>
      <c r="D742" s="4">
        <f>67.6984 * CHOOSE(CONTROL!$C$9, $C$13, 100%, $E$13) + CHOOSE(CONTROL!$C$28, 0.0021, 0)</f>
        <v>67.700500000000005</v>
      </c>
      <c r="E742" s="4">
        <f>327.850497345675 * CHOOSE(CONTROL!$C$9, $C$13, 100%, $E$13) + CHOOSE(CONTROL!$C$28, 0.0021, 0)</f>
        <v>327.85259734567501</v>
      </c>
    </row>
    <row r="743" spans="1:5" ht="15">
      <c r="A743" s="13">
        <v>63766</v>
      </c>
      <c r="B743" s="4">
        <f>47.2663 * CHOOSE(CONTROL!$C$9, $C$13, 100%, $E$13) + CHOOSE(CONTROL!$C$28, 0.0226, 0)</f>
        <v>47.288899999999998</v>
      </c>
      <c r="C743" s="4">
        <f>46.9031 * CHOOSE(CONTROL!$C$9, $C$13, 100%, $E$13) + CHOOSE(CONTROL!$C$28, 0.0226, 0)</f>
        <v>46.925699999999999</v>
      </c>
      <c r="D743" s="4">
        <f>68.7849 * CHOOSE(CONTROL!$C$9, $C$13, 100%, $E$13) + CHOOSE(CONTROL!$C$28, 0.0021, 0)</f>
        <v>68.786999999999992</v>
      </c>
      <c r="E743" s="4">
        <f>327.746219197664 * CHOOSE(CONTROL!$C$9, $C$13, 100%, $E$13) + CHOOSE(CONTROL!$C$28, 0.0021, 0)</f>
        <v>327.74831919766399</v>
      </c>
    </row>
    <row r="744" spans="1:5" ht="15">
      <c r="A744" s="13">
        <v>63797</v>
      </c>
      <c r="B744" s="4">
        <f>48.3795 * CHOOSE(CONTROL!$C$9, $C$13, 100%, $E$13) + CHOOSE(CONTROL!$C$28, 0.0226, 0)</f>
        <v>48.402099999999997</v>
      </c>
      <c r="C744" s="4">
        <f>48.0162 * CHOOSE(CONTROL!$C$9, $C$13, 100%, $E$13) + CHOOSE(CONTROL!$C$28, 0.0226, 0)</f>
        <v>48.038799999999995</v>
      </c>
      <c r="D744" s="4">
        <f>68.0674 * CHOOSE(CONTROL!$C$9, $C$13, 100%, $E$13) + CHOOSE(CONTROL!$C$28, 0.0021, 0)</f>
        <v>68.069500000000005</v>
      </c>
      <c r="E744" s="4">
        <f>335.59314983547 * CHOOSE(CONTROL!$C$9, $C$13, 100%, $E$13) + CHOOSE(CONTROL!$C$28, 0.0021, 0)</f>
        <v>335.59524983546999</v>
      </c>
    </row>
    <row r="745" spans="1:5" ht="15">
      <c r="A745" s="13">
        <v>63827</v>
      </c>
      <c r="B745" s="4">
        <f>46.4823 * CHOOSE(CONTROL!$C$9, $C$13, 100%, $E$13) + CHOOSE(CONTROL!$C$28, 0.0226, 0)</f>
        <v>46.504899999999999</v>
      </c>
      <c r="C745" s="4">
        <f>46.119 * CHOOSE(CONTROL!$C$9, $C$13, 100%, $E$13) + CHOOSE(CONTROL!$C$28, 0.0226, 0)</f>
        <v>46.141599999999997</v>
      </c>
      <c r="D745" s="4">
        <f>67.7284 * CHOOSE(CONTROL!$C$9, $C$13, 100%, $E$13) + CHOOSE(CONTROL!$C$28, 0.0021, 0)</f>
        <v>67.730499999999992</v>
      </c>
      <c r="E745" s="4">
        <f>322.219477353096 * CHOOSE(CONTROL!$C$9, $C$13, 100%, $E$13) + CHOOSE(CONTROL!$C$28, 0.0021, 0)</f>
        <v>322.221577353096</v>
      </c>
    </row>
    <row r="746" spans="1:5" ht="15">
      <c r="A746" s="13">
        <v>63858</v>
      </c>
      <c r="B746" s="4">
        <f>44.9636 * CHOOSE(CONTROL!$C$9, $C$13, 100%, $E$13) + CHOOSE(CONTROL!$C$28, 0.0226, 0)</f>
        <v>44.986199999999997</v>
      </c>
      <c r="C746" s="4">
        <f>44.6003 * CHOOSE(CONTROL!$C$9, $C$13, 100%, $E$13) + CHOOSE(CONTROL!$C$28, 0.0226, 0)</f>
        <v>44.622899999999994</v>
      </c>
      <c r="D746" s="4">
        <f>66.8207 * CHOOSE(CONTROL!$C$9, $C$13, 100%, $E$13) + CHOOSE(CONTROL!$C$28, 0.0021, 0)</f>
        <v>66.822800000000001</v>
      </c>
      <c r="E746" s="4">
        <f>311.513587490663 * CHOOSE(CONTROL!$C$9, $C$13, 100%, $E$13) + CHOOSE(CONTROL!$C$28, 0.0021, 0)</f>
        <v>311.51568749066297</v>
      </c>
    </row>
    <row r="747" spans="1:5" ht="15">
      <c r="A747" s="13">
        <v>63888</v>
      </c>
      <c r="B747" s="4">
        <f>43.9855 * CHOOSE(CONTROL!$C$9, $C$13, 100%, $E$13) + CHOOSE(CONTROL!$C$28, 0.0226, 0)</f>
        <v>44.008099999999999</v>
      </c>
      <c r="C747" s="4">
        <f>43.6222 * CHOOSE(CONTROL!$C$9, $C$13, 100%, $E$13) + CHOOSE(CONTROL!$C$28, 0.0226, 0)</f>
        <v>43.644799999999996</v>
      </c>
      <c r="D747" s="4">
        <f>66.5086 * CHOOSE(CONTROL!$C$9, $C$13, 100%, $E$13) + CHOOSE(CONTROL!$C$28, 0.0021, 0)</f>
        <v>66.5107</v>
      </c>
      <c r="E747" s="4">
        <f>304.618194953455 * CHOOSE(CONTROL!$C$9, $C$13, 100%, $E$13) + CHOOSE(CONTROL!$C$28, 0.0021, 0)</f>
        <v>304.62029495345496</v>
      </c>
    </row>
    <row r="748" spans="1:5" ht="15">
      <c r="A748" s="13">
        <v>63919</v>
      </c>
      <c r="B748" s="4">
        <f>43.3087 * CHOOSE(CONTROL!$C$9, $C$13, 100%, $E$13) + CHOOSE(CONTROL!$C$28, 0.0226, 0)</f>
        <v>43.331299999999999</v>
      </c>
      <c r="C748" s="4">
        <f>42.9454 * CHOOSE(CONTROL!$C$9, $C$13, 100%, $E$13) + CHOOSE(CONTROL!$C$28, 0.0226, 0)</f>
        <v>42.967999999999996</v>
      </c>
      <c r="D748" s="4">
        <f>64.2111 * CHOOSE(CONTROL!$C$9, $C$13, 100%, $E$13) + CHOOSE(CONTROL!$C$28, 0.0021, 0)</f>
        <v>64.213200000000001</v>
      </c>
      <c r="E748" s="4">
        <f>299.847469681965 * CHOOSE(CONTROL!$C$9, $C$13, 100%, $E$13) + CHOOSE(CONTROL!$C$28, 0.0021, 0)</f>
        <v>299.84956968196497</v>
      </c>
    </row>
    <row r="749" spans="1:5" ht="15">
      <c r="A749" s="13">
        <v>63950</v>
      </c>
      <c r="B749" s="4">
        <f>41.4571 * CHOOSE(CONTROL!$C$9, $C$13, 100%, $E$13) + CHOOSE(CONTROL!$C$28, 0.0226, 0)</f>
        <v>41.479699999999994</v>
      </c>
      <c r="C749" s="4">
        <f>41.0938 * CHOOSE(CONTROL!$C$9, $C$13, 100%, $E$13) + CHOOSE(CONTROL!$C$28, 0.0226, 0)</f>
        <v>41.116399999999999</v>
      </c>
      <c r="D749" s="4">
        <f>61.6803 * CHOOSE(CONTROL!$C$9, $C$13, 100%, $E$13) + CHOOSE(CONTROL!$C$28, 0.0021, 0)</f>
        <v>61.682400000000001</v>
      </c>
      <c r="E749" s="4">
        <f>287.357604166468 * CHOOSE(CONTROL!$C$9, $C$13, 100%, $E$13) + CHOOSE(CONTROL!$C$28, 0.0021, 0)</f>
        <v>287.35970416646796</v>
      </c>
    </row>
    <row r="750" spans="1:5" ht="15">
      <c r="A750" s="13">
        <v>63978</v>
      </c>
      <c r="B750" s="4">
        <f>42.4231 * CHOOSE(CONTROL!$C$9, $C$13, 100%, $E$13) + CHOOSE(CONTROL!$C$28, 0.0226, 0)</f>
        <v>42.445699999999995</v>
      </c>
      <c r="C750" s="4">
        <f>42.0598 * CHOOSE(CONTROL!$C$9, $C$13, 100%, $E$13) + CHOOSE(CONTROL!$C$28, 0.0226, 0)</f>
        <v>42.0824</v>
      </c>
      <c r="D750" s="4">
        <f>63.7918 * CHOOSE(CONTROL!$C$9, $C$13, 100%, $E$13) + CHOOSE(CONTROL!$C$28, 0.0021, 0)</f>
        <v>63.793900000000001</v>
      </c>
      <c r="E750" s="4">
        <f>294.180606139675 * CHOOSE(CONTROL!$C$9, $C$13, 100%, $E$13) + CHOOSE(CONTROL!$C$28, 0.0021, 0)</f>
        <v>294.18270613967496</v>
      </c>
    </row>
    <row r="751" spans="1:5" ht="15">
      <c r="A751" s="13">
        <v>64009</v>
      </c>
      <c r="B751" s="4">
        <f>44.9598 * CHOOSE(CONTROL!$C$9, $C$13, 100%, $E$13) + CHOOSE(CONTROL!$C$28, 0.0226, 0)</f>
        <v>44.982399999999998</v>
      </c>
      <c r="C751" s="4">
        <f>44.5966 * CHOOSE(CONTROL!$C$9, $C$13, 100%, $E$13) + CHOOSE(CONTROL!$C$28, 0.0226, 0)</f>
        <v>44.619199999999999</v>
      </c>
      <c r="D751" s="4">
        <f>67.0974 * CHOOSE(CONTROL!$C$9, $C$13, 100%, $E$13) + CHOOSE(CONTROL!$C$28, 0.0021, 0)</f>
        <v>67.099499999999992</v>
      </c>
      <c r="E751" s="4">
        <f>312.098171917663 * CHOOSE(CONTROL!$C$9, $C$13, 100%, $E$13) + CHOOSE(CONTROL!$C$28, 0.0021, 0)</f>
        <v>312.10027191766301</v>
      </c>
    </row>
    <row r="752" spans="1:5" ht="15">
      <c r="A752" s="13">
        <v>64039</v>
      </c>
      <c r="B752" s="4">
        <f>46.7622 * CHOOSE(CONTROL!$C$9, $C$13, 100%, $E$13) + CHOOSE(CONTROL!$C$28, 0.0226, 0)</f>
        <v>46.784799999999997</v>
      </c>
      <c r="C752" s="4">
        <f>46.399 * CHOOSE(CONTROL!$C$9, $C$13, 100%, $E$13) + CHOOSE(CONTROL!$C$28, 0.0226, 0)</f>
        <v>46.421599999999998</v>
      </c>
      <c r="D752" s="4">
        <f>69.0015 * CHOOSE(CONTROL!$C$9, $C$13, 100%, $E$13) + CHOOSE(CONTROL!$C$28, 0.0021, 0)</f>
        <v>69.003599999999992</v>
      </c>
      <c r="E752" s="4">
        <f>324.828841185883 * CHOOSE(CONTROL!$C$9, $C$13, 100%, $E$13) + CHOOSE(CONTROL!$C$28, 0.0021, 0)</f>
        <v>324.83094118588298</v>
      </c>
    </row>
    <row r="753" spans="1:5" ht="15">
      <c r="A753" s="13">
        <v>64070</v>
      </c>
      <c r="B753" s="4">
        <f>47.8635 * CHOOSE(CONTROL!$C$9, $C$13, 100%, $E$13) + CHOOSE(CONTROL!$C$28, 0.0226, 0)</f>
        <v>47.886099999999999</v>
      </c>
      <c r="C753" s="4">
        <f>47.5002 * CHOOSE(CONTROL!$C$9, $C$13, 100%, $E$13) + CHOOSE(CONTROL!$C$28, 0.0226, 0)</f>
        <v>47.522799999999997</v>
      </c>
      <c r="D753" s="4">
        <f>68.249 * CHOOSE(CONTROL!$C$9, $C$13, 100%, $E$13) + CHOOSE(CONTROL!$C$28, 0.0021, 0)</f>
        <v>68.251099999999994</v>
      </c>
      <c r="E753" s="4">
        <f>332.606974997206 * CHOOSE(CONTROL!$C$9, $C$13, 100%, $E$13) + CHOOSE(CONTROL!$C$28, 0.0021, 0)</f>
        <v>332.60907499720599</v>
      </c>
    </row>
    <row r="754" spans="1:5" ht="15">
      <c r="A754" s="13">
        <v>64100</v>
      </c>
      <c r="B754" s="4">
        <f>48.0125 * CHOOSE(CONTROL!$C$9, $C$13, 100%, $E$13) + CHOOSE(CONTROL!$C$28, 0.0226, 0)</f>
        <v>48.0351</v>
      </c>
      <c r="C754" s="4">
        <f>47.6492 * CHOOSE(CONTROL!$C$9, $C$13, 100%, $E$13) + CHOOSE(CONTROL!$C$28, 0.0226, 0)</f>
        <v>47.671799999999998</v>
      </c>
      <c r="D754" s="4">
        <f>68.8618 * CHOOSE(CONTROL!$C$9, $C$13, 100%, $E$13) + CHOOSE(CONTROL!$C$28, 0.0021, 0)</f>
        <v>68.863900000000001</v>
      </c>
      <c r="E754" s="4">
        <f>333.659388781796 * CHOOSE(CONTROL!$C$9, $C$13, 100%, $E$13) + CHOOSE(CONTROL!$C$28, 0.0021, 0)</f>
        <v>333.66148878179598</v>
      </c>
    </row>
    <row r="755" spans="1:5" ht="15">
      <c r="A755" s="13">
        <v>64131</v>
      </c>
      <c r="B755" s="4">
        <f>47.9974 * CHOOSE(CONTROL!$C$9, $C$13, 100%, $E$13) + CHOOSE(CONTROL!$C$28, 0.0226, 0)</f>
        <v>48.019999999999996</v>
      </c>
      <c r="C755" s="4">
        <f>47.6341 * CHOOSE(CONTROL!$C$9, $C$13, 100%, $E$13) + CHOOSE(CONTROL!$C$28, 0.0226, 0)</f>
        <v>47.656699999999994</v>
      </c>
      <c r="D755" s="4">
        <f>69.9675 * CHOOSE(CONTROL!$C$9, $C$13, 100%, $E$13) + CHOOSE(CONTROL!$C$28, 0.0021, 0)</f>
        <v>69.9696</v>
      </c>
      <c r="E755" s="4">
        <f>333.553263022006 * CHOOSE(CONTROL!$C$9, $C$13, 100%, $E$13) + CHOOSE(CONTROL!$C$28, 0.0021, 0)</f>
        <v>333.55536302200596</v>
      </c>
    </row>
    <row r="756" spans="1:5" ht="15">
      <c r="A756" s="13">
        <v>64162</v>
      </c>
      <c r="B756" s="4">
        <f>49.1281 * CHOOSE(CONTROL!$C$9, $C$13, 100%, $E$13) + CHOOSE(CONTROL!$C$28, 0.0226, 0)</f>
        <v>49.150700000000001</v>
      </c>
      <c r="C756" s="4">
        <f>48.7648 * CHOOSE(CONTROL!$C$9, $C$13, 100%, $E$13) + CHOOSE(CONTROL!$C$28, 0.0226, 0)</f>
        <v>48.787399999999998</v>
      </c>
      <c r="D756" s="4">
        <f>69.2373 * CHOOSE(CONTROL!$C$9, $C$13, 100%, $E$13) + CHOOSE(CONTROL!$C$28, 0.0021, 0)</f>
        <v>69.239400000000003</v>
      </c>
      <c r="E756" s="4">
        <f>341.539226446252 * CHOOSE(CONTROL!$C$9, $C$13, 100%, $E$13) + CHOOSE(CONTROL!$C$28, 0.0021, 0)</f>
        <v>341.54132644625196</v>
      </c>
    </row>
    <row r="757" spans="1:5" ht="15">
      <c r="A757" s="13">
        <v>64192</v>
      </c>
      <c r="B757" s="4">
        <f>47.2011 * CHOOSE(CONTROL!$C$9, $C$13, 100%, $E$13) + CHOOSE(CONTROL!$C$28, 0.0226, 0)</f>
        <v>47.223699999999994</v>
      </c>
      <c r="C757" s="4">
        <f>46.8378 * CHOOSE(CONTROL!$C$9, $C$13, 100%, $E$13) + CHOOSE(CONTROL!$C$28, 0.0226, 0)</f>
        <v>46.860399999999998</v>
      </c>
      <c r="D757" s="4">
        <f>68.8923 * CHOOSE(CONTROL!$C$9, $C$13, 100%, $E$13) + CHOOSE(CONTROL!$C$28, 0.0021, 0)</f>
        <v>68.894400000000005</v>
      </c>
      <c r="E757" s="4">
        <f>327.928597753101 * CHOOSE(CONTROL!$C$9, $C$13, 100%, $E$13) + CHOOSE(CONTROL!$C$28, 0.0021, 0)</f>
        <v>327.93069775310096</v>
      </c>
    </row>
    <row r="758" spans="1:5" ht="15">
      <c r="A758" s="13">
        <v>64223</v>
      </c>
      <c r="B758" s="4">
        <f>45.6585 * CHOOSE(CONTROL!$C$9, $C$13, 100%, $E$13) + CHOOSE(CONTROL!$C$28, 0.0226, 0)</f>
        <v>45.681099999999994</v>
      </c>
      <c r="C758" s="4">
        <f>45.2952 * CHOOSE(CONTROL!$C$9, $C$13, 100%, $E$13) + CHOOSE(CONTROL!$C$28, 0.0226, 0)</f>
        <v>45.317799999999998</v>
      </c>
      <c r="D758" s="4">
        <f>67.9686 * CHOOSE(CONTROL!$C$9, $C$13, 100%, $E$13) + CHOOSE(CONTROL!$C$28, 0.0021, 0)</f>
        <v>67.970699999999994</v>
      </c>
      <c r="E758" s="4">
        <f>317.033019747928 * CHOOSE(CONTROL!$C$9, $C$13, 100%, $E$13) + CHOOSE(CONTROL!$C$28, 0.0021, 0)</f>
        <v>317.03511974792798</v>
      </c>
    </row>
    <row r="759" spans="1:5" ht="15">
      <c r="A759" s="13">
        <v>64253</v>
      </c>
      <c r="B759" s="4">
        <f>44.665 * CHOOSE(CONTROL!$C$9, $C$13, 100%, $E$13) + CHOOSE(CONTROL!$C$28, 0.0226, 0)</f>
        <v>44.687599999999996</v>
      </c>
      <c r="C759" s="4">
        <f>44.3017 * CHOOSE(CONTROL!$C$9, $C$13, 100%, $E$13) + CHOOSE(CONTROL!$C$28, 0.0226, 0)</f>
        <v>44.324299999999994</v>
      </c>
      <c r="D759" s="4">
        <f>67.651 * CHOOSE(CONTROL!$C$9, $C$13, 100%, $E$13) + CHOOSE(CONTROL!$C$28, 0.0021, 0)</f>
        <v>67.653099999999995</v>
      </c>
      <c r="E759" s="4">
        <f>310.015453881772 * CHOOSE(CONTROL!$C$9, $C$13, 100%, $E$13) + CHOOSE(CONTROL!$C$28, 0.0021, 0)</f>
        <v>310.01755388177196</v>
      </c>
    </row>
    <row r="760" spans="1:5" ht="15">
      <c r="A760" s="13">
        <v>64284</v>
      </c>
      <c r="B760" s="4">
        <f>43.9776 * CHOOSE(CONTROL!$C$9, $C$13, 100%, $E$13) + CHOOSE(CONTROL!$C$28, 0.0226, 0)</f>
        <v>44.0002</v>
      </c>
      <c r="C760" s="4">
        <f>43.6143 * CHOOSE(CONTROL!$C$9, $C$13, 100%, $E$13) + CHOOSE(CONTROL!$C$28, 0.0226, 0)</f>
        <v>43.636899999999997</v>
      </c>
      <c r="D760" s="4">
        <f>65.3129 * CHOOSE(CONTROL!$C$9, $C$13, 100%, $E$13) + CHOOSE(CONTROL!$C$28, 0.0021, 0)</f>
        <v>65.314999999999998</v>
      </c>
      <c r="E760" s="4">
        <f>305.16020037135 * CHOOSE(CONTROL!$C$9, $C$13, 100%, $E$13) + CHOOSE(CONTROL!$C$28, 0.0021, 0)</f>
        <v>305.16230037135</v>
      </c>
    </row>
    <row r="761" spans="1:5" ht="15">
      <c r="A761" s="13">
        <v>64315</v>
      </c>
      <c r="B761" s="4">
        <f>42.0969 * CHOOSE(CONTROL!$C$9, $C$13, 100%, $E$13) + CHOOSE(CONTROL!$C$28, 0.0226, 0)</f>
        <v>42.119499999999995</v>
      </c>
      <c r="C761" s="4">
        <f>41.7336 * CHOOSE(CONTROL!$C$9, $C$13, 100%, $E$13) + CHOOSE(CONTROL!$C$28, 0.0226, 0)</f>
        <v>41.7562</v>
      </c>
      <c r="D761" s="4">
        <f>62.7373 * CHOOSE(CONTROL!$C$9, $C$13, 100%, $E$13) + CHOOSE(CONTROL!$C$28, 0.0021, 0)</f>
        <v>62.739399999999996</v>
      </c>
      <c r="E761" s="4">
        <f>292.449038034836 * CHOOSE(CONTROL!$C$9, $C$13, 100%, $E$13) + CHOOSE(CONTROL!$C$28, 0.0021, 0)</f>
        <v>292.45113803483599</v>
      </c>
    </row>
    <row r="762" spans="1:5" ht="15">
      <c r="A762" s="13">
        <v>64344</v>
      </c>
      <c r="B762" s="4">
        <f>43.078 * CHOOSE(CONTROL!$C$9, $C$13, 100%, $E$13) + CHOOSE(CONTROL!$C$28, 0.0226, 0)</f>
        <v>43.1006</v>
      </c>
      <c r="C762" s="4">
        <f>42.7148 * CHOOSE(CONTROL!$C$9, $C$13, 100%, $E$13) + CHOOSE(CONTROL!$C$28, 0.0226, 0)</f>
        <v>42.737399999999994</v>
      </c>
      <c r="D762" s="4">
        <f>64.8862 * CHOOSE(CONTROL!$C$9, $C$13, 100%, $E$13) + CHOOSE(CONTROL!$C$28, 0.0021, 0)</f>
        <v>64.888300000000001</v>
      </c>
      <c r="E762" s="4">
        <f>299.392930712958 * CHOOSE(CONTROL!$C$9, $C$13, 100%, $E$13) + CHOOSE(CONTROL!$C$28, 0.0021, 0)</f>
        <v>299.39503071295798</v>
      </c>
    </row>
    <row r="763" spans="1:5" ht="15">
      <c r="A763" s="13">
        <v>64375</v>
      </c>
      <c r="B763" s="4">
        <f>45.6547 * CHOOSE(CONTROL!$C$9, $C$13, 100%, $E$13) + CHOOSE(CONTROL!$C$28, 0.0226, 0)</f>
        <v>45.677299999999995</v>
      </c>
      <c r="C763" s="4">
        <f>45.2914 * CHOOSE(CONTROL!$C$9, $C$13, 100%, $E$13) + CHOOSE(CONTROL!$C$28, 0.0226, 0)</f>
        <v>45.314</v>
      </c>
      <c r="D763" s="4">
        <f>68.2501 * CHOOSE(CONTROL!$C$9, $C$13, 100%, $E$13) + CHOOSE(CONTROL!$C$28, 0.0021, 0)</f>
        <v>68.252200000000002</v>
      </c>
      <c r="E763" s="4">
        <f>317.627961906574 * CHOOSE(CONTROL!$C$9, $C$13, 100%, $E$13) + CHOOSE(CONTROL!$C$28, 0.0021, 0)</f>
        <v>317.63006190657399</v>
      </c>
    </row>
    <row r="764" spans="1:5" ht="15">
      <c r="A764" s="13">
        <v>64405</v>
      </c>
      <c r="B764" s="4">
        <f>47.4854 * CHOOSE(CONTROL!$C$9, $C$13, 100%, $E$13) + CHOOSE(CONTROL!$C$28, 0.0226, 0)</f>
        <v>47.507999999999996</v>
      </c>
      <c r="C764" s="4">
        <f>47.1221 * CHOOSE(CONTROL!$C$9, $C$13, 100%, $E$13) + CHOOSE(CONTROL!$C$28, 0.0226, 0)</f>
        <v>47.1447</v>
      </c>
      <c r="D764" s="4">
        <f>70.1879 * CHOOSE(CONTROL!$C$9, $C$13, 100%, $E$13) + CHOOSE(CONTROL!$C$28, 0.0021, 0)</f>
        <v>70.19</v>
      </c>
      <c r="E764" s="4">
        <f>330.584194583381 * CHOOSE(CONTROL!$C$9, $C$13, 100%, $E$13) + CHOOSE(CONTROL!$C$28, 0.0021, 0)</f>
        <v>330.586294583381</v>
      </c>
    </row>
    <row r="765" spans="1:5" ht="15">
      <c r="A765" s="13">
        <v>64436</v>
      </c>
      <c r="B765" s="4">
        <f>48.6039 * CHOOSE(CONTROL!$C$9, $C$13, 100%, $E$13) + CHOOSE(CONTROL!$C$28, 0.0226, 0)</f>
        <v>48.6265</v>
      </c>
      <c r="C765" s="4">
        <f>48.2407 * CHOOSE(CONTROL!$C$9, $C$13, 100%, $E$13) + CHOOSE(CONTROL!$C$28, 0.0226, 0)</f>
        <v>48.263299999999994</v>
      </c>
      <c r="D765" s="4">
        <f>69.4222 * CHOOSE(CONTROL!$C$9, $C$13, 100%, $E$13) + CHOOSE(CONTROL!$C$28, 0.0021, 0)</f>
        <v>69.424300000000002</v>
      </c>
      <c r="E765" s="4">
        <f>338.50014223135 * CHOOSE(CONTROL!$C$9, $C$13, 100%, $E$13) + CHOOSE(CONTROL!$C$28, 0.0021, 0)</f>
        <v>338.50224223135001</v>
      </c>
    </row>
    <row r="766" spans="1:5" ht="15">
      <c r="A766" s="13">
        <v>64466</v>
      </c>
      <c r="B766" s="4">
        <f>48.7553 * CHOOSE(CONTROL!$C$9, $C$13, 100%, $E$13) + CHOOSE(CONTROL!$C$28, 0.0226, 0)</f>
        <v>48.777899999999995</v>
      </c>
      <c r="C766" s="4">
        <f>48.392 * CHOOSE(CONTROL!$C$9, $C$13, 100%, $E$13) + CHOOSE(CONTROL!$C$28, 0.0226, 0)</f>
        <v>48.4146</v>
      </c>
      <c r="D766" s="4">
        <f>70.0458 * CHOOSE(CONTROL!$C$9, $C$13, 100%, $E$13) + CHOOSE(CONTROL!$C$28, 0.0021, 0)</f>
        <v>70.047899999999998</v>
      </c>
      <c r="E766" s="4">
        <f>339.571202799978 * CHOOSE(CONTROL!$C$9, $C$13, 100%, $E$13) + CHOOSE(CONTROL!$C$28, 0.0021, 0)</f>
        <v>339.57330279997797</v>
      </c>
    </row>
    <row r="767" spans="1:5" ht="15">
      <c r="A767" s="13">
        <v>64497</v>
      </c>
      <c r="B767" s="4">
        <f>48.74 * CHOOSE(CONTROL!$C$9, $C$13, 100%, $E$13) + CHOOSE(CONTROL!$C$28, 0.0226, 0)</f>
        <v>48.762599999999999</v>
      </c>
      <c r="C767" s="4">
        <f>48.3767 * CHOOSE(CONTROL!$C$9, $C$13, 100%, $E$13) + CHOOSE(CONTROL!$C$28, 0.0226, 0)</f>
        <v>48.399299999999997</v>
      </c>
      <c r="D767" s="4">
        <f>71.171 * CHOOSE(CONTROL!$C$9, $C$13, 100%, $E$13) + CHOOSE(CONTROL!$C$28, 0.0021, 0)</f>
        <v>71.173100000000005</v>
      </c>
      <c r="E767" s="4">
        <f>339.463196692218 * CHOOSE(CONTROL!$C$9, $C$13, 100%, $E$13) + CHOOSE(CONTROL!$C$28, 0.0021, 0)</f>
        <v>339.46529669221798</v>
      </c>
    </row>
    <row r="768" spans="1:5" ht="15">
      <c r="A768" s="13">
        <v>64528</v>
      </c>
      <c r="B768" s="4">
        <f>49.8884 * CHOOSE(CONTROL!$C$9, $C$13, 100%, $E$13) + CHOOSE(CONTROL!$C$28, 0.0226, 0)</f>
        <v>49.910999999999994</v>
      </c>
      <c r="C768" s="4">
        <f>49.5252 * CHOOSE(CONTROL!$C$9, $C$13, 100%, $E$13) + CHOOSE(CONTROL!$C$28, 0.0226, 0)</f>
        <v>49.547799999999995</v>
      </c>
      <c r="D768" s="4">
        <f>70.4279 * CHOOSE(CONTROL!$C$9, $C$13, 100%, $E$13) + CHOOSE(CONTROL!$C$28, 0.0021, 0)</f>
        <v>70.429999999999993</v>
      </c>
      <c r="E768" s="4">
        <f>347.590656301218 * CHOOSE(CONTROL!$C$9, $C$13, 100%, $E$13) + CHOOSE(CONTROL!$C$28, 0.0021, 0)</f>
        <v>347.592756301218</v>
      </c>
    </row>
    <row r="769" spans="1:5" ht="15">
      <c r="A769" s="13">
        <v>64558</v>
      </c>
      <c r="B769" s="4">
        <f>47.9312 * CHOOSE(CONTROL!$C$9, $C$13, 100%, $E$13) + CHOOSE(CONTROL!$C$28, 0.0226, 0)</f>
        <v>47.953799999999994</v>
      </c>
      <c r="C769" s="4">
        <f>47.5679 * CHOOSE(CONTROL!$C$9, $C$13, 100%, $E$13) + CHOOSE(CONTROL!$C$28, 0.0226, 0)</f>
        <v>47.590499999999999</v>
      </c>
      <c r="D769" s="4">
        <f>70.0768 * CHOOSE(CONTROL!$C$9, $C$13, 100%, $E$13) + CHOOSE(CONTROL!$C$28, 0.0021, 0)</f>
        <v>70.078900000000004</v>
      </c>
      <c r="E769" s="4">
        <f>333.738872980895 * CHOOSE(CONTROL!$C$9, $C$13, 100%, $E$13) + CHOOSE(CONTROL!$C$28, 0.0021, 0)</f>
        <v>333.74097298089498</v>
      </c>
    </row>
    <row r="770" spans="1:5" ht="15">
      <c r="A770" s="13">
        <v>64589</v>
      </c>
      <c r="B770" s="4">
        <f>46.3643 * CHOOSE(CONTROL!$C$9, $C$13, 100%, $E$13) + CHOOSE(CONTROL!$C$28, 0.0226, 0)</f>
        <v>46.386899999999997</v>
      </c>
      <c r="C770" s="4">
        <f>46.001 * CHOOSE(CONTROL!$C$9, $C$13, 100%, $E$13) + CHOOSE(CONTROL!$C$28, 0.0226, 0)</f>
        <v>46.023599999999995</v>
      </c>
      <c r="D770" s="4">
        <f>69.1367 * CHOOSE(CONTROL!$C$9, $C$13, 100%, $E$13) + CHOOSE(CONTROL!$C$28, 0.0021, 0)</f>
        <v>69.138800000000003</v>
      </c>
      <c r="E770" s="4">
        <f>322.650245917452 * CHOOSE(CONTROL!$C$9, $C$13, 100%, $E$13) + CHOOSE(CONTROL!$C$28, 0.0021, 0)</f>
        <v>322.65234591745201</v>
      </c>
    </row>
    <row r="771" spans="1:5" ht="15">
      <c r="A771" s="13">
        <v>64619</v>
      </c>
      <c r="B771" s="4">
        <f>45.3552 * CHOOSE(CONTROL!$C$9, $C$13, 100%, $E$13) + CHOOSE(CONTROL!$C$28, 0.0226, 0)</f>
        <v>45.377800000000001</v>
      </c>
      <c r="C771" s="4">
        <f>44.9919 * CHOOSE(CONTROL!$C$9, $C$13, 100%, $E$13) + CHOOSE(CONTROL!$C$28, 0.0226, 0)</f>
        <v>45.014499999999998</v>
      </c>
      <c r="D771" s="4">
        <f>68.8135 * CHOOSE(CONTROL!$C$9, $C$13, 100%, $E$13) + CHOOSE(CONTROL!$C$28, 0.0021, 0)</f>
        <v>68.815600000000003</v>
      </c>
      <c r="E771" s="4">
        <f>315.508342041769 * CHOOSE(CONTROL!$C$9, $C$13, 100%, $E$13) + CHOOSE(CONTROL!$C$28, 0.0021, 0)</f>
        <v>315.51044204176901</v>
      </c>
    </row>
    <row r="772" spans="1:5" ht="15">
      <c r="A772" s="13">
        <v>64650</v>
      </c>
      <c r="B772" s="4">
        <f>44.657 * CHOOSE(CONTROL!$C$9, $C$13, 100%, $E$13) + CHOOSE(CONTROL!$C$28, 0.0226, 0)</f>
        <v>44.679599999999994</v>
      </c>
      <c r="C772" s="4">
        <f>44.2937 * CHOOSE(CONTROL!$C$9, $C$13, 100%, $E$13) + CHOOSE(CONTROL!$C$28, 0.0226, 0)</f>
        <v>44.316299999999998</v>
      </c>
      <c r="D772" s="4">
        <f>66.4342 * CHOOSE(CONTROL!$C$9, $C$13, 100%, $E$13) + CHOOSE(CONTROL!$C$28, 0.0021, 0)</f>
        <v>66.436300000000003</v>
      </c>
      <c r="E772" s="4">
        <f>310.567062611712 * CHOOSE(CONTROL!$C$9, $C$13, 100%, $E$13) + CHOOSE(CONTROL!$C$28, 0.0021, 0)</f>
        <v>310.56916261171199</v>
      </c>
    </row>
    <row r="773" spans="1:5" ht="15">
      <c r="A773" s="13">
        <v>64681</v>
      </c>
      <c r="B773" s="4">
        <f>42.7467 * CHOOSE(CONTROL!$C$9, $C$13, 100%, $E$13) + CHOOSE(CONTROL!$C$28, 0.0226, 0)</f>
        <v>42.769299999999994</v>
      </c>
      <c r="C773" s="4">
        <f>42.3834 * CHOOSE(CONTROL!$C$9, $C$13, 100%, $E$13) + CHOOSE(CONTROL!$C$28, 0.0226, 0)</f>
        <v>42.405999999999999</v>
      </c>
      <c r="D773" s="4">
        <f>63.8131 * CHOOSE(CONTROL!$C$9, $C$13, 100%, $E$13) + CHOOSE(CONTROL!$C$28, 0.0021, 0)</f>
        <v>63.815199999999997</v>
      </c>
      <c r="E773" s="4">
        <f>297.630682492588 * CHOOSE(CONTROL!$C$9, $C$13, 100%, $E$13) + CHOOSE(CONTROL!$C$28, 0.0021, 0)</f>
        <v>297.63278249258798</v>
      </c>
    </row>
    <row r="774" spans="1:5" ht="15">
      <c r="A774" s="13">
        <v>64709</v>
      </c>
      <c r="B774" s="4">
        <f>43.7433 * CHOOSE(CONTROL!$C$9, $C$13, 100%, $E$13) + CHOOSE(CONTROL!$C$28, 0.0226, 0)</f>
        <v>43.765899999999995</v>
      </c>
      <c r="C774" s="4">
        <f>43.38 * CHOOSE(CONTROL!$C$9, $C$13, 100%, $E$13) + CHOOSE(CONTROL!$C$28, 0.0226, 0)</f>
        <v>43.4026</v>
      </c>
      <c r="D774" s="4">
        <f>65.9999 * CHOOSE(CONTROL!$C$9, $C$13, 100%, $E$13) + CHOOSE(CONTROL!$C$28, 0.0021, 0)</f>
        <v>66.001999999999995</v>
      </c>
      <c r="E774" s="4">
        <f>304.697607830529 * CHOOSE(CONTROL!$C$9, $C$13, 100%, $E$13) + CHOOSE(CONTROL!$C$28, 0.0021, 0)</f>
        <v>304.69970783052901</v>
      </c>
    </row>
    <row r="775" spans="1:5" ht="15">
      <c r="A775" s="13">
        <v>64740</v>
      </c>
      <c r="B775" s="4">
        <f>46.3604 * CHOOSE(CONTROL!$C$9, $C$13, 100%, $E$13) + CHOOSE(CONTROL!$C$28, 0.0226, 0)</f>
        <v>46.382999999999996</v>
      </c>
      <c r="C775" s="4">
        <f>45.9971 * CHOOSE(CONTROL!$C$9, $C$13, 100%, $E$13) + CHOOSE(CONTROL!$C$28, 0.0226, 0)</f>
        <v>46.0197</v>
      </c>
      <c r="D775" s="4">
        <f>69.4233 * CHOOSE(CONTROL!$C$9, $C$13, 100%, $E$13) + CHOOSE(CONTROL!$C$28, 0.0021, 0)</f>
        <v>69.425399999999996</v>
      </c>
      <c r="E775" s="4">
        <f>323.255729327182 * CHOOSE(CONTROL!$C$9, $C$13, 100%, $E$13) + CHOOSE(CONTROL!$C$28, 0.0021, 0)</f>
        <v>323.25782932718198</v>
      </c>
    </row>
    <row r="776" spans="1:5" ht="15">
      <c r="A776" s="13">
        <v>64770</v>
      </c>
      <c r="B776" s="4">
        <f>48.22 * CHOOSE(CONTROL!$C$9, $C$13, 100%, $E$13) + CHOOSE(CONTROL!$C$28, 0.0226, 0)</f>
        <v>48.242599999999996</v>
      </c>
      <c r="C776" s="4">
        <f>47.8567 * CHOOSE(CONTROL!$C$9, $C$13, 100%, $E$13) + CHOOSE(CONTROL!$C$28, 0.0226, 0)</f>
        <v>47.879299999999994</v>
      </c>
      <c r="D776" s="4">
        <f>71.3953 * CHOOSE(CONTROL!$C$9, $C$13, 100%, $E$13) + CHOOSE(CONTROL!$C$28, 0.0021, 0)</f>
        <v>71.397400000000005</v>
      </c>
      <c r="E776" s="4">
        <f>336.44152197004 * CHOOSE(CONTROL!$C$9, $C$13, 100%, $E$13) + CHOOSE(CONTROL!$C$28, 0.0021, 0)</f>
        <v>336.44362197004</v>
      </c>
    </row>
    <row r="777" spans="1:5" ht="15">
      <c r="A777" s="13">
        <v>64801</v>
      </c>
      <c r="B777" s="4">
        <f>49.3561 * CHOOSE(CONTROL!$C$9, $C$13, 100%, $E$13) + CHOOSE(CONTROL!$C$28, 0.0226, 0)</f>
        <v>49.378699999999995</v>
      </c>
      <c r="C777" s="4">
        <f>48.9928 * CHOOSE(CONTROL!$C$9, $C$13, 100%, $E$13) + CHOOSE(CONTROL!$C$28, 0.0226, 0)</f>
        <v>49.0154</v>
      </c>
      <c r="D777" s="4">
        <f>70.616 * CHOOSE(CONTROL!$C$9, $C$13, 100%, $E$13) + CHOOSE(CONTROL!$C$28, 0.0021, 0)</f>
        <v>70.618099999999998</v>
      </c>
      <c r="E777" s="4">
        <f>344.497725255482 * CHOOSE(CONTROL!$C$9, $C$13, 100%, $E$13) + CHOOSE(CONTROL!$C$28, 0.0021, 0)</f>
        <v>344.49982525548199</v>
      </c>
    </row>
    <row r="778" spans="1:5" ht="15">
      <c r="A778" s="13">
        <v>64831</v>
      </c>
      <c r="B778" s="4">
        <f>49.5098 * CHOOSE(CONTROL!$C$9, $C$13, 100%, $E$13) + CHOOSE(CONTROL!$C$28, 0.0226, 0)</f>
        <v>49.532399999999996</v>
      </c>
      <c r="C778" s="4">
        <f>49.1465 * CHOOSE(CONTROL!$C$9, $C$13, 100%, $E$13) + CHOOSE(CONTROL!$C$28, 0.0226, 0)</f>
        <v>49.1691</v>
      </c>
      <c r="D778" s="4">
        <f>71.2506 * CHOOSE(CONTROL!$C$9, $C$13, 100%, $E$13) + CHOOSE(CONTROL!$C$28, 0.0021, 0)</f>
        <v>71.252700000000004</v>
      </c>
      <c r="E778" s="4">
        <f>345.587762993933 * CHOOSE(CONTROL!$C$9, $C$13, 100%, $E$13) + CHOOSE(CONTROL!$C$28, 0.0021, 0)</f>
        <v>345.58986299393297</v>
      </c>
    </row>
    <row r="779" spans="1:5" ht="15">
      <c r="A779" s="13">
        <v>64862</v>
      </c>
      <c r="B779" s="4">
        <f>49.4943 * CHOOSE(CONTROL!$C$9, $C$13, 100%, $E$13) + CHOOSE(CONTROL!$C$28, 0.0226, 0)</f>
        <v>49.5169</v>
      </c>
      <c r="C779" s="4">
        <f>49.131 * CHOOSE(CONTROL!$C$9, $C$13, 100%, $E$13) + CHOOSE(CONTROL!$C$28, 0.0226, 0)</f>
        <v>49.153599999999997</v>
      </c>
      <c r="D779" s="4">
        <f>72.3957 * CHOOSE(CONTROL!$C$9, $C$13, 100%, $E$13) + CHOOSE(CONTROL!$C$28, 0.0021, 0)</f>
        <v>72.397800000000004</v>
      </c>
      <c r="E779" s="4">
        <f>345.477843221989 * CHOOSE(CONTROL!$C$9, $C$13, 100%, $E$13) + CHOOSE(CONTROL!$C$28, 0.0021, 0)</f>
        <v>345.479943221989</v>
      </c>
    </row>
    <row r="780" spans="1:5" ht="15">
      <c r="A780" s="13">
        <v>64893</v>
      </c>
      <c r="B780" s="4">
        <f>50.6608 * CHOOSE(CONTROL!$C$9, $C$13, 100%, $E$13) + CHOOSE(CONTROL!$C$28, 0.0226, 0)</f>
        <v>50.683399999999999</v>
      </c>
      <c r="C780" s="4">
        <f>50.2975 * CHOOSE(CONTROL!$C$9, $C$13, 100%, $E$13) + CHOOSE(CONTROL!$C$28, 0.0226, 0)</f>
        <v>50.320099999999996</v>
      </c>
      <c r="D780" s="4">
        <f>71.6395 * CHOOSE(CONTROL!$C$9, $C$13, 100%, $E$13) + CHOOSE(CONTROL!$C$28, 0.0021, 0)</f>
        <v>71.641599999999997</v>
      </c>
      <c r="E780" s="4">
        <f>353.749306060822 * CHOOSE(CONTROL!$C$9, $C$13, 100%, $E$13) + CHOOSE(CONTROL!$C$28, 0.0021, 0)</f>
        <v>353.75140606082198</v>
      </c>
    </row>
    <row r="781" spans="1:5" ht="15">
      <c r="A781" s="13">
        <v>64923</v>
      </c>
      <c r="B781" s="4">
        <f>48.6727 * CHOOSE(CONTROL!$C$9, $C$13, 100%, $E$13) + CHOOSE(CONTROL!$C$28, 0.0226, 0)</f>
        <v>48.695299999999996</v>
      </c>
      <c r="C781" s="4">
        <f>48.3094 * CHOOSE(CONTROL!$C$9, $C$13, 100%, $E$13) + CHOOSE(CONTROL!$C$28, 0.0226, 0)</f>
        <v>48.331999999999994</v>
      </c>
      <c r="D781" s="4">
        <f>71.2822 * CHOOSE(CONTROL!$C$9, $C$13, 100%, $E$13) + CHOOSE(CONTROL!$C$28, 0.0021, 0)</f>
        <v>71.284300000000002</v>
      </c>
      <c r="E781" s="4">
        <f>339.652095308923 * CHOOSE(CONTROL!$C$9, $C$13, 100%, $E$13) + CHOOSE(CONTROL!$C$28, 0.0021, 0)</f>
        <v>339.65419530892297</v>
      </c>
    </row>
    <row r="782" spans="1:5" ht="15">
      <c r="A782" s="13">
        <v>64954</v>
      </c>
      <c r="B782" s="4">
        <f>47.0812 * CHOOSE(CONTROL!$C$9, $C$13, 100%, $E$13) + CHOOSE(CONTROL!$C$28, 0.0226, 0)</f>
        <v>47.1038</v>
      </c>
      <c r="C782" s="4">
        <f>46.718 * CHOOSE(CONTROL!$C$9, $C$13, 100%, $E$13) + CHOOSE(CONTROL!$C$28, 0.0226, 0)</f>
        <v>46.740600000000001</v>
      </c>
      <c r="D782" s="4">
        <f>70.3255 * CHOOSE(CONTROL!$C$9, $C$13, 100%, $E$13) + CHOOSE(CONTROL!$C$28, 0.0021, 0)</f>
        <v>70.327600000000004</v>
      </c>
      <c r="E782" s="4">
        <f>328.366998722607 * CHOOSE(CONTROL!$C$9, $C$13, 100%, $E$13) + CHOOSE(CONTROL!$C$28, 0.0021, 0)</f>
        <v>328.36909872260696</v>
      </c>
    </row>
    <row r="783" spans="1:5" ht="15">
      <c r="A783" s="13">
        <v>64984</v>
      </c>
      <c r="B783" s="4">
        <f>46.0562 * CHOOSE(CONTROL!$C$9, $C$13, 100%, $E$13) + CHOOSE(CONTROL!$C$28, 0.0226, 0)</f>
        <v>46.078799999999994</v>
      </c>
      <c r="C783" s="4">
        <f>45.6929 * CHOOSE(CONTROL!$C$9, $C$13, 100%, $E$13) + CHOOSE(CONTROL!$C$28, 0.0226, 0)</f>
        <v>45.715499999999999</v>
      </c>
      <c r="D783" s="4">
        <f>69.9966 * CHOOSE(CONTROL!$C$9, $C$13, 100%, $E$13) + CHOOSE(CONTROL!$C$28, 0.0021, 0)</f>
        <v>69.998699999999999</v>
      </c>
      <c r="E783" s="4">
        <f>321.098553802768 * CHOOSE(CONTROL!$C$9, $C$13, 100%, $E$13) + CHOOSE(CONTROL!$C$28, 0.0021, 0)</f>
        <v>321.10065380276797</v>
      </c>
    </row>
    <row r="784" spans="1:5" ht="15">
      <c r="A784" s="13">
        <v>65015</v>
      </c>
      <c r="B784" s="4">
        <f>45.347 * CHOOSE(CONTROL!$C$9, $C$13, 100%, $E$13) + CHOOSE(CONTROL!$C$28, 0.0226, 0)</f>
        <v>45.369599999999998</v>
      </c>
      <c r="C784" s="4">
        <f>44.9837 * CHOOSE(CONTROL!$C$9, $C$13, 100%, $E$13) + CHOOSE(CONTROL!$C$28, 0.0226, 0)</f>
        <v>45.006299999999996</v>
      </c>
      <c r="D784" s="4">
        <f>67.5752 * CHOOSE(CONTROL!$C$9, $C$13, 100%, $E$13) + CHOOSE(CONTROL!$C$28, 0.0021, 0)</f>
        <v>67.577299999999994</v>
      </c>
      <c r="E784" s="4">
        <f>316.069724236301 * CHOOSE(CONTROL!$C$9, $C$13, 100%, $E$13) + CHOOSE(CONTROL!$C$28, 0.0021, 0)</f>
        <v>316.07182423630098</v>
      </c>
    </row>
    <row r="785" spans="1:5" ht="15">
      <c r="A785" s="13">
        <v>65046</v>
      </c>
      <c r="B785" s="4">
        <f>43.4067 * CHOOSE(CONTROL!$C$9, $C$13, 100%, $E$13) + CHOOSE(CONTROL!$C$28, 0.0226, 0)</f>
        <v>43.429299999999998</v>
      </c>
      <c r="C785" s="4">
        <f>43.0434 * CHOOSE(CONTROL!$C$9, $C$13, 100%, $E$13) + CHOOSE(CONTROL!$C$28, 0.0226, 0)</f>
        <v>43.065999999999995</v>
      </c>
      <c r="D785" s="4">
        <f>64.9078 * CHOOSE(CONTROL!$C$9, $C$13, 100%, $E$13) + CHOOSE(CONTROL!$C$28, 0.0021, 0)</f>
        <v>64.909899999999993</v>
      </c>
      <c r="E785" s="4">
        <f>302.904135900943 * CHOOSE(CONTROL!$C$9, $C$13, 100%, $E$13) + CHOOSE(CONTROL!$C$28, 0.0021, 0)</f>
        <v>302.90623590094299</v>
      </c>
    </row>
    <row r="786" spans="1:5" ht="15">
      <c r="A786" s="13">
        <v>65074</v>
      </c>
      <c r="B786" s="4">
        <f>44.419 * CHOOSE(CONTROL!$C$9, $C$13, 100%, $E$13) + CHOOSE(CONTROL!$C$28, 0.0226, 0)</f>
        <v>44.441599999999994</v>
      </c>
      <c r="C786" s="4">
        <f>44.0557 * CHOOSE(CONTROL!$C$9, $C$13, 100%, $E$13) + CHOOSE(CONTROL!$C$28, 0.0226, 0)</f>
        <v>44.078299999999999</v>
      </c>
      <c r="D786" s="4">
        <f>67.1333 * CHOOSE(CONTROL!$C$9, $C$13, 100%, $E$13) + CHOOSE(CONTROL!$C$28, 0.0021, 0)</f>
        <v>67.135400000000004</v>
      </c>
      <c r="E786" s="4">
        <f>310.096273805 * CHOOSE(CONTROL!$C$9, $C$13, 100%, $E$13) + CHOOSE(CONTROL!$C$28, 0.0021, 0)</f>
        <v>310.09837380499999</v>
      </c>
    </row>
    <row r="787" spans="1:5" ht="15">
      <c r="A787" s="13">
        <v>65105</v>
      </c>
      <c r="B787" s="4">
        <f>47.0773 * CHOOSE(CONTROL!$C$9, $C$13, 100%, $E$13) + CHOOSE(CONTROL!$C$28, 0.0226, 0)</f>
        <v>47.099899999999998</v>
      </c>
      <c r="C787" s="4">
        <f>46.714 * CHOOSE(CONTROL!$C$9, $C$13, 100%, $E$13) + CHOOSE(CONTROL!$C$28, 0.0226, 0)</f>
        <v>46.736599999999996</v>
      </c>
      <c r="D787" s="4">
        <f>70.6172 * CHOOSE(CONTROL!$C$9, $C$13, 100%, $E$13) + CHOOSE(CONTROL!$C$28, 0.0021, 0)</f>
        <v>70.619299999999996</v>
      </c>
      <c r="E787" s="4">
        <f>328.983210154475 * CHOOSE(CONTROL!$C$9, $C$13, 100%, $E$13) + CHOOSE(CONTROL!$C$28, 0.0021, 0)</f>
        <v>328.98531015447497</v>
      </c>
    </row>
    <row r="788" spans="1:5" ht="15">
      <c r="A788" s="13">
        <v>65135</v>
      </c>
      <c r="B788" s="4">
        <f>48.966 * CHOOSE(CONTROL!$C$9, $C$13, 100%, $E$13) + CHOOSE(CONTROL!$C$28, 0.0226, 0)</f>
        <v>48.988599999999998</v>
      </c>
      <c r="C788" s="4">
        <f>48.6028 * CHOOSE(CONTROL!$C$9, $C$13, 100%, $E$13) + CHOOSE(CONTROL!$C$28, 0.0226, 0)</f>
        <v>48.625399999999999</v>
      </c>
      <c r="D788" s="4">
        <f>72.624 * CHOOSE(CONTROL!$C$9, $C$13, 100%, $E$13) + CHOOSE(CONTROL!$C$28, 0.0021, 0)</f>
        <v>72.626099999999994</v>
      </c>
      <c r="E788" s="4">
        <f>342.402630132298 * CHOOSE(CONTROL!$C$9, $C$13, 100%, $E$13) + CHOOSE(CONTROL!$C$28, 0.0021, 0)</f>
        <v>342.40473013229797</v>
      </c>
    </row>
    <row r="789" spans="1:5" ht="15">
      <c r="A789" s="13">
        <v>65166</v>
      </c>
      <c r="B789" s="4">
        <f>50.12 * CHOOSE(CONTROL!$C$9, $C$13, 100%, $E$13) + CHOOSE(CONTROL!$C$28, 0.0226, 0)</f>
        <v>50.142599999999995</v>
      </c>
      <c r="C789" s="4">
        <f>49.7567 * CHOOSE(CONTROL!$C$9, $C$13, 100%, $E$13) + CHOOSE(CONTROL!$C$28, 0.0226, 0)</f>
        <v>49.779299999999999</v>
      </c>
      <c r="D789" s="4">
        <f>71.831 * CHOOSE(CONTROL!$C$9, $C$13, 100%, $E$13) + CHOOSE(CONTROL!$C$28, 0.0021, 0)</f>
        <v>71.833100000000002</v>
      </c>
      <c r="E789" s="4">
        <f>350.601574120137 * CHOOSE(CONTROL!$C$9, $C$13, 100%, $E$13) + CHOOSE(CONTROL!$C$28, 0.0021, 0)</f>
        <v>350.60367412013699</v>
      </c>
    </row>
    <row r="790" spans="1:5" ht="15">
      <c r="A790" s="13">
        <v>65196</v>
      </c>
      <c r="B790" s="4">
        <f>50.2762 * CHOOSE(CONTROL!$C$9, $C$13, 100%, $E$13) + CHOOSE(CONTROL!$C$28, 0.0226, 0)</f>
        <v>50.2988</v>
      </c>
      <c r="C790" s="4">
        <f>49.9129 * CHOOSE(CONTROL!$C$9, $C$13, 100%, $E$13) + CHOOSE(CONTROL!$C$28, 0.0226, 0)</f>
        <v>49.935499999999998</v>
      </c>
      <c r="D790" s="4">
        <f>72.4768 * CHOOSE(CONTROL!$C$9, $C$13, 100%, $E$13) + CHOOSE(CONTROL!$C$28, 0.0021, 0)</f>
        <v>72.478899999999996</v>
      </c>
      <c r="E790" s="4">
        <f>351.710925268009 * CHOOSE(CONTROL!$C$9, $C$13, 100%, $E$13) + CHOOSE(CONTROL!$C$28, 0.0021, 0)</f>
        <v>351.71302526800901</v>
      </c>
    </row>
    <row r="791" spans="1:5" ht="15">
      <c r="A791" s="13">
        <v>65227</v>
      </c>
      <c r="B791" s="4">
        <f>50.2604 * CHOOSE(CONTROL!$C$9, $C$13, 100%, $E$13) + CHOOSE(CONTROL!$C$28, 0.0226, 0)</f>
        <v>50.282999999999994</v>
      </c>
      <c r="C791" s="4">
        <f>49.8971 * CHOOSE(CONTROL!$C$9, $C$13, 100%, $E$13) + CHOOSE(CONTROL!$C$28, 0.0226, 0)</f>
        <v>49.919699999999999</v>
      </c>
      <c r="D791" s="4">
        <f>73.6421 * CHOOSE(CONTROL!$C$9, $C$13, 100%, $E$13) + CHOOSE(CONTROL!$C$28, 0.0021, 0)</f>
        <v>73.644199999999998</v>
      </c>
      <c r="E791" s="4">
        <f>351.599057925366 * CHOOSE(CONTROL!$C$9, $C$13, 100%, $E$13) + CHOOSE(CONTROL!$C$28, 0.0021, 0)</f>
        <v>351.60115792536601</v>
      </c>
    </row>
    <row r="792" spans="1:5" ht="15">
      <c r="A792" s="13">
        <v>65258</v>
      </c>
      <c r="B792" s="4">
        <f>51.4452 * CHOOSE(CONTROL!$C$9, $C$13, 100%, $E$13) + CHOOSE(CONTROL!$C$28, 0.0226, 0)</f>
        <v>51.467799999999997</v>
      </c>
      <c r="C792" s="4">
        <f>51.082 * CHOOSE(CONTROL!$C$9, $C$13, 100%, $E$13) + CHOOSE(CONTROL!$C$28, 0.0226, 0)</f>
        <v>51.104599999999998</v>
      </c>
      <c r="D792" s="4">
        <f>72.8725 * CHOOSE(CONTROL!$C$9, $C$13, 100%, $E$13) + CHOOSE(CONTROL!$C$28, 0.0021, 0)</f>
        <v>72.874600000000001</v>
      </c>
      <c r="E792" s="4">
        <f>360.017075459214 * CHOOSE(CONTROL!$C$9, $C$13, 100%, $E$13) + CHOOSE(CONTROL!$C$28, 0.0021, 0)</f>
        <v>360.01917545921401</v>
      </c>
    </row>
    <row r="793" spans="1:5" ht="15">
      <c r="A793" s="13">
        <v>65288</v>
      </c>
      <c r="B793" s="4">
        <f>49.4259 * CHOOSE(CONTROL!$C$9, $C$13, 100%, $E$13) + CHOOSE(CONTROL!$C$28, 0.0226, 0)</f>
        <v>49.448499999999996</v>
      </c>
      <c r="C793" s="4">
        <f>49.0627 * CHOOSE(CONTROL!$C$9, $C$13, 100%, $E$13) + CHOOSE(CONTROL!$C$28, 0.0226, 0)</f>
        <v>49.085299999999997</v>
      </c>
      <c r="D793" s="4">
        <f>72.5089 * CHOOSE(CONTROL!$C$9, $C$13, 100%, $E$13) + CHOOSE(CONTROL!$C$28, 0.0021, 0)</f>
        <v>72.510999999999996</v>
      </c>
      <c r="E793" s="4">
        <f>345.670088765314 * CHOOSE(CONTROL!$C$9, $C$13, 100%, $E$13) + CHOOSE(CONTROL!$C$28, 0.0021, 0)</f>
        <v>345.67218876531399</v>
      </c>
    </row>
    <row r="794" spans="1:5" ht="15">
      <c r="A794" s="13">
        <v>65319</v>
      </c>
      <c r="B794" s="4">
        <f>47.8094 * CHOOSE(CONTROL!$C$9, $C$13, 100%, $E$13) + CHOOSE(CONTROL!$C$28, 0.0226, 0)</f>
        <v>47.831999999999994</v>
      </c>
      <c r="C794" s="4">
        <f>47.4461 * CHOOSE(CONTROL!$C$9, $C$13, 100%, $E$13) + CHOOSE(CONTROL!$C$28, 0.0226, 0)</f>
        <v>47.468699999999998</v>
      </c>
      <c r="D794" s="4">
        <f>71.5354 * CHOOSE(CONTROL!$C$9, $C$13, 100%, $E$13) + CHOOSE(CONTROL!$C$28, 0.0021, 0)</f>
        <v>71.537499999999994</v>
      </c>
      <c r="E794" s="4">
        <f>334.185041587351 * CHOOSE(CONTROL!$C$9, $C$13, 100%, $E$13) + CHOOSE(CONTROL!$C$28, 0.0021, 0)</f>
        <v>334.18714158735099</v>
      </c>
    </row>
    <row r="795" spans="1:5" ht="15">
      <c r="A795" s="13">
        <v>65349</v>
      </c>
      <c r="B795" s="4">
        <f>46.7683 * CHOOSE(CONTROL!$C$9, $C$13, 100%, $E$13) + CHOOSE(CONTROL!$C$28, 0.0226, 0)</f>
        <v>46.790900000000001</v>
      </c>
      <c r="C795" s="4">
        <f>46.405 * CHOOSE(CONTROL!$C$9, $C$13, 100%, $E$13) + CHOOSE(CONTROL!$C$28, 0.0226, 0)</f>
        <v>46.427599999999998</v>
      </c>
      <c r="D795" s="4">
        <f>71.2006 * CHOOSE(CONTROL!$C$9, $C$13, 100%, $E$13) + CHOOSE(CONTROL!$C$28, 0.0021, 0)</f>
        <v>71.202699999999993</v>
      </c>
      <c r="E795" s="4">
        <f>326.787813555116 * CHOOSE(CONTROL!$C$9, $C$13, 100%, $E$13) + CHOOSE(CONTROL!$C$28, 0.0021, 0)</f>
        <v>326.78991355511596</v>
      </c>
    </row>
    <row r="796" spans="1:5" ht="15">
      <c r="A796" s="13">
        <v>65380</v>
      </c>
      <c r="B796" s="4">
        <f>46.0479 * CHOOSE(CONTROL!$C$9, $C$13, 100%, $E$13) + CHOOSE(CONTROL!$C$28, 0.0226, 0)</f>
        <v>46.070499999999996</v>
      </c>
      <c r="C796" s="4">
        <f>45.6847 * CHOOSE(CONTROL!$C$9, $C$13, 100%, $E$13) + CHOOSE(CONTROL!$C$28, 0.0226, 0)</f>
        <v>45.707299999999996</v>
      </c>
      <c r="D796" s="4">
        <f>68.7364 * CHOOSE(CONTROL!$C$9, $C$13, 100%, $E$13) + CHOOSE(CONTROL!$C$28, 0.0021, 0)</f>
        <v>68.738500000000002</v>
      </c>
      <c r="E796" s="4">
        <f>321.669882629222 * CHOOSE(CONTROL!$C$9, $C$13, 100%, $E$13) + CHOOSE(CONTROL!$C$28, 0.0021, 0)</f>
        <v>321.67198262922199</v>
      </c>
    </row>
    <row r="797" spans="1:5" ht="15">
      <c r="A797" s="13">
        <v>65411</v>
      </c>
      <c r="B797" s="4">
        <f>44.0771 * CHOOSE(CONTROL!$C$9, $C$13, 100%, $E$13) + CHOOSE(CONTROL!$C$28, 0.0226, 0)</f>
        <v>44.099699999999999</v>
      </c>
      <c r="C797" s="4">
        <f>43.7138 * CHOOSE(CONTROL!$C$9, $C$13, 100%, $E$13) + CHOOSE(CONTROL!$C$28, 0.0226, 0)</f>
        <v>43.736399999999996</v>
      </c>
      <c r="D797" s="4">
        <f>66.0219 * CHOOSE(CONTROL!$C$9, $C$13, 100%, $E$13) + CHOOSE(CONTROL!$C$28, 0.0021, 0)</f>
        <v>66.024000000000001</v>
      </c>
      <c r="E797" s="4">
        <f>308.271024941058 * CHOOSE(CONTROL!$C$9, $C$13, 100%, $E$13) + CHOOSE(CONTROL!$C$28, 0.0021, 0)</f>
        <v>308.27312494105797</v>
      </c>
    </row>
    <row r="798" spans="1:5" ht="15">
      <c r="A798" s="13">
        <v>65439</v>
      </c>
      <c r="B798" s="4">
        <f>45.1053 * CHOOSE(CONTROL!$C$9, $C$13, 100%, $E$13) + CHOOSE(CONTROL!$C$28, 0.0226, 0)</f>
        <v>45.127899999999997</v>
      </c>
      <c r="C798" s="4">
        <f>44.742 * CHOOSE(CONTROL!$C$9, $C$13, 100%, $E$13) + CHOOSE(CONTROL!$C$28, 0.0226, 0)</f>
        <v>44.764599999999994</v>
      </c>
      <c r="D798" s="4">
        <f>68.2867 * CHOOSE(CONTROL!$C$9, $C$13, 100%, $E$13) + CHOOSE(CONTROL!$C$28, 0.0021, 0)</f>
        <v>68.288799999999995</v>
      </c>
      <c r="E798" s="4">
        <f>315.590593941351 * CHOOSE(CONTROL!$C$9, $C$13, 100%, $E$13) + CHOOSE(CONTROL!$C$28, 0.0021, 0)</f>
        <v>315.592693941351</v>
      </c>
    </row>
    <row r="799" spans="1:5" ht="15">
      <c r="A799" s="13">
        <v>65470</v>
      </c>
      <c r="B799" s="4">
        <f>47.8054 * CHOOSE(CONTROL!$C$9, $C$13, 100%, $E$13) + CHOOSE(CONTROL!$C$28, 0.0226, 0)</f>
        <v>47.827999999999996</v>
      </c>
      <c r="C799" s="4">
        <f>47.4421 * CHOOSE(CONTROL!$C$9, $C$13, 100%, $E$13) + CHOOSE(CONTROL!$C$28, 0.0226, 0)</f>
        <v>47.464700000000001</v>
      </c>
      <c r="D799" s="4">
        <f>71.8321 * CHOOSE(CONTROL!$C$9, $C$13, 100%, $E$13) + CHOOSE(CONTROL!$C$28, 0.0021, 0)</f>
        <v>71.834199999999996</v>
      </c>
      <c r="E799" s="4">
        <f>334.812171121641 * CHOOSE(CONTROL!$C$9, $C$13, 100%, $E$13) + CHOOSE(CONTROL!$C$28, 0.0021, 0)</f>
        <v>334.81427112164096</v>
      </c>
    </row>
    <row r="800" spans="1:5" ht="15">
      <c r="A800" s="13">
        <v>65500</v>
      </c>
      <c r="B800" s="4">
        <f>49.7239 * CHOOSE(CONTROL!$C$9, $C$13, 100%, $E$13) + CHOOSE(CONTROL!$C$28, 0.0226, 0)</f>
        <v>49.746499999999997</v>
      </c>
      <c r="C800" s="4">
        <f>49.3606 * CHOOSE(CONTROL!$C$9, $C$13, 100%, $E$13) + CHOOSE(CONTROL!$C$28, 0.0226, 0)</f>
        <v>49.383199999999995</v>
      </c>
      <c r="D800" s="4">
        <f>73.8744 * CHOOSE(CONTROL!$C$9, $C$13, 100%, $E$13) + CHOOSE(CONTROL!$C$28, 0.0021, 0)</f>
        <v>73.876499999999993</v>
      </c>
      <c r="E800" s="4">
        <f>348.469357869434 * CHOOSE(CONTROL!$C$9, $C$13, 100%, $E$13) + CHOOSE(CONTROL!$C$28, 0.0021, 0)</f>
        <v>348.471457869434</v>
      </c>
    </row>
    <row r="801" spans="1:5" ht="15">
      <c r="A801" s="13">
        <v>65531</v>
      </c>
      <c r="B801" s="4">
        <f>50.896 * CHOOSE(CONTROL!$C$9, $C$13, 100%, $E$13) + CHOOSE(CONTROL!$C$28, 0.0226, 0)</f>
        <v>50.918599999999998</v>
      </c>
      <c r="C801" s="4">
        <f>50.5327 * CHOOSE(CONTROL!$C$9, $C$13, 100%, $E$13) + CHOOSE(CONTROL!$C$28, 0.0226, 0)</f>
        <v>50.555299999999995</v>
      </c>
      <c r="D801" s="4">
        <f>73.0674 * CHOOSE(CONTROL!$C$9, $C$13, 100%, $E$13) + CHOOSE(CONTROL!$C$28, 0.0021, 0)</f>
        <v>73.069500000000005</v>
      </c>
      <c r="E801" s="4">
        <f>356.813571655251 * CHOOSE(CONTROL!$C$9, $C$13, 100%, $E$13) + CHOOSE(CONTROL!$C$28, 0.0021, 0)</f>
        <v>356.81567165525098</v>
      </c>
    </row>
    <row r="802" spans="1:5" ht="15">
      <c r="A802" s="13">
        <v>65561</v>
      </c>
      <c r="B802" s="4">
        <f>51.0546 * CHOOSE(CONTROL!$C$9, $C$13, 100%, $E$13) + CHOOSE(CONTROL!$C$28, 0.0226, 0)</f>
        <v>51.077199999999998</v>
      </c>
      <c r="C802" s="4">
        <f>50.6913 * CHOOSE(CONTROL!$C$9, $C$13, 100%, $E$13) + CHOOSE(CONTROL!$C$28, 0.0226, 0)</f>
        <v>50.713899999999995</v>
      </c>
      <c r="D802" s="4">
        <f>73.7246 * CHOOSE(CONTROL!$C$9, $C$13, 100%, $E$13) + CHOOSE(CONTROL!$C$28, 0.0021, 0)</f>
        <v>73.726699999999994</v>
      </c>
      <c r="E802" s="4">
        <f>357.942578409671 * CHOOSE(CONTROL!$C$9, $C$13, 100%, $E$13) + CHOOSE(CONTROL!$C$28, 0.0021, 0)</f>
        <v>357.94467840967098</v>
      </c>
    </row>
    <row r="803" spans="1:5" ht="15">
      <c r="A803" s="13">
        <v>65592</v>
      </c>
      <c r="B803" s="4">
        <f>51.0386 * CHOOSE(CONTROL!$C$9, $C$13, 100%, $E$13) + CHOOSE(CONTROL!$C$28, 0.0226, 0)</f>
        <v>51.061199999999999</v>
      </c>
      <c r="C803" s="4">
        <f>50.6753 * CHOOSE(CONTROL!$C$9, $C$13, 100%, $E$13) + CHOOSE(CONTROL!$C$28, 0.0226, 0)</f>
        <v>50.697899999999997</v>
      </c>
      <c r="D803" s="4">
        <f>74.9105 * CHOOSE(CONTROL!$C$9, $C$13, 100%, $E$13) + CHOOSE(CONTROL!$C$28, 0.0021, 0)</f>
        <v>74.912599999999998</v>
      </c>
      <c r="E803" s="4">
        <f>357.828728989057 * CHOOSE(CONTROL!$C$9, $C$13, 100%, $E$13) + CHOOSE(CONTROL!$C$28, 0.0021, 0)</f>
        <v>357.83082898905701</v>
      </c>
    </row>
    <row r="804" spans="1:5" ht="15">
      <c r="A804" s="13">
        <v>65623</v>
      </c>
      <c r="B804" s="4">
        <f>52.2421 * CHOOSE(CONTROL!$C$9, $C$13, 100%, $E$13) + CHOOSE(CONTROL!$C$28, 0.0226, 0)</f>
        <v>52.264699999999998</v>
      </c>
      <c r="C804" s="4">
        <f>51.8788 * CHOOSE(CONTROL!$C$9, $C$13, 100%, $E$13) + CHOOSE(CONTROL!$C$28, 0.0226, 0)</f>
        <v>51.901399999999995</v>
      </c>
      <c r="D804" s="4">
        <f>74.1274 * CHOOSE(CONTROL!$C$9, $C$13, 100%, $E$13) + CHOOSE(CONTROL!$C$28, 0.0021, 0)</f>
        <v>74.129499999999993</v>
      </c>
      <c r="E804" s="4">
        <f>366.395897890243 * CHOOSE(CONTROL!$C$9, $C$13, 100%, $E$13) + CHOOSE(CONTROL!$C$28, 0.0021, 0)</f>
        <v>366.397997890243</v>
      </c>
    </row>
    <row r="805" spans="1:5" ht="15">
      <c r="A805" s="13">
        <v>65653</v>
      </c>
      <c r="B805" s="4">
        <f>50.191 * CHOOSE(CONTROL!$C$9, $C$13, 100%, $E$13) + CHOOSE(CONTROL!$C$28, 0.0226, 0)</f>
        <v>50.2136</v>
      </c>
      <c r="C805" s="4">
        <f>49.8277 * CHOOSE(CONTROL!$C$9, $C$13, 100%, $E$13) + CHOOSE(CONTROL!$C$28, 0.0226, 0)</f>
        <v>49.850299999999997</v>
      </c>
      <c r="D805" s="4">
        <f>73.7573 * CHOOSE(CONTROL!$C$9, $C$13, 100%, $E$13) + CHOOSE(CONTROL!$C$28, 0.0021, 0)</f>
        <v>73.759399999999999</v>
      </c>
      <c r="E805" s="4">
        <f>351.794709696528 * CHOOSE(CONTROL!$C$9, $C$13, 100%, $E$13) + CHOOSE(CONTROL!$C$28, 0.0021, 0)</f>
        <v>351.79680969652799</v>
      </c>
    </row>
    <row r="806" spans="1:5" ht="15">
      <c r="A806" s="13">
        <v>65684</v>
      </c>
      <c r="B806" s="4">
        <f>48.5491 * CHOOSE(CONTROL!$C$9, $C$13, 100%, $E$13) + CHOOSE(CONTROL!$C$28, 0.0226, 0)</f>
        <v>48.5717</v>
      </c>
      <c r="C806" s="4">
        <f>48.1858 * CHOOSE(CONTROL!$C$9, $C$13, 100%, $E$13) + CHOOSE(CONTROL!$C$28, 0.0226, 0)</f>
        <v>48.208399999999997</v>
      </c>
      <c r="D806" s="4">
        <f>72.7665 * CHOOSE(CONTROL!$C$9, $C$13, 100%, $E$13) + CHOOSE(CONTROL!$C$28, 0.0021, 0)</f>
        <v>72.768599999999992</v>
      </c>
      <c r="E806" s="4">
        <f>340.106169180181 * CHOOSE(CONTROL!$C$9, $C$13, 100%, $E$13) + CHOOSE(CONTROL!$C$28, 0.0021, 0)</f>
        <v>340.10826918018097</v>
      </c>
    </row>
    <row r="807" spans="1:5" ht="15">
      <c r="A807" s="13">
        <v>65714</v>
      </c>
      <c r="B807" s="4">
        <f>47.4915 * CHOOSE(CONTROL!$C$9, $C$13, 100%, $E$13) + CHOOSE(CONTROL!$C$28, 0.0226, 0)</f>
        <v>47.514099999999999</v>
      </c>
      <c r="C807" s="4">
        <f>47.1283 * CHOOSE(CONTROL!$C$9, $C$13, 100%, $E$13) + CHOOSE(CONTROL!$C$28, 0.0226, 0)</f>
        <v>47.1509</v>
      </c>
      <c r="D807" s="4">
        <f>72.4259 * CHOOSE(CONTROL!$C$9, $C$13, 100%, $E$13) + CHOOSE(CONTROL!$C$28, 0.0021, 0)</f>
        <v>72.427999999999997</v>
      </c>
      <c r="E807" s="4">
        <f>332.577876242096 * CHOOSE(CONTROL!$C$9, $C$13, 100%, $E$13) + CHOOSE(CONTROL!$C$28, 0.0021, 0)</f>
        <v>332.579976242096</v>
      </c>
    </row>
    <row r="808" spans="1:5" ht="15">
      <c r="A808" s="13">
        <v>65745</v>
      </c>
      <c r="B808" s="4">
        <f>46.7599 * CHOOSE(CONTROL!$C$9, $C$13, 100%, $E$13) + CHOOSE(CONTROL!$C$28, 0.0226, 0)</f>
        <v>46.782499999999999</v>
      </c>
      <c r="C808" s="4">
        <f>46.3966 * CHOOSE(CONTROL!$C$9, $C$13, 100%, $E$13) + CHOOSE(CONTROL!$C$28, 0.0226, 0)</f>
        <v>46.419199999999996</v>
      </c>
      <c r="D808" s="4">
        <f>69.9182 * CHOOSE(CONTROL!$C$9, $C$13, 100%, $E$13) + CHOOSE(CONTROL!$C$28, 0.0021, 0)</f>
        <v>69.920299999999997</v>
      </c>
      <c r="E808" s="4">
        <f>327.369265249017 * CHOOSE(CONTROL!$C$9, $C$13, 100%, $E$13) + CHOOSE(CONTROL!$C$28, 0.0021, 0)</f>
        <v>327.371365249017</v>
      </c>
    </row>
    <row r="809" spans="1:5" ht="15">
      <c r="A809" s="13">
        <v>65776</v>
      </c>
      <c r="B809" s="4">
        <f>44.758 * CHOOSE(CONTROL!$C$9, $C$13, 100%, $E$13) + CHOOSE(CONTROL!$C$28, 0.0226, 0)</f>
        <v>44.7806</v>
      </c>
      <c r="C809" s="4">
        <f>44.3948 * CHOOSE(CONTROL!$C$9, $C$13, 100%, $E$13) + CHOOSE(CONTROL!$C$28, 0.0226, 0)</f>
        <v>44.417399999999994</v>
      </c>
      <c r="D809" s="4">
        <f>67.1557 * CHOOSE(CONTROL!$C$9, $C$13, 100%, $E$13) + CHOOSE(CONTROL!$C$28, 0.0021, 0)</f>
        <v>67.157799999999995</v>
      </c>
      <c r="E809" s="4">
        <f>313.73300511581 * CHOOSE(CONTROL!$C$9, $C$13, 100%, $E$13) + CHOOSE(CONTROL!$C$28, 0.0021, 0)</f>
        <v>313.73510511580997</v>
      </c>
    </row>
    <row r="810" spans="1:5" ht="15">
      <c r="A810" s="13">
        <v>65805</v>
      </c>
      <c r="B810" s="4">
        <f>45.8024 * CHOOSE(CONTROL!$C$9, $C$13, 100%, $E$13) + CHOOSE(CONTROL!$C$28, 0.0226, 0)</f>
        <v>45.824999999999996</v>
      </c>
      <c r="C810" s="4">
        <f>45.4391 * CHOOSE(CONTROL!$C$9, $C$13, 100%, $E$13) + CHOOSE(CONTROL!$C$28, 0.0226, 0)</f>
        <v>45.4617</v>
      </c>
      <c r="D810" s="4">
        <f>69.4605 * CHOOSE(CONTROL!$C$9, $C$13, 100%, $E$13) + CHOOSE(CONTROL!$C$28, 0.0021, 0)</f>
        <v>69.462599999999995</v>
      </c>
      <c r="E810" s="4">
        <f>321.182263050621 * CHOOSE(CONTROL!$C$9, $C$13, 100%, $E$13) + CHOOSE(CONTROL!$C$28, 0.0021, 0)</f>
        <v>321.18436305062096</v>
      </c>
    </row>
    <row r="811" spans="1:5" ht="15">
      <c r="A811" s="13">
        <v>65836</v>
      </c>
      <c r="B811" s="4">
        <f>48.545 * CHOOSE(CONTROL!$C$9, $C$13, 100%, $E$13) + CHOOSE(CONTROL!$C$28, 0.0226, 0)</f>
        <v>48.567599999999999</v>
      </c>
      <c r="C811" s="4">
        <f>48.1817 * CHOOSE(CONTROL!$C$9, $C$13, 100%, $E$13) + CHOOSE(CONTROL!$C$28, 0.0226, 0)</f>
        <v>48.204299999999996</v>
      </c>
      <c r="D811" s="4">
        <f>73.0686 * CHOOSE(CONTROL!$C$9, $C$13, 100%, $E$13) + CHOOSE(CONTROL!$C$28, 0.0021, 0)</f>
        <v>73.070700000000002</v>
      </c>
      <c r="E811" s="4">
        <f>340.744410265043 * CHOOSE(CONTROL!$C$9, $C$13, 100%, $E$13) + CHOOSE(CONTROL!$C$28, 0.0021, 0)</f>
        <v>340.74651026504296</v>
      </c>
    </row>
    <row r="812" spans="1:5" ht="15">
      <c r="A812" s="13">
        <v>65866</v>
      </c>
      <c r="B812" s="4">
        <f>50.4936 * CHOOSE(CONTROL!$C$9, $C$13, 100%, $E$13) + CHOOSE(CONTROL!$C$28, 0.0226, 0)</f>
        <v>50.516199999999998</v>
      </c>
      <c r="C812" s="4">
        <f>50.1303 * CHOOSE(CONTROL!$C$9, $C$13, 100%, $E$13) + CHOOSE(CONTROL!$C$28, 0.0226, 0)</f>
        <v>50.152899999999995</v>
      </c>
      <c r="D812" s="4">
        <f>75.1469 * CHOOSE(CONTROL!$C$9, $C$13, 100%, $E$13) + CHOOSE(CONTROL!$C$28, 0.0021, 0)</f>
        <v>75.149000000000001</v>
      </c>
      <c r="E812" s="4">
        <f>354.64357656078 * CHOOSE(CONTROL!$C$9, $C$13, 100%, $E$13) + CHOOSE(CONTROL!$C$28, 0.0021, 0)</f>
        <v>354.64567656077998</v>
      </c>
    </row>
    <row r="813" spans="1:5" ht="15">
      <c r="A813" s="13">
        <v>65897</v>
      </c>
      <c r="B813" s="4">
        <f>51.6842 * CHOOSE(CONTROL!$C$9, $C$13, 100%, $E$13) + CHOOSE(CONTROL!$C$28, 0.0226, 0)</f>
        <v>51.706799999999994</v>
      </c>
      <c r="C813" s="4">
        <f>51.3209 * CHOOSE(CONTROL!$C$9, $C$13, 100%, $E$13) + CHOOSE(CONTROL!$C$28, 0.0226, 0)</f>
        <v>51.343499999999999</v>
      </c>
      <c r="D813" s="4">
        <f>74.3256 * CHOOSE(CONTROL!$C$9, $C$13, 100%, $E$13) + CHOOSE(CONTROL!$C$28, 0.0021, 0)</f>
        <v>74.327699999999993</v>
      </c>
      <c r="E813" s="4">
        <f>363.13563405095 * CHOOSE(CONTROL!$C$9, $C$13, 100%, $E$13) + CHOOSE(CONTROL!$C$28, 0.0021, 0)</f>
        <v>363.13773405094997</v>
      </c>
    </row>
    <row r="814" spans="1:5" ht="15">
      <c r="A814" s="13">
        <v>65927</v>
      </c>
      <c r="B814" s="4">
        <f>51.8453 * CHOOSE(CONTROL!$C$9, $C$13, 100%, $E$13) + CHOOSE(CONTROL!$C$28, 0.0226, 0)</f>
        <v>51.867899999999999</v>
      </c>
      <c r="C814" s="4">
        <f>51.482 * CHOOSE(CONTROL!$C$9, $C$13, 100%, $E$13) + CHOOSE(CONTROL!$C$28, 0.0226, 0)</f>
        <v>51.504599999999996</v>
      </c>
      <c r="D814" s="4">
        <f>74.9945 * CHOOSE(CONTROL!$C$9, $C$13, 100%, $E$13) + CHOOSE(CONTROL!$C$28, 0.0021, 0)</f>
        <v>74.996600000000001</v>
      </c>
      <c r="E814" s="4">
        <f>364.284644672132 * CHOOSE(CONTROL!$C$9, $C$13, 100%, $E$13) + CHOOSE(CONTROL!$C$28, 0.0021, 0)</f>
        <v>364.28674467213199</v>
      </c>
    </row>
    <row r="815" spans="1:5" ht="15">
      <c r="A815" s="13">
        <v>65958</v>
      </c>
      <c r="B815" s="4">
        <f>51.829 * CHOOSE(CONTROL!$C$9, $C$13, 100%, $E$13) + CHOOSE(CONTROL!$C$28, 0.0226, 0)</f>
        <v>51.851599999999998</v>
      </c>
      <c r="C815" s="4">
        <f>51.4657 * CHOOSE(CONTROL!$C$9, $C$13, 100%, $E$13) + CHOOSE(CONTROL!$C$28, 0.0226, 0)</f>
        <v>51.488299999999995</v>
      </c>
      <c r="D815" s="4">
        <f>76.2014 * CHOOSE(CONTROL!$C$9, $C$13, 100%, $E$13) + CHOOSE(CONTROL!$C$28, 0.0021, 0)</f>
        <v>76.203500000000005</v>
      </c>
      <c r="E815" s="4">
        <f>364.16877805487 * CHOOSE(CONTROL!$C$9, $C$13, 100%, $E$13) + CHOOSE(CONTROL!$C$28, 0.0021, 0)</f>
        <v>364.17087805487</v>
      </c>
    </row>
    <row r="816" spans="1:5" ht="15">
      <c r="A816" s="13">
        <v>65989</v>
      </c>
      <c r="B816" s="4">
        <f>53.0514 * CHOOSE(CONTROL!$C$9, $C$13, 100%, $E$13) + CHOOSE(CONTROL!$C$28, 0.0226, 0)</f>
        <v>53.073999999999998</v>
      </c>
      <c r="C816" s="4">
        <f>52.6881 * CHOOSE(CONTROL!$C$9, $C$13, 100%, $E$13) + CHOOSE(CONTROL!$C$28, 0.0226, 0)</f>
        <v>52.710699999999996</v>
      </c>
      <c r="D816" s="4">
        <f>75.4043 * CHOOSE(CONTROL!$C$9, $C$13, 100%, $E$13) + CHOOSE(CONTROL!$C$28, 0.0021, 0)</f>
        <v>75.406400000000005</v>
      </c>
      <c r="E816" s="4">
        <f>372.887741003846 * CHOOSE(CONTROL!$C$9, $C$13, 100%, $E$13) + CHOOSE(CONTROL!$C$28, 0.0021, 0)</f>
        <v>372.88984100384596</v>
      </c>
    </row>
    <row r="817" spans="1:5" ht="15">
      <c r="A817" s="13">
        <v>66019</v>
      </c>
      <c r="B817" s="4">
        <f>50.9681 * CHOOSE(CONTROL!$C$9, $C$13, 100%, $E$13) + CHOOSE(CONTROL!$C$28, 0.0226, 0)</f>
        <v>50.990699999999997</v>
      </c>
      <c r="C817" s="4">
        <f>50.6048 * CHOOSE(CONTROL!$C$9, $C$13, 100%, $E$13) + CHOOSE(CONTROL!$C$28, 0.0226, 0)</f>
        <v>50.627399999999994</v>
      </c>
      <c r="D817" s="4">
        <f>75.0278 * CHOOSE(CONTROL!$C$9, $C$13, 100%, $E$13) + CHOOSE(CONTROL!$C$28, 0.0021, 0)</f>
        <v>75.029899999999998</v>
      </c>
      <c r="E817" s="4">
        <f>358.027847339978 * CHOOSE(CONTROL!$C$9, $C$13, 100%, $E$13) + CHOOSE(CONTROL!$C$28, 0.0021, 0)</f>
        <v>358.02994733997798</v>
      </c>
    </row>
    <row r="818" spans="1:5" ht="15">
      <c r="A818" s="13">
        <v>66050</v>
      </c>
      <c r="B818" s="4">
        <f>49.3003 * CHOOSE(CONTROL!$C$9, $C$13, 100%, $E$13) + CHOOSE(CONTROL!$C$28, 0.0226, 0)</f>
        <v>49.322899999999997</v>
      </c>
      <c r="C818" s="4">
        <f>48.9371 * CHOOSE(CONTROL!$C$9, $C$13, 100%, $E$13) + CHOOSE(CONTROL!$C$28, 0.0226, 0)</f>
        <v>48.959699999999998</v>
      </c>
      <c r="D818" s="4">
        <f>74.0195 * CHOOSE(CONTROL!$C$9, $C$13, 100%, $E$13) + CHOOSE(CONTROL!$C$28, 0.0021, 0)</f>
        <v>74.021599999999992</v>
      </c>
      <c r="E818" s="4">
        <f>346.132207967732 * CHOOSE(CONTROL!$C$9, $C$13, 100%, $E$13) + CHOOSE(CONTROL!$C$28, 0.0021, 0)</f>
        <v>346.13430796773196</v>
      </c>
    </row>
    <row r="819" spans="1:5" ht="15">
      <c r="A819" s="13">
        <v>66080</v>
      </c>
      <c r="B819" s="4">
        <f>48.2262 * CHOOSE(CONTROL!$C$9, $C$13, 100%, $E$13) + CHOOSE(CONTROL!$C$28, 0.0226, 0)</f>
        <v>48.248799999999996</v>
      </c>
      <c r="C819" s="4">
        <f>47.8629 * CHOOSE(CONTROL!$C$9, $C$13, 100%, $E$13) + CHOOSE(CONTROL!$C$28, 0.0226, 0)</f>
        <v>47.8855</v>
      </c>
      <c r="D819" s="4">
        <f>73.6728 * CHOOSE(CONTROL!$C$9, $C$13, 100%, $E$13) + CHOOSE(CONTROL!$C$28, 0.0021, 0)</f>
        <v>73.674899999999994</v>
      </c>
      <c r="E819" s="4">
        <f>338.470527901274 * CHOOSE(CONTROL!$C$9, $C$13, 100%, $E$13) + CHOOSE(CONTROL!$C$28, 0.0021, 0)</f>
        <v>338.472627901274</v>
      </c>
    </row>
    <row r="820" spans="1:5" ht="15">
      <c r="A820" s="13">
        <v>66111</v>
      </c>
      <c r="B820" s="4">
        <f>47.483 * CHOOSE(CONTROL!$C$9, $C$13, 100%, $E$13) + CHOOSE(CONTROL!$C$28, 0.0226, 0)</f>
        <v>47.505599999999994</v>
      </c>
      <c r="C820" s="4">
        <f>47.1197 * CHOOSE(CONTROL!$C$9, $C$13, 100%, $E$13) + CHOOSE(CONTROL!$C$28, 0.0226, 0)</f>
        <v>47.142299999999999</v>
      </c>
      <c r="D820" s="4">
        <f>71.1208 * CHOOSE(CONTROL!$C$9, $C$13, 100%, $E$13) + CHOOSE(CONTROL!$C$28, 0.0021, 0)</f>
        <v>71.122900000000001</v>
      </c>
      <c r="E820" s="4">
        <f>333.169630161532 * CHOOSE(CONTROL!$C$9, $C$13, 100%, $E$13) + CHOOSE(CONTROL!$C$28, 0.0021, 0)</f>
        <v>333.17173016153197</v>
      </c>
    </row>
    <row r="821" spans="1:5" ht="15">
      <c r="A821" s="13">
        <v>66142</v>
      </c>
      <c r="B821" s="4">
        <f>45.4497 * CHOOSE(CONTROL!$C$9, $C$13, 100%, $E$13) + CHOOSE(CONTROL!$C$28, 0.0226, 0)</f>
        <v>45.472299999999997</v>
      </c>
      <c r="C821" s="4">
        <f>45.0864 * CHOOSE(CONTROL!$C$9, $C$13, 100%, $E$13) + CHOOSE(CONTROL!$C$28, 0.0226, 0)</f>
        <v>45.108999999999995</v>
      </c>
      <c r="D821" s="4">
        <f>68.3095 * CHOOSE(CONTROL!$C$9, $C$13, 100%, $E$13) + CHOOSE(CONTROL!$C$28, 0.0021, 0)</f>
        <v>68.311599999999999</v>
      </c>
      <c r="E821" s="4">
        <f>319.291761260457 * CHOOSE(CONTROL!$C$9, $C$13, 100%, $E$13) + CHOOSE(CONTROL!$C$28, 0.0021, 0)</f>
        <v>319.29386126045699</v>
      </c>
    </row>
    <row r="822" spans="1:5" ht="15">
      <c r="A822" s="13">
        <v>66170</v>
      </c>
      <c r="B822" s="4">
        <f>46.5105 * CHOOSE(CONTROL!$C$9, $C$13, 100%, $E$13) + CHOOSE(CONTROL!$C$28, 0.0226, 0)</f>
        <v>46.533099999999997</v>
      </c>
      <c r="C822" s="4">
        <f>46.1472 * CHOOSE(CONTROL!$C$9, $C$13, 100%, $E$13) + CHOOSE(CONTROL!$C$28, 0.0226, 0)</f>
        <v>46.169799999999995</v>
      </c>
      <c r="D822" s="4">
        <f>70.6551 * CHOOSE(CONTROL!$C$9, $C$13, 100%, $E$13) + CHOOSE(CONTROL!$C$28, 0.0021, 0)</f>
        <v>70.657200000000003</v>
      </c>
      <c r="E822" s="4">
        <f>326.873005972696 * CHOOSE(CONTROL!$C$9, $C$13, 100%, $E$13) + CHOOSE(CONTROL!$C$28, 0.0021, 0)</f>
        <v>326.87510597269596</v>
      </c>
    </row>
    <row r="823" spans="1:5" ht="15">
      <c r="A823" s="13">
        <v>66201</v>
      </c>
      <c r="B823" s="4">
        <f>49.2962 * CHOOSE(CONTROL!$C$9, $C$13, 100%, $E$13) + CHOOSE(CONTROL!$C$28, 0.0226, 0)</f>
        <v>49.318799999999996</v>
      </c>
      <c r="C823" s="4">
        <f>48.9329 * CHOOSE(CONTROL!$C$9, $C$13, 100%, $E$13) + CHOOSE(CONTROL!$C$28, 0.0226, 0)</f>
        <v>48.955499999999994</v>
      </c>
      <c r="D823" s="4">
        <f>74.3268 * CHOOSE(CONTROL!$C$9, $C$13, 100%, $E$13) + CHOOSE(CONTROL!$C$28, 0.0021, 0)</f>
        <v>74.328900000000004</v>
      </c>
      <c r="E823" s="4">
        <f>346.78175747885 * CHOOSE(CONTROL!$C$9, $C$13, 100%, $E$13) + CHOOSE(CONTROL!$C$28, 0.0021, 0)</f>
        <v>346.78385747885</v>
      </c>
    </row>
    <row r="824" spans="1:5" ht="15">
      <c r="A824" s="13">
        <v>66231</v>
      </c>
      <c r="B824" s="4">
        <f>51.2755 * CHOOSE(CONTROL!$C$9, $C$13, 100%, $E$13) + CHOOSE(CONTROL!$C$28, 0.0226, 0)</f>
        <v>51.298099999999998</v>
      </c>
      <c r="C824" s="4">
        <f>50.9122 * CHOOSE(CONTROL!$C$9, $C$13, 100%, $E$13) + CHOOSE(CONTROL!$C$28, 0.0226, 0)</f>
        <v>50.934799999999996</v>
      </c>
      <c r="D824" s="4">
        <f>76.4419 * CHOOSE(CONTROL!$C$9, $C$13, 100%, $E$13) + CHOOSE(CONTROL!$C$28, 0.0021, 0)</f>
        <v>76.444000000000003</v>
      </c>
      <c r="E824" s="4">
        <f>360.92719074297 * CHOOSE(CONTROL!$C$9, $C$13, 100%, $E$13) + CHOOSE(CONTROL!$C$28, 0.0021, 0)</f>
        <v>360.92929074297001</v>
      </c>
    </row>
    <row r="825" spans="1:5" ht="15">
      <c r="A825" s="13">
        <v>66262</v>
      </c>
      <c r="B825" s="4">
        <f>52.4847 * CHOOSE(CONTROL!$C$9, $C$13, 100%, $E$13) + CHOOSE(CONTROL!$C$28, 0.0226, 0)</f>
        <v>52.507299999999994</v>
      </c>
      <c r="C825" s="4">
        <f>52.1215 * CHOOSE(CONTROL!$C$9, $C$13, 100%, $E$13) + CHOOSE(CONTROL!$C$28, 0.0226, 0)</f>
        <v>52.144099999999995</v>
      </c>
      <c r="D825" s="4">
        <f>75.6061 * CHOOSE(CONTROL!$C$9, $C$13, 100%, $E$13) + CHOOSE(CONTROL!$C$28, 0.0021, 0)</f>
        <v>75.608199999999997</v>
      </c>
      <c r="E825" s="4">
        <f>369.569711448627 * CHOOSE(CONTROL!$C$9, $C$13, 100%, $E$13) + CHOOSE(CONTROL!$C$28, 0.0021, 0)</f>
        <v>369.57181144862699</v>
      </c>
    </row>
    <row r="826" spans="1:5" ht="15">
      <c r="A826" s="13">
        <v>66292</v>
      </c>
      <c r="B826" s="4">
        <f>52.6484 * CHOOSE(CONTROL!$C$9, $C$13, 100%, $E$13) + CHOOSE(CONTROL!$C$28, 0.0226, 0)</f>
        <v>52.670999999999999</v>
      </c>
      <c r="C826" s="4">
        <f>52.2851 * CHOOSE(CONTROL!$C$9, $C$13, 100%, $E$13) + CHOOSE(CONTROL!$C$28, 0.0226, 0)</f>
        <v>52.307699999999997</v>
      </c>
      <c r="D826" s="4">
        <f>76.2868 * CHOOSE(CONTROL!$C$9, $C$13, 100%, $E$13) + CHOOSE(CONTROL!$C$28, 0.0021, 0)</f>
        <v>76.288899999999998</v>
      </c>
      <c r="E826" s="4">
        <f>370.739080367301 * CHOOSE(CONTROL!$C$9, $C$13, 100%, $E$13) + CHOOSE(CONTROL!$C$28, 0.0021, 0)</f>
        <v>370.74118036730101</v>
      </c>
    </row>
    <row r="827" spans="1:5" ht="15">
      <c r="A827" s="13">
        <v>66323</v>
      </c>
      <c r="B827" s="4">
        <f>52.6319 * CHOOSE(CONTROL!$C$9, $C$13, 100%, $E$13) + CHOOSE(CONTROL!$C$28, 0.0226, 0)</f>
        <v>52.654499999999999</v>
      </c>
      <c r="C827" s="4">
        <f>52.2686 * CHOOSE(CONTROL!$C$9, $C$13, 100%, $E$13) + CHOOSE(CONTROL!$C$28, 0.0226, 0)</f>
        <v>52.291199999999996</v>
      </c>
      <c r="D827" s="4">
        <f>77.515 * CHOOSE(CONTROL!$C$9, $C$13, 100%, $E$13) + CHOOSE(CONTROL!$C$28, 0.0021, 0)</f>
        <v>77.517099999999999</v>
      </c>
      <c r="E827" s="4">
        <f>370.621160812476 * CHOOSE(CONTROL!$C$9, $C$13, 100%, $E$13) + CHOOSE(CONTROL!$C$28, 0.0021, 0)</f>
        <v>370.62326081247596</v>
      </c>
    </row>
    <row r="828" spans="1:5" ht="15">
      <c r="A828" s="13">
        <v>66354</v>
      </c>
      <c r="B828" s="4">
        <f>53.8735 * CHOOSE(CONTROL!$C$9, $C$13, 100%, $E$13) + CHOOSE(CONTROL!$C$28, 0.0226, 0)</f>
        <v>53.896099999999997</v>
      </c>
      <c r="C828" s="4">
        <f>53.5102 * CHOOSE(CONTROL!$C$9, $C$13, 100%, $E$13) + CHOOSE(CONTROL!$C$28, 0.0226, 0)</f>
        <v>53.532799999999995</v>
      </c>
      <c r="D828" s="4">
        <f>76.7039 * CHOOSE(CONTROL!$C$9, $C$13, 100%, $E$13) + CHOOSE(CONTROL!$C$28, 0.0021, 0)</f>
        <v>76.706000000000003</v>
      </c>
      <c r="E828" s="4">
        <f>379.494607312998 * CHOOSE(CONTROL!$C$9, $C$13, 100%, $E$13) + CHOOSE(CONTROL!$C$28, 0.0021, 0)</f>
        <v>379.49670731299801</v>
      </c>
    </row>
    <row r="829" spans="1:5" ht="15">
      <c r="A829" s="13">
        <v>66384</v>
      </c>
      <c r="B829" s="4">
        <f>51.7574 * CHOOSE(CONTROL!$C$9, $C$13, 100%, $E$13) + CHOOSE(CONTROL!$C$28, 0.0226, 0)</f>
        <v>51.779999999999994</v>
      </c>
      <c r="C829" s="4">
        <f>51.3941 * CHOOSE(CONTROL!$C$9, $C$13, 100%, $E$13) + CHOOSE(CONTROL!$C$28, 0.0226, 0)</f>
        <v>51.416699999999999</v>
      </c>
      <c r="D829" s="4">
        <f>76.3207 * CHOOSE(CONTROL!$C$9, $C$13, 100%, $E$13) + CHOOSE(CONTROL!$C$28, 0.0021, 0)</f>
        <v>76.322800000000001</v>
      </c>
      <c r="E829" s="4">
        <f>364.371424406794 * CHOOSE(CONTROL!$C$9, $C$13, 100%, $E$13) + CHOOSE(CONTROL!$C$28, 0.0021, 0)</f>
        <v>364.37352440679399</v>
      </c>
    </row>
    <row r="830" spans="1:5" ht="15">
      <c r="A830" s="13">
        <v>66415</v>
      </c>
      <c r="B830" s="4">
        <f>50.0634 * CHOOSE(CONTROL!$C$9, $C$13, 100%, $E$13) + CHOOSE(CONTROL!$C$28, 0.0226, 0)</f>
        <v>50.085999999999999</v>
      </c>
      <c r="C830" s="4">
        <f>49.7001 * CHOOSE(CONTROL!$C$9, $C$13, 100%, $E$13) + CHOOSE(CONTROL!$C$28, 0.0226, 0)</f>
        <v>49.722699999999996</v>
      </c>
      <c r="D830" s="4">
        <f>75.2946 * CHOOSE(CONTROL!$C$9, $C$13, 100%, $E$13) + CHOOSE(CONTROL!$C$28, 0.0021, 0)</f>
        <v>75.296700000000001</v>
      </c>
      <c r="E830" s="4">
        <f>352.265016778175 * CHOOSE(CONTROL!$C$9, $C$13, 100%, $E$13) + CHOOSE(CONTROL!$C$28, 0.0021, 0)</f>
        <v>352.26711677817497</v>
      </c>
    </row>
    <row r="831" spans="1:5" ht="15">
      <c r="A831" s="13">
        <v>66445</v>
      </c>
      <c r="B831" s="4">
        <f>48.9724 * CHOOSE(CONTROL!$C$9, $C$13, 100%, $E$13) + CHOOSE(CONTROL!$C$28, 0.0226, 0)</f>
        <v>48.994999999999997</v>
      </c>
      <c r="C831" s="4">
        <f>48.6091 * CHOOSE(CONTROL!$C$9, $C$13, 100%, $E$13) + CHOOSE(CONTROL!$C$28, 0.0226, 0)</f>
        <v>48.631699999999995</v>
      </c>
      <c r="D831" s="4">
        <f>74.9418 * CHOOSE(CONTROL!$C$9, $C$13, 100%, $E$13) + CHOOSE(CONTROL!$C$28, 0.0021, 0)</f>
        <v>74.943899999999999</v>
      </c>
      <c r="E831" s="4">
        <f>344.467586215425 * CHOOSE(CONTROL!$C$9, $C$13, 100%, $E$13) + CHOOSE(CONTROL!$C$28, 0.0021, 0)</f>
        <v>344.46968621542499</v>
      </c>
    </row>
    <row r="832" spans="1:5" ht="15">
      <c r="A832" s="13">
        <v>66476</v>
      </c>
      <c r="B832" s="4">
        <f>48.2175 * CHOOSE(CONTROL!$C$9, $C$13, 100%, $E$13) + CHOOSE(CONTROL!$C$28, 0.0226, 0)</f>
        <v>48.240099999999998</v>
      </c>
      <c r="C832" s="4">
        <f>47.8542 * CHOOSE(CONTROL!$C$9, $C$13, 100%, $E$13) + CHOOSE(CONTROL!$C$28, 0.0226, 0)</f>
        <v>47.876799999999996</v>
      </c>
      <c r="D832" s="4">
        <f>72.3446 * CHOOSE(CONTROL!$C$9, $C$13, 100%, $E$13) + CHOOSE(CONTROL!$C$28, 0.0021, 0)</f>
        <v>72.346699999999998</v>
      </c>
      <c r="E832" s="4">
        <f>339.072766582217 * CHOOSE(CONTROL!$C$9, $C$13, 100%, $E$13) + CHOOSE(CONTROL!$C$28, 0.0021, 0)</f>
        <v>339.074866582217</v>
      </c>
    </row>
    <row r="833" spans="1:5" ht="15">
      <c r="A833" s="13">
        <v>66507</v>
      </c>
      <c r="B833" s="4">
        <f>46.1522 * CHOOSE(CONTROL!$C$9, $C$13, 100%, $E$13) + CHOOSE(CONTROL!$C$28, 0.0226, 0)</f>
        <v>46.174799999999998</v>
      </c>
      <c r="C833" s="4">
        <f>45.789 * CHOOSE(CONTROL!$C$9, $C$13, 100%, $E$13) + CHOOSE(CONTROL!$C$28, 0.0226, 0)</f>
        <v>45.811599999999999</v>
      </c>
      <c r="D833" s="4">
        <f>69.4837 * CHOOSE(CONTROL!$C$9, $C$13, 100%, $E$13) + CHOOSE(CONTROL!$C$28, 0.0021, 0)</f>
        <v>69.485799999999998</v>
      </c>
      <c r="E833" s="4">
        <f>324.949008062356 * CHOOSE(CONTROL!$C$9, $C$13, 100%, $E$13) + CHOOSE(CONTROL!$C$28, 0.0021, 0)</f>
        <v>324.95110806235596</v>
      </c>
    </row>
    <row r="834" spans="1:5" ht="15">
      <c r="A834" s="13">
        <v>66535</v>
      </c>
      <c r="B834" s="4">
        <f>47.2297 * CHOOSE(CONTROL!$C$9, $C$13, 100%, $E$13) + CHOOSE(CONTROL!$C$28, 0.0226, 0)</f>
        <v>47.252299999999998</v>
      </c>
      <c r="C834" s="4">
        <f>46.8664 * CHOOSE(CONTROL!$C$9, $C$13, 100%, $E$13) + CHOOSE(CONTROL!$C$28, 0.0226, 0)</f>
        <v>46.888999999999996</v>
      </c>
      <c r="D834" s="4">
        <f>71.8707 * CHOOSE(CONTROL!$C$9, $C$13, 100%, $E$13) + CHOOSE(CONTROL!$C$28, 0.0021, 0)</f>
        <v>71.872799999999998</v>
      </c>
      <c r="E834" s="4">
        <f>332.664578108371 * CHOOSE(CONTROL!$C$9, $C$13, 100%, $E$13) + CHOOSE(CONTROL!$C$28, 0.0021, 0)</f>
        <v>332.666678108371</v>
      </c>
    </row>
    <row r="835" spans="1:5" ht="15">
      <c r="A835" s="13">
        <v>66566</v>
      </c>
      <c r="B835" s="4">
        <f>50.0592 * CHOOSE(CONTROL!$C$9, $C$13, 100%, $E$13) + CHOOSE(CONTROL!$C$28, 0.0226, 0)</f>
        <v>50.081799999999994</v>
      </c>
      <c r="C835" s="4">
        <f>49.6959 * CHOOSE(CONTROL!$C$9, $C$13, 100%, $E$13) + CHOOSE(CONTROL!$C$28, 0.0226, 0)</f>
        <v>49.718499999999999</v>
      </c>
      <c r="D835" s="4">
        <f>75.6073 * CHOOSE(CONTROL!$C$9, $C$13, 100%, $E$13) + CHOOSE(CONTROL!$C$28, 0.0021, 0)</f>
        <v>75.609399999999994</v>
      </c>
      <c r="E835" s="4">
        <f>352.926075079497 * CHOOSE(CONTROL!$C$9, $C$13, 100%, $E$13) + CHOOSE(CONTROL!$C$28, 0.0021, 0)</f>
        <v>352.92817507949701</v>
      </c>
    </row>
    <row r="836" spans="1:5" ht="15">
      <c r="A836" s="13">
        <v>66596</v>
      </c>
      <c r="B836" s="4">
        <f>52.0696 * CHOOSE(CONTROL!$C$9, $C$13, 100%, $E$13) + CHOOSE(CONTROL!$C$28, 0.0226, 0)</f>
        <v>52.092199999999998</v>
      </c>
      <c r="C836" s="4">
        <f>51.7063 * CHOOSE(CONTROL!$C$9, $C$13, 100%, $E$13) + CHOOSE(CONTROL!$C$28, 0.0226, 0)</f>
        <v>51.728899999999996</v>
      </c>
      <c r="D836" s="4">
        <f>77.7598 * CHOOSE(CONTROL!$C$9, $C$13, 100%, $E$13) + CHOOSE(CONTROL!$C$28, 0.0021, 0)</f>
        <v>77.761899999999997</v>
      </c>
      <c r="E836" s="4">
        <f>367.322138697433 * CHOOSE(CONTROL!$C$9, $C$13, 100%, $E$13) + CHOOSE(CONTROL!$C$28, 0.0021, 0)</f>
        <v>367.32423869743297</v>
      </c>
    </row>
    <row r="837" spans="1:5" ht="15">
      <c r="A837" s="13">
        <v>66627</v>
      </c>
      <c r="B837" s="4">
        <f>53.2979 * CHOOSE(CONTROL!$C$9, $C$13, 100%, $E$13) + CHOOSE(CONTROL!$C$28, 0.0226, 0)</f>
        <v>53.320499999999996</v>
      </c>
      <c r="C837" s="4">
        <f>52.9346 * CHOOSE(CONTROL!$C$9, $C$13, 100%, $E$13) + CHOOSE(CONTROL!$C$28, 0.0226, 0)</f>
        <v>52.9572</v>
      </c>
      <c r="D837" s="4">
        <f>76.9092 * CHOOSE(CONTROL!$C$9, $C$13, 100%, $E$13) + CHOOSE(CONTROL!$C$28, 0.0021, 0)</f>
        <v>76.911299999999997</v>
      </c>
      <c r="E837" s="4">
        <f>376.1177885425 * CHOOSE(CONTROL!$C$9, $C$13, 100%, $E$13) + CHOOSE(CONTROL!$C$28, 0.0021, 0)</f>
        <v>376.11988854250001</v>
      </c>
    </row>
    <row r="838" spans="1:5" ht="15">
      <c r="A838" s="13">
        <v>66657</v>
      </c>
      <c r="B838" s="4">
        <f>53.4641 * CHOOSE(CONTROL!$C$9, $C$13, 100%, $E$13) + CHOOSE(CONTROL!$C$28, 0.0226, 0)</f>
        <v>53.486699999999999</v>
      </c>
      <c r="C838" s="4">
        <f>53.1008 * CHOOSE(CONTROL!$C$9, $C$13, 100%, $E$13) + CHOOSE(CONTROL!$C$28, 0.0226, 0)</f>
        <v>53.123399999999997</v>
      </c>
      <c r="D838" s="4">
        <f>77.6019 * CHOOSE(CONTROL!$C$9, $C$13, 100%, $E$13) + CHOOSE(CONTROL!$C$28, 0.0021, 0)</f>
        <v>77.603999999999999</v>
      </c>
      <c r="E838" s="4">
        <f>377.307876469234 * CHOOSE(CONTROL!$C$9, $C$13, 100%, $E$13) + CHOOSE(CONTROL!$C$28, 0.0021, 0)</f>
        <v>377.30997646923396</v>
      </c>
    </row>
    <row r="839" spans="1:5" ht="15">
      <c r="A839" s="13">
        <v>66688</v>
      </c>
      <c r="B839" s="4">
        <f>53.4473 * CHOOSE(CONTROL!$C$9, $C$13, 100%, $E$13) + CHOOSE(CONTROL!$C$28, 0.0226, 0)</f>
        <v>53.469899999999996</v>
      </c>
      <c r="C839" s="4">
        <f>53.0841 * CHOOSE(CONTROL!$C$9, $C$13, 100%, $E$13) + CHOOSE(CONTROL!$C$28, 0.0226, 0)</f>
        <v>53.106699999999996</v>
      </c>
      <c r="D839" s="4">
        <f>78.8518 * CHOOSE(CONTROL!$C$9, $C$13, 100%, $E$13) + CHOOSE(CONTROL!$C$28, 0.0021, 0)</f>
        <v>78.853899999999996</v>
      </c>
      <c r="E839" s="4">
        <f>377.187867602673 * CHOOSE(CONTROL!$C$9, $C$13, 100%, $E$13) + CHOOSE(CONTROL!$C$28, 0.0021, 0)</f>
        <v>377.18996760267299</v>
      </c>
    </row>
    <row r="840" spans="1:5" ht="15">
      <c r="A840" s="13">
        <v>66719</v>
      </c>
      <c r="B840" s="4">
        <f>54.7085 * CHOOSE(CONTROL!$C$9, $C$13, 100%, $E$13) + CHOOSE(CONTROL!$C$28, 0.0226, 0)</f>
        <v>54.731099999999998</v>
      </c>
      <c r="C840" s="4">
        <f>54.3452 * CHOOSE(CONTROL!$C$9, $C$13, 100%, $E$13) + CHOOSE(CONTROL!$C$28, 0.0226, 0)</f>
        <v>54.367799999999995</v>
      </c>
      <c r="D840" s="4">
        <f>78.0264 * CHOOSE(CONTROL!$C$9, $C$13, 100%, $E$13) + CHOOSE(CONTROL!$C$28, 0.0021, 0)</f>
        <v>78.028499999999994</v>
      </c>
      <c r="E840" s="4">
        <f>386.218534811423 * CHOOSE(CONTROL!$C$9, $C$13, 100%, $E$13) + CHOOSE(CONTROL!$C$28, 0.0021, 0)</f>
        <v>386.220634811423</v>
      </c>
    </row>
    <row r="841" spans="1:5" ht="15">
      <c r="A841" s="13">
        <v>66749</v>
      </c>
      <c r="B841" s="4">
        <f>52.5591 * CHOOSE(CONTROL!$C$9, $C$13, 100%, $E$13) + CHOOSE(CONTROL!$C$28, 0.0226, 0)</f>
        <v>52.581699999999998</v>
      </c>
      <c r="C841" s="4">
        <f>52.1958 * CHOOSE(CONTROL!$C$9, $C$13, 100%, $E$13) + CHOOSE(CONTROL!$C$28, 0.0226, 0)</f>
        <v>52.218399999999995</v>
      </c>
      <c r="D841" s="4">
        <f>77.6364 * CHOOSE(CONTROL!$C$9, $C$13, 100%, $E$13) + CHOOSE(CONTROL!$C$28, 0.0021, 0)</f>
        <v>77.638499999999993</v>
      </c>
      <c r="E841" s="4">
        <f>370.827397674915 * CHOOSE(CONTROL!$C$9, $C$13, 100%, $E$13) + CHOOSE(CONTROL!$C$28, 0.0021, 0)</f>
        <v>370.82949767491499</v>
      </c>
    </row>
    <row r="842" spans="1:5" ht="15">
      <c r="A842" s="13">
        <v>66780</v>
      </c>
      <c r="B842" s="4">
        <f>50.8385 * CHOOSE(CONTROL!$C$9, $C$13, 100%, $E$13) + CHOOSE(CONTROL!$C$28, 0.0226, 0)</f>
        <v>50.8611</v>
      </c>
      <c r="C842" s="4">
        <f>50.4752 * CHOOSE(CONTROL!$C$9, $C$13, 100%, $E$13) + CHOOSE(CONTROL!$C$28, 0.0226, 0)</f>
        <v>50.497799999999998</v>
      </c>
      <c r="D842" s="4">
        <f>76.5922 * CHOOSE(CONTROL!$C$9, $C$13, 100%, $E$13) + CHOOSE(CONTROL!$C$28, 0.0021, 0)</f>
        <v>76.594300000000004</v>
      </c>
      <c r="E842" s="4">
        <f>358.506487374605 * CHOOSE(CONTROL!$C$9, $C$13, 100%, $E$13) + CHOOSE(CONTROL!$C$28, 0.0021, 0)</f>
        <v>358.50858737460499</v>
      </c>
    </row>
    <row r="843" spans="1:5" ht="15">
      <c r="A843" s="13">
        <v>66810</v>
      </c>
      <c r="B843" s="4">
        <f>49.7303 * CHOOSE(CONTROL!$C$9, $C$13, 100%, $E$13) + CHOOSE(CONTROL!$C$28, 0.0226, 0)</f>
        <v>49.752899999999997</v>
      </c>
      <c r="C843" s="4">
        <f>49.367 * CHOOSE(CONTROL!$C$9, $C$13, 100%, $E$13) + CHOOSE(CONTROL!$C$28, 0.0226, 0)</f>
        <v>49.389599999999994</v>
      </c>
      <c r="D843" s="4">
        <f>76.2332 * CHOOSE(CONTROL!$C$9, $C$13, 100%, $E$13) + CHOOSE(CONTROL!$C$28, 0.0021, 0)</f>
        <v>76.235299999999995</v>
      </c>
      <c r="E843" s="4">
        <f>350.570901073228 * CHOOSE(CONTROL!$C$9, $C$13, 100%, $E$13) + CHOOSE(CONTROL!$C$28, 0.0021, 0)</f>
        <v>350.573001073228</v>
      </c>
    </row>
    <row r="844" spans="1:5" ht="15">
      <c r="A844" s="13">
        <v>66841</v>
      </c>
      <c r="B844" s="4">
        <f>48.9636 * CHOOSE(CONTROL!$C$9, $C$13, 100%, $E$13) + CHOOSE(CONTROL!$C$28, 0.0226, 0)</f>
        <v>48.986199999999997</v>
      </c>
      <c r="C844" s="4">
        <f>48.6003 * CHOOSE(CONTROL!$C$9, $C$13, 100%, $E$13) + CHOOSE(CONTROL!$C$28, 0.0226, 0)</f>
        <v>48.622899999999994</v>
      </c>
      <c r="D844" s="4">
        <f>73.5901 * CHOOSE(CONTROL!$C$9, $C$13, 100%, $E$13) + CHOOSE(CONTROL!$C$28, 0.0021, 0)</f>
        <v>73.592200000000005</v>
      </c>
      <c r="E844" s="4">
        <f>345.080495428042 * CHOOSE(CONTROL!$C$9, $C$13, 100%, $E$13) + CHOOSE(CONTROL!$C$28, 0.0021, 0)</f>
        <v>345.082595428042</v>
      </c>
    </row>
    <row r="845" spans="1:5" ht="15">
      <c r="A845" s="13">
        <v>66872</v>
      </c>
      <c r="B845" s="4">
        <f>46.8658 * CHOOSE(CONTROL!$C$9, $C$13, 100%, $E$13) + CHOOSE(CONTROL!$C$28, 0.0226, 0)</f>
        <v>46.888399999999997</v>
      </c>
      <c r="C845" s="4">
        <f>46.5025 * CHOOSE(CONTROL!$C$9, $C$13, 100%, $E$13) + CHOOSE(CONTROL!$C$28, 0.0226, 0)</f>
        <v>46.525099999999995</v>
      </c>
      <c r="D845" s="4">
        <f>70.6786 * CHOOSE(CONTROL!$C$9, $C$13, 100%, $E$13) + CHOOSE(CONTROL!$C$28, 0.0021, 0)</f>
        <v>70.680700000000002</v>
      </c>
      <c r="E845" s="4">
        <f>330.706490589886 * CHOOSE(CONTROL!$C$9, $C$13, 100%, $E$13) + CHOOSE(CONTROL!$C$28, 0.0021, 0)</f>
        <v>330.708590589886</v>
      </c>
    </row>
    <row r="846" spans="1:5" ht="15">
      <c r="A846" s="13">
        <v>66900</v>
      </c>
      <c r="B846" s="4">
        <f>47.9602 * CHOOSE(CONTROL!$C$9, $C$13, 100%, $E$13) + CHOOSE(CONTROL!$C$28, 0.0226, 0)</f>
        <v>47.982799999999997</v>
      </c>
      <c r="C846" s="4">
        <f>47.5969 * CHOOSE(CONTROL!$C$9, $C$13, 100%, $E$13) + CHOOSE(CONTROL!$C$28, 0.0226, 0)</f>
        <v>47.619499999999995</v>
      </c>
      <c r="D846" s="4">
        <f>73.1078 * CHOOSE(CONTROL!$C$9, $C$13, 100%, $E$13) + CHOOSE(CONTROL!$C$28, 0.0021, 0)</f>
        <v>73.109899999999996</v>
      </c>
      <c r="E846" s="4">
        <f>338.558765960821 * CHOOSE(CONTROL!$C$9, $C$13, 100%, $E$13) + CHOOSE(CONTROL!$C$28, 0.0021, 0)</f>
        <v>338.56086596082099</v>
      </c>
    </row>
    <row r="847" spans="1:5" ht="15">
      <c r="A847" s="13">
        <v>66931</v>
      </c>
      <c r="B847" s="4">
        <f>50.8342 * CHOOSE(CONTROL!$C$9, $C$13, 100%, $E$13) + CHOOSE(CONTROL!$C$28, 0.0226, 0)</f>
        <v>50.8568</v>
      </c>
      <c r="C847" s="4">
        <f>50.4709 * CHOOSE(CONTROL!$C$9, $C$13, 100%, $E$13) + CHOOSE(CONTROL!$C$28, 0.0226, 0)</f>
        <v>50.493499999999997</v>
      </c>
      <c r="D847" s="4">
        <f>76.9105 * CHOOSE(CONTROL!$C$9, $C$13, 100%, $E$13) + CHOOSE(CONTROL!$C$28, 0.0021, 0)</f>
        <v>76.912599999999998</v>
      </c>
      <c r="E847" s="4">
        <f>359.179258380152 * CHOOSE(CONTROL!$C$9, $C$13, 100%, $E$13) + CHOOSE(CONTROL!$C$28, 0.0021, 0)</f>
        <v>359.18135838015201</v>
      </c>
    </row>
    <row r="848" spans="1:5" ht="15">
      <c r="A848" s="13">
        <v>66961</v>
      </c>
      <c r="B848" s="4">
        <f>52.8762 * CHOOSE(CONTROL!$C$9, $C$13, 100%, $E$13) + CHOOSE(CONTROL!$C$28, 0.0226, 0)</f>
        <v>52.898799999999994</v>
      </c>
      <c r="C848" s="4">
        <f>52.5129 * CHOOSE(CONTROL!$C$9, $C$13, 100%, $E$13) + CHOOSE(CONTROL!$C$28, 0.0226, 0)</f>
        <v>52.535499999999999</v>
      </c>
      <c r="D848" s="4">
        <f>79.1009 * CHOOSE(CONTROL!$C$9, $C$13, 100%, $E$13) + CHOOSE(CONTROL!$C$28, 0.0021, 0)</f>
        <v>79.102999999999994</v>
      </c>
      <c r="E848" s="4">
        <f>373.83039304828 * CHOOSE(CONTROL!$C$9, $C$13, 100%, $E$13) + CHOOSE(CONTROL!$C$28, 0.0021, 0)</f>
        <v>373.83249304827996</v>
      </c>
    </row>
    <row r="849" spans="1:5" ht="15">
      <c r="A849" s="13">
        <v>66992</v>
      </c>
      <c r="B849" s="4">
        <f>54.1238 * CHOOSE(CONTROL!$C$9, $C$13, 100%, $E$13) + CHOOSE(CONTROL!$C$28, 0.0226, 0)</f>
        <v>54.1464</v>
      </c>
      <c r="C849" s="4">
        <f>53.7606 * CHOOSE(CONTROL!$C$9, $C$13, 100%, $E$13) + CHOOSE(CONTROL!$C$28, 0.0226, 0)</f>
        <v>53.783199999999994</v>
      </c>
      <c r="D849" s="4">
        <f>78.2354 * CHOOSE(CONTROL!$C$9, $C$13, 100%, $E$13) + CHOOSE(CONTROL!$C$28, 0.0021, 0)</f>
        <v>78.237499999999997</v>
      </c>
      <c r="E849" s="4">
        <f>382.781885191814 * CHOOSE(CONTROL!$C$9, $C$13, 100%, $E$13) + CHOOSE(CONTROL!$C$28, 0.0021, 0)</f>
        <v>382.783985191814</v>
      </c>
    </row>
    <row r="850" spans="1:5" ht="15">
      <c r="A850" s="13">
        <v>67022</v>
      </c>
      <c r="B850" s="4">
        <f>54.2927 * CHOOSE(CONTROL!$C$9, $C$13, 100%, $E$13) + CHOOSE(CONTROL!$C$28, 0.0226, 0)</f>
        <v>54.315300000000001</v>
      </c>
      <c r="C850" s="4">
        <f>53.9294 * CHOOSE(CONTROL!$C$9, $C$13, 100%, $E$13) + CHOOSE(CONTROL!$C$28, 0.0226, 0)</f>
        <v>53.951999999999998</v>
      </c>
      <c r="D850" s="4">
        <f>78.9403 * CHOOSE(CONTROL!$C$9, $C$13, 100%, $E$13) + CHOOSE(CONTROL!$C$28, 0.0021, 0)</f>
        <v>78.942399999999992</v>
      </c>
      <c r="E850" s="4">
        <f>383.99305922829 * CHOOSE(CONTROL!$C$9, $C$13, 100%, $E$13) + CHOOSE(CONTROL!$C$28, 0.0021, 0)</f>
        <v>383.99515922828999</v>
      </c>
    </row>
    <row r="851" spans="1:5" ht="15">
      <c r="A851" s="13">
        <v>67053</v>
      </c>
      <c r="B851" s="4">
        <f>54.2756 * CHOOSE(CONTROL!$C$9, $C$13, 100%, $E$13) + CHOOSE(CONTROL!$C$28, 0.0226, 0)</f>
        <v>54.298199999999994</v>
      </c>
      <c r="C851" s="4">
        <f>53.9123 * CHOOSE(CONTROL!$C$9, $C$13, 100%, $E$13) + CHOOSE(CONTROL!$C$28, 0.0226, 0)</f>
        <v>53.934899999999999</v>
      </c>
      <c r="D851" s="4">
        <f>80.2123 * CHOOSE(CONTROL!$C$9, $C$13, 100%, $E$13) + CHOOSE(CONTROL!$C$28, 0.0021, 0)</f>
        <v>80.214399999999998</v>
      </c>
      <c r="E851" s="4">
        <f>383.870924031335 * CHOOSE(CONTROL!$C$9, $C$13, 100%, $E$13) + CHOOSE(CONTROL!$C$28, 0.0021, 0)</f>
        <v>383.87302403133498</v>
      </c>
    </row>
    <row r="852" spans="1:5" ht="15">
      <c r="A852" s="13">
        <v>67084</v>
      </c>
      <c r="B852" s="4">
        <f>55.5566 * CHOOSE(CONTROL!$C$9, $C$13, 100%, $E$13) + CHOOSE(CONTROL!$C$28, 0.0226, 0)</f>
        <v>55.5792</v>
      </c>
      <c r="C852" s="4">
        <f>55.1933 * CHOOSE(CONTROL!$C$9, $C$13, 100%, $E$13) + CHOOSE(CONTROL!$C$28, 0.0226, 0)</f>
        <v>55.215899999999998</v>
      </c>
      <c r="D852" s="4">
        <f>79.3723 * CHOOSE(CONTROL!$C$9, $C$13, 100%, $E$13) + CHOOSE(CONTROL!$C$28, 0.0021, 0)</f>
        <v>79.374399999999994</v>
      </c>
      <c r="E852" s="4">
        <f>393.061597602241 * CHOOSE(CONTROL!$C$9, $C$13, 100%, $E$13) + CHOOSE(CONTROL!$C$28, 0.0021, 0)</f>
        <v>393.06369760224101</v>
      </c>
    </row>
    <row r="853" spans="1:5" ht="15">
      <c r="A853" s="13">
        <v>67114</v>
      </c>
      <c r="B853" s="4">
        <f>53.3734 * CHOOSE(CONTROL!$C$9, $C$13, 100%, $E$13) + CHOOSE(CONTROL!$C$28, 0.0226, 0)</f>
        <v>53.395999999999994</v>
      </c>
      <c r="C853" s="4">
        <f>53.0101 * CHOOSE(CONTROL!$C$9, $C$13, 100%, $E$13) + CHOOSE(CONTROL!$C$28, 0.0226, 0)</f>
        <v>53.032699999999998</v>
      </c>
      <c r="D853" s="4">
        <f>78.9754 * CHOOSE(CONTROL!$C$9, $C$13, 100%, $E$13) + CHOOSE(CONTROL!$C$28, 0.0021, 0)</f>
        <v>78.977499999999992</v>
      </c>
      <c r="E853" s="4">
        <f>377.39775859269 * CHOOSE(CONTROL!$C$9, $C$13, 100%, $E$13) + CHOOSE(CONTROL!$C$28, 0.0021, 0)</f>
        <v>377.39985859269001</v>
      </c>
    </row>
    <row r="854" spans="1:5" ht="15">
      <c r="A854" s="13">
        <v>67145</v>
      </c>
      <c r="B854" s="4">
        <f>51.6258 * CHOOSE(CONTROL!$C$9, $C$13, 100%, $E$13) + CHOOSE(CONTROL!$C$28, 0.0226, 0)</f>
        <v>51.648399999999995</v>
      </c>
      <c r="C854" s="4">
        <f>51.2625 * CHOOSE(CONTROL!$C$9, $C$13, 100%, $E$13) + CHOOSE(CONTROL!$C$28, 0.0226, 0)</f>
        <v>51.2851</v>
      </c>
      <c r="D854" s="4">
        <f>77.9127 * CHOOSE(CONTROL!$C$9, $C$13, 100%, $E$13) + CHOOSE(CONTROL!$C$28, 0.0021, 0)</f>
        <v>77.9148</v>
      </c>
      <c r="E854" s="4">
        <f>364.858545038585 * CHOOSE(CONTROL!$C$9, $C$13, 100%, $E$13) + CHOOSE(CONTROL!$C$28, 0.0021, 0)</f>
        <v>364.86064503858501</v>
      </c>
    </row>
    <row r="855" spans="1:5" ht="15">
      <c r="A855" s="13">
        <v>67175</v>
      </c>
      <c r="B855" s="4">
        <f>50.5001 * CHOOSE(CONTROL!$C$9, $C$13, 100%, $E$13) + CHOOSE(CONTROL!$C$28, 0.0226, 0)</f>
        <v>50.5227</v>
      </c>
      <c r="C855" s="4">
        <f>50.1369 * CHOOSE(CONTROL!$C$9, $C$13, 100%, $E$13) + CHOOSE(CONTROL!$C$28, 0.0226, 0)</f>
        <v>50.159499999999994</v>
      </c>
      <c r="D855" s="4">
        <f>77.5474 * CHOOSE(CONTROL!$C$9, $C$13, 100%, $E$13) + CHOOSE(CONTROL!$C$28, 0.0021, 0)</f>
        <v>77.549499999999995</v>
      </c>
      <c r="E855" s="4">
        <f>356.782355139899 * CHOOSE(CONTROL!$C$9, $C$13, 100%, $E$13) + CHOOSE(CONTROL!$C$28, 0.0021, 0)</f>
        <v>356.78445513989897</v>
      </c>
    </row>
    <row r="856" spans="1:5" ht="15">
      <c r="A856" s="13">
        <v>67206</v>
      </c>
      <c r="B856" s="4">
        <f>49.7214 * CHOOSE(CONTROL!$C$9, $C$13, 100%, $E$13) + CHOOSE(CONTROL!$C$28, 0.0226, 0)</f>
        <v>49.744</v>
      </c>
      <c r="C856" s="4">
        <f>49.3581 * CHOOSE(CONTROL!$C$9, $C$13, 100%, $E$13) + CHOOSE(CONTROL!$C$28, 0.0226, 0)</f>
        <v>49.380699999999997</v>
      </c>
      <c r="D856" s="4">
        <f>74.8576 * CHOOSE(CONTROL!$C$9, $C$13, 100%, $E$13) + CHOOSE(CONTROL!$C$28, 0.0021, 0)</f>
        <v>74.859700000000004</v>
      </c>
      <c r="E856" s="4">
        <f>351.194669879182 * CHOOSE(CONTROL!$C$9, $C$13, 100%, $E$13) + CHOOSE(CONTROL!$C$28, 0.0021, 0)</f>
        <v>351.196769879182</v>
      </c>
    </row>
    <row r="857" spans="1:5" ht="15">
      <c r="A857" s="13">
        <v>67237</v>
      </c>
      <c r="B857" s="4">
        <f>47.5906 * CHOOSE(CONTROL!$C$9, $C$13, 100%, $E$13) + CHOOSE(CONTROL!$C$28, 0.0226, 0)</f>
        <v>47.613199999999999</v>
      </c>
      <c r="C857" s="4">
        <f>47.2273 * CHOOSE(CONTROL!$C$9, $C$13, 100%, $E$13) + CHOOSE(CONTROL!$C$28, 0.0226, 0)</f>
        <v>47.249899999999997</v>
      </c>
      <c r="D857" s="4">
        <f>71.8947 * CHOOSE(CONTROL!$C$9, $C$13, 100%, $E$13) + CHOOSE(CONTROL!$C$28, 0.0021, 0)</f>
        <v>71.896799999999999</v>
      </c>
      <c r="E857" s="4">
        <f>336.565984830738 * CHOOSE(CONTROL!$C$9, $C$13, 100%, $E$13) + CHOOSE(CONTROL!$C$28, 0.0021, 0)</f>
        <v>336.56808483073797</v>
      </c>
    </row>
    <row r="858" spans="1:5" ht="15">
      <c r="A858" s="13">
        <v>67266</v>
      </c>
      <c r="B858" s="4">
        <f>48.7022 * CHOOSE(CONTROL!$C$9, $C$13, 100%, $E$13) + CHOOSE(CONTROL!$C$28, 0.0226, 0)</f>
        <v>48.724799999999995</v>
      </c>
      <c r="C858" s="4">
        <f>48.339 * CHOOSE(CONTROL!$C$9, $C$13, 100%, $E$13) + CHOOSE(CONTROL!$C$28, 0.0226, 0)</f>
        <v>48.361599999999996</v>
      </c>
      <c r="D858" s="4">
        <f>74.3668 * CHOOSE(CONTROL!$C$9, $C$13, 100%, $E$13) + CHOOSE(CONTROL!$C$28, 0.0021, 0)</f>
        <v>74.368899999999996</v>
      </c>
      <c r="E858" s="4">
        <f>344.557387686687 * CHOOSE(CONTROL!$C$9, $C$13, 100%, $E$13) + CHOOSE(CONTROL!$C$28, 0.0021, 0)</f>
        <v>344.55948768668696</v>
      </c>
    </row>
    <row r="859" spans="1:5" ht="15">
      <c r="A859" s="13">
        <v>67297</v>
      </c>
      <c r="B859" s="4">
        <f>51.6214 * CHOOSE(CONTROL!$C$9, $C$13, 100%, $E$13) + CHOOSE(CONTROL!$C$28, 0.0226, 0)</f>
        <v>51.643999999999998</v>
      </c>
      <c r="C859" s="4">
        <f>51.2581 * CHOOSE(CONTROL!$C$9, $C$13, 100%, $E$13) + CHOOSE(CONTROL!$C$28, 0.0226, 0)</f>
        <v>51.280699999999996</v>
      </c>
      <c r="D859" s="4">
        <f>78.2366 * CHOOSE(CONTROL!$C$9, $C$13, 100%, $E$13) + CHOOSE(CONTROL!$C$28, 0.0021, 0)</f>
        <v>78.238699999999994</v>
      </c>
      <c r="E859" s="4">
        <f>365.543236275348 * CHOOSE(CONTROL!$C$9, $C$13, 100%, $E$13) + CHOOSE(CONTROL!$C$28, 0.0021, 0)</f>
        <v>365.54533627534801</v>
      </c>
    </row>
    <row r="860" spans="1:5" ht="15">
      <c r="A860" s="13">
        <v>67327</v>
      </c>
      <c r="B860" s="4">
        <f>53.6955 * CHOOSE(CONTROL!$C$9, $C$13, 100%, $E$13) + CHOOSE(CONTROL!$C$28, 0.0226, 0)</f>
        <v>53.7181</v>
      </c>
      <c r="C860" s="4">
        <f>53.3323 * CHOOSE(CONTROL!$C$9, $C$13, 100%, $E$13) + CHOOSE(CONTROL!$C$28, 0.0226, 0)</f>
        <v>53.354899999999994</v>
      </c>
      <c r="D860" s="4">
        <f>80.4658 * CHOOSE(CONTROL!$C$9, $C$13, 100%, $E$13) + CHOOSE(CONTROL!$C$28, 0.0021, 0)</f>
        <v>80.4679</v>
      </c>
      <c r="E860" s="4">
        <f>380.453961370796 * CHOOSE(CONTROL!$C$9, $C$13, 100%, $E$13) + CHOOSE(CONTROL!$C$28, 0.0021, 0)</f>
        <v>380.45606137079596</v>
      </c>
    </row>
    <row r="861" spans="1:5" ht="15">
      <c r="A861" s="13">
        <v>67358</v>
      </c>
      <c r="B861" s="4">
        <f>54.9628 * CHOOSE(CONTROL!$C$9, $C$13, 100%, $E$13) + CHOOSE(CONTROL!$C$28, 0.0226, 0)</f>
        <v>54.985399999999998</v>
      </c>
      <c r="C861" s="4">
        <f>54.5995 * CHOOSE(CONTROL!$C$9, $C$13, 100%, $E$13) + CHOOSE(CONTROL!$C$28, 0.0226, 0)</f>
        <v>54.622099999999996</v>
      </c>
      <c r="D861" s="4">
        <f>79.5849 * CHOOSE(CONTROL!$C$9, $C$13, 100%, $E$13) + CHOOSE(CONTROL!$C$28, 0.0021, 0)</f>
        <v>79.587000000000003</v>
      </c>
      <c r="E861" s="4">
        <f>389.564057043909 * CHOOSE(CONTROL!$C$9, $C$13, 100%, $E$13) + CHOOSE(CONTROL!$C$28, 0.0021, 0)</f>
        <v>389.56615704390896</v>
      </c>
    </row>
    <row r="862" spans="1:5" ht="15">
      <c r="A862" s="13">
        <v>67388</v>
      </c>
      <c r="B862" s="4">
        <f>55.1342 * CHOOSE(CONTROL!$C$9, $C$13, 100%, $E$13) + CHOOSE(CONTROL!$C$28, 0.0226, 0)</f>
        <v>55.156799999999997</v>
      </c>
      <c r="C862" s="4">
        <f>54.771 * CHOOSE(CONTROL!$C$9, $C$13, 100%, $E$13) + CHOOSE(CONTROL!$C$28, 0.0226, 0)</f>
        <v>54.793599999999998</v>
      </c>
      <c r="D862" s="4">
        <f>80.3023 * CHOOSE(CONTROL!$C$9, $C$13, 100%, $E$13) + CHOOSE(CONTROL!$C$28, 0.0021, 0)</f>
        <v>80.304400000000001</v>
      </c>
      <c r="E862" s="4">
        <f>390.796690796156 * CHOOSE(CONTROL!$C$9, $C$13, 100%, $E$13) + CHOOSE(CONTROL!$C$28, 0.0021, 0)</f>
        <v>390.79879079615597</v>
      </c>
    </row>
    <row r="863" spans="1:5" ht="15">
      <c r="A863" s="13">
        <v>67419</v>
      </c>
      <c r="B863" s="4">
        <f>55.1169 * CHOOSE(CONTROL!$C$9, $C$13, 100%, $E$13) + CHOOSE(CONTROL!$C$28, 0.0226, 0)</f>
        <v>55.139499999999998</v>
      </c>
      <c r="C863" s="4">
        <f>54.7537 * CHOOSE(CONTROL!$C$9, $C$13, 100%, $E$13) + CHOOSE(CONTROL!$C$28, 0.0226, 0)</f>
        <v>54.776299999999999</v>
      </c>
      <c r="D863" s="4">
        <f>81.5968 * CHOOSE(CONTROL!$C$9, $C$13, 100%, $E$13) + CHOOSE(CONTROL!$C$28, 0.0021, 0)</f>
        <v>81.5989</v>
      </c>
      <c r="E863" s="4">
        <f>390.672391594248 * CHOOSE(CONTROL!$C$9, $C$13, 100%, $E$13) + CHOOSE(CONTROL!$C$28, 0.0021, 0)</f>
        <v>390.67449159424797</v>
      </c>
    </row>
    <row r="864" spans="1:5" ht="15">
      <c r="A864" s="13">
        <v>67450</v>
      </c>
      <c r="B864" s="4">
        <f>56.418 * CHOOSE(CONTROL!$C$9, $C$13, 100%, $E$13) + CHOOSE(CONTROL!$C$28, 0.0226, 0)</f>
        <v>56.440599999999996</v>
      </c>
      <c r="C864" s="4">
        <f>56.0548 * CHOOSE(CONTROL!$C$9, $C$13, 100%, $E$13) + CHOOSE(CONTROL!$C$28, 0.0226, 0)</f>
        <v>56.077399999999997</v>
      </c>
      <c r="D864" s="4">
        <f>80.7419 * CHOOSE(CONTROL!$C$9, $C$13, 100%, $E$13) + CHOOSE(CONTROL!$C$28, 0.0021, 0)</f>
        <v>80.744</v>
      </c>
      <c r="E864" s="4">
        <f>400.025906537763 * CHOOSE(CONTROL!$C$9, $C$13, 100%, $E$13) + CHOOSE(CONTROL!$C$28, 0.0021, 0)</f>
        <v>400.02800653776296</v>
      </c>
    </row>
    <row r="865" spans="1:5" ht="15">
      <c r="A865" s="13">
        <v>67480</v>
      </c>
      <c r="B865" s="4">
        <f>54.2006 * CHOOSE(CONTROL!$C$9, $C$13, 100%, $E$13) + CHOOSE(CONTROL!$C$28, 0.0226, 0)</f>
        <v>54.223199999999999</v>
      </c>
      <c r="C865" s="4">
        <f>53.8373 * CHOOSE(CONTROL!$C$9, $C$13, 100%, $E$13) + CHOOSE(CONTROL!$C$28, 0.0226, 0)</f>
        <v>53.859899999999996</v>
      </c>
      <c r="D865" s="4">
        <f>80.338 * CHOOSE(CONTROL!$C$9, $C$13, 100%, $E$13) + CHOOSE(CONTROL!$C$28, 0.0021, 0)</f>
        <v>80.340099999999993</v>
      </c>
      <c r="E865" s="4">
        <f>384.084533893168 * CHOOSE(CONTROL!$C$9, $C$13, 100%, $E$13) + CHOOSE(CONTROL!$C$28, 0.0021, 0)</f>
        <v>384.08663389316797</v>
      </c>
    </row>
    <row r="866" spans="1:5" ht="15">
      <c r="A866" s="13">
        <v>67511</v>
      </c>
      <c r="B866" s="4">
        <f>52.4254 * CHOOSE(CONTROL!$C$9, $C$13, 100%, $E$13) + CHOOSE(CONTROL!$C$28, 0.0226, 0)</f>
        <v>52.448</v>
      </c>
      <c r="C866" s="4">
        <f>52.0621 * CHOOSE(CONTROL!$C$9, $C$13, 100%, $E$13) + CHOOSE(CONTROL!$C$28, 0.0226, 0)</f>
        <v>52.084699999999998</v>
      </c>
      <c r="D866" s="4">
        <f>79.2566 * CHOOSE(CONTROL!$C$9, $C$13, 100%, $E$13) + CHOOSE(CONTROL!$C$28, 0.0021, 0)</f>
        <v>79.258700000000005</v>
      </c>
      <c r="E866" s="4">
        <f>371.323149164032 * CHOOSE(CONTROL!$C$9, $C$13, 100%, $E$13) + CHOOSE(CONTROL!$C$28, 0.0021, 0)</f>
        <v>371.32524916403196</v>
      </c>
    </row>
    <row r="867" spans="1:5" ht="15">
      <c r="A867" s="13">
        <v>67541</v>
      </c>
      <c r="B867" s="4">
        <f>51.2821 * CHOOSE(CONTROL!$C$9, $C$13, 100%, $E$13) + CHOOSE(CONTROL!$C$28, 0.0226, 0)</f>
        <v>51.304699999999997</v>
      </c>
      <c r="C867" s="4">
        <f>50.9188 * CHOOSE(CONTROL!$C$9, $C$13, 100%, $E$13) + CHOOSE(CONTROL!$C$28, 0.0226, 0)</f>
        <v>50.941399999999994</v>
      </c>
      <c r="D867" s="4">
        <f>78.8848 * CHOOSE(CONTROL!$C$9, $C$13, 100%, $E$13) + CHOOSE(CONTROL!$C$28, 0.0021, 0)</f>
        <v>78.886899999999997</v>
      </c>
      <c r="E867" s="4">
        <f>363.10386443792 * CHOOSE(CONTROL!$C$9, $C$13, 100%, $E$13) + CHOOSE(CONTROL!$C$28, 0.0021, 0)</f>
        <v>363.10596443791997</v>
      </c>
    </row>
    <row r="868" spans="1:5" ht="15">
      <c r="A868" s="13">
        <v>67572</v>
      </c>
      <c r="B868" s="4">
        <f>50.4911 * CHOOSE(CONTROL!$C$9, $C$13, 100%, $E$13) + CHOOSE(CONTROL!$C$28, 0.0226, 0)</f>
        <v>50.5137</v>
      </c>
      <c r="C868" s="4">
        <f>50.1278 * CHOOSE(CONTROL!$C$9, $C$13, 100%, $E$13) + CHOOSE(CONTROL!$C$28, 0.0226, 0)</f>
        <v>50.150399999999998</v>
      </c>
      <c r="D868" s="4">
        <f>76.1475 * CHOOSE(CONTROL!$C$9, $C$13, 100%, $E$13) + CHOOSE(CONTROL!$C$28, 0.0021, 0)</f>
        <v>76.149599999999992</v>
      </c>
      <c r="E868" s="4">
        <f>357.417175950667 * CHOOSE(CONTROL!$C$9, $C$13, 100%, $E$13) + CHOOSE(CONTROL!$C$28, 0.0021, 0)</f>
        <v>357.41927595066699</v>
      </c>
    </row>
    <row r="869" spans="1:5" ht="15">
      <c r="A869" s="13">
        <v>67603</v>
      </c>
      <c r="B869" s="4">
        <f>48.3268 * CHOOSE(CONTROL!$C$9, $C$13, 100%, $E$13) + CHOOSE(CONTROL!$C$28, 0.0226, 0)</f>
        <v>48.349399999999996</v>
      </c>
      <c r="C869" s="4">
        <f>47.9635 * CHOOSE(CONTROL!$C$9, $C$13, 100%, $E$13) + CHOOSE(CONTROL!$C$28, 0.0226, 0)</f>
        <v>47.9861</v>
      </c>
      <c r="D869" s="4">
        <f>73.1322 * CHOOSE(CONTROL!$C$9, $C$13, 100%, $E$13) + CHOOSE(CONTROL!$C$28, 0.0021, 0)</f>
        <v>73.134299999999996</v>
      </c>
      <c r="E869" s="4">
        <f>342.529298239751 * CHOOSE(CONTROL!$C$9, $C$13, 100%, $E$13) + CHOOSE(CONTROL!$C$28, 0.0021, 0)</f>
        <v>342.53139823975096</v>
      </c>
    </row>
    <row r="870" spans="1:5" ht="15">
      <c r="A870" s="13">
        <v>67631</v>
      </c>
      <c r="B870" s="4">
        <f>49.4559 * CHOOSE(CONTROL!$C$9, $C$13, 100%, $E$13) + CHOOSE(CONTROL!$C$28, 0.0226, 0)</f>
        <v>49.478499999999997</v>
      </c>
      <c r="C870" s="4">
        <f>49.0926 * CHOOSE(CONTROL!$C$9, $C$13, 100%, $E$13) + CHOOSE(CONTROL!$C$28, 0.0226, 0)</f>
        <v>49.115199999999994</v>
      </c>
      <c r="D870" s="4">
        <f>75.648 * CHOOSE(CONTROL!$C$9, $C$13, 100%, $E$13) + CHOOSE(CONTROL!$C$28, 0.0021, 0)</f>
        <v>75.650099999999995</v>
      </c>
      <c r="E870" s="4">
        <f>350.662293656908 * CHOOSE(CONTROL!$C$9, $C$13, 100%, $E$13) + CHOOSE(CONTROL!$C$28, 0.0021, 0)</f>
        <v>350.66439365690798</v>
      </c>
    </row>
    <row r="871" spans="1:5" ht="15">
      <c r="A871" s="13">
        <v>67662</v>
      </c>
      <c r="B871" s="4">
        <f>52.421 * CHOOSE(CONTROL!$C$9, $C$13, 100%, $E$13) + CHOOSE(CONTROL!$C$28, 0.0226, 0)</f>
        <v>52.443599999999996</v>
      </c>
      <c r="C871" s="4">
        <f>52.0577 * CHOOSE(CONTROL!$C$9, $C$13, 100%, $E$13) + CHOOSE(CONTROL!$C$28, 0.0226, 0)</f>
        <v>52.080299999999994</v>
      </c>
      <c r="D871" s="4">
        <f>79.5862 * CHOOSE(CONTROL!$C$9, $C$13, 100%, $E$13) + CHOOSE(CONTROL!$C$28, 0.0021, 0)</f>
        <v>79.588300000000004</v>
      </c>
      <c r="E871" s="4">
        <f>372.019971835987 * CHOOSE(CONTROL!$C$9, $C$13, 100%, $E$13) + CHOOSE(CONTROL!$C$28, 0.0021, 0)</f>
        <v>372.02207183598699</v>
      </c>
    </row>
    <row r="872" spans="1:5" ht="15">
      <c r="A872" s="13">
        <v>67692</v>
      </c>
      <c r="B872" s="4">
        <f>54.5277 * CHOOSE(CONTROL!$C$9, $C$13, 100%, $E$13) + CHOOSE(CONTROL!$C$28, 0.0226, 0)</f>
        <v>54.5503</v>
      </c>
      <c r="C872" s="4">
        <f>54.1645 * CHOOSE(CONTROL!$C$9, $C$13, 100%, $E$13) + CHOOSE(CONTROL!$C$28, 0.0226, 0)</f>
        <v>54.187099999999994</v>
      </c>
      <c r="D872" s="4">
        <f>81.8548 * CHOOSE(CONTROL!$C$9, $C$13, 100%, $E$13) + CHOOSE(CONTROL!$C$28, 0.0021, 0)</f>
        <v>81.856899999999996</v>
      </c>
      <c r="E872" s="4">
        <f>387.194886810708 * CHOOSE(CONTROL!$C$9, $C$13, 100%, $E$13) + CHOOSE(CONTROL!$C$28, 0.0021, 0)</f>
        <v>387.19698681070798</v>
      </c>
    </row>
    <row r="873" spans="1:5" ht="15">
      <c r="A873" s="13">
        <v>67723</v>
      </c>
      <c r="B873" s="4">
        <f>55.8149 * CHOOSE(CONTROL!$C$9, $C$13, 100%, $E$13) + CHOOSE(CONTROL!$C$28, 0.0226, 0)</f>
        <v>55.837499999999999</v>
      </c>
      <c r="C873" s="4">
        <f>55.4516 * CHOOSE(CONTROL!$C$9, $C$13, 100%, $E$13) + CHOOSE(CONTROL!$C$28, 0.0226, 0)</f>
        <v>55.474199999999996</v>
      </c>
      <c r="D873" s="4">
        <f>80.9584 * CHOOSE(CONTROL!$C$9, $C$13, 100%, $E$13) + CHOOSE(CONTROL!$C$28, 0.0021, 0)</f>
        <v>80.960499999999996</v>
      </c>
      <c r="E873" s="4">
        <f>396.46639616831 * CHOOSE(CONTROL!$C$9, $C$13, 100%, $E$13) + CHOOSE(CONTROL!$C$28, 0.0021, 0)</f>
        <v>396.46849616830997</v>
      </c>
    </row>
    <row r="874" spans="1:5" ht="15">
      <c r="A874" s="13">
        <v>67753</v>
      </c>
      <c r="B874" s="4">
        <f>55.9891 * CHOOSE(CONTROL!$C$9, $C$13, 100%, $E$13) + CHOOSE(CONTROL!$C$28, 0.0226, 0)</f>
        <v>56.011699999999998</v>
      </c>
      <c r="C874" s="4">
        <f>55.6258 * CHOOSE(CONTROL!$C$9, $C$13, 100%, $E$13) + CHOOSE(CONTROL!$C$28, 0.0226, 0)</f>
        <v>55.648399999999995</v>
      </c>
      <c r="D874" s="4">
        <f>81.6884 * CHOOSE(CONTROL!$C$9, $C$13, 100%, $E$13) + CHOOSE(CONTROL!$C$28, 0.0021, 0)</f>
        <v>81.6905</v>
      </c>
      <c r="E874" s="4">
        <f>397.720869861948 * CHOOSE(CONTROL!$C$9, $C$13, 100%, $E$13) + CHOOSE(CONTROL!$C$28, 0.0021, 0)</f>
        <v>397.722969861948</v>
      </c>
    </row>
    <row r="875" spans="1:5" ht="15">
      <c r="A875" s="13">
        <v>67784</v>
      </c>
      <c r="B875" s="4">
        <f>55.9715 * CHOOSE(CONTROL!$C$9, $C$13, 100%, $E$13) + CHOOSE(CONTROL!$C$28, 0.0226, 0)</f>
        <v>55.994099999999996</v>
      </c>
      <c r="C875" s="4">
        <f>55.6082 * CHOOSE(CONTROL!$C$9, $C$13, 100%, $E$13) + CHOOSE(CONTROL!$C$28, 0.0226, 0)</f>
        <v>55.630799999999994</v>
      </c>
      <c r="D875" s="4">
        <f>83.0057 * CHOOSE(CONTROL!$C$9, $C$13, 100%, $E$13) + CHOOSE(CONTROL!$C$28, 0.0021, 0)</f>
        <v>83.007800000000003</v>
      </c>
      <c r="E875" s="4">
        <f>397.594368313009 * CHOOSE(CONTROL!$C$9, $C$13, 100%, $E$13) + CHOOSE(CONTROL!$C$28, 0.0021, 0)</f>
        <v>397.59646831300898</v>
      </c>
    </row>
    <row r="876" spans="1:5" ht="15">
      <c r="A876" s="13">
        <v>67815</v>
      </c>
      <c r="B876" s="4">
        <f>57.2931 * CHOOSE(CONTROL!$C$9, $C$13, 100%, $E$13) + CHOOSE(CONTROL!$C$28, 0.0226, 0)</f>
        <v>57.3157</v>
      </c>
      <c r="C876" s="4">
        <f>56.9298 * CHOOSE(CONTROL!$C$9, $C$13, 100%, $E$13) + CHOOSE(CONTROL!$C$28, 0.0226, 0)</f>
        <v>56.952399999999997</v>
      </c>
      <c r="D876" s="4">
        <f>82.1358 * CHOOSE(CONTROL!$C$9, $C$13, 100%, $E$13) + CHOOSE(CONTROL!$C$28, 0.0021, 0)</f>
        <v>82.137900000000002</v>
      </c>
      <c r="E876" s="4">
        <f>407.113609870615 * CHOOSE(CONTROL!$C$9, $C$13, 100%, $E$13) + CHOOSE(CONTROL!$C$28, 0.0021, 0)</f>
        <v>407.11570987061498</v>
      </c>
    </row>
    <row r="877" spans="1:5" ht="15">
      <c r="A877" s="13">
        <v>67845</v>
      </c>
      <c r="B877" s="4">
        <f>55.0407 * CHOOSE(CONTROL!$C$9, $C$13, 100%, $E$13) + CHOOSE(CONTROL!$C$28, 0.0226, 0)</f>
        <v>55.063299999999998</v>
      </c>
      <c r="C877" s="4">
        <f>54.6774 * CHOOSE(CONTROL!$C$9, $C$13, 100%, $E$13) + CHOOSE(CONTROL!$C$28, 0.0226, 0)</f>
        <v>54.699999999999996</v>
      </c>
      <c r="D877" s="4">
        <f>81.7247 * CHOOSE(CONTROL!$C$9, $C$13, 100%, $E$13) + CHOOSE(CONTROL!$C$28, 0.0021, 0)</f>
        <v>81.726799999999997</v>
      </c>
      <c r="E877" s="4">
        <f>390.889786219281 * CHOOSE(CONTROL!$C$9, $C$13, 100%, $E$13) + CHOOSE(CONTROL!$C$28, 0.0021, 0)</f>
        <v>390.89188621928099</v>
      </c>
    </row>
    <row r="878" spans="1:5" ht="15">
      <c r="A878" s="13">
        <v>67876</v>
      </c>
      <c r="B878" s="4">
        <f>53.2376 * CHOOSE(CONTROL!$C$9, $C$13, 100%, $E$13) + CHOOSE(CONTROL!$C$28, 0.0226, 0)</f>
        <v>53.260199999999998</v>
      </c>
      <c r="C878" s="4">
        <f>52.8744 * CHOOSE(CONTROL!$C$9, $C$13, 100%, $E$13) + CHOOSE(CONTROL!$C$28, 0.0226, 0)</f>
        <v>52.896999999999998</v>
      </c>
      <c r="D878" s="4">
        <f>80.6242 * CHOOSE(CONTROL!$C$9, $C$13, 100%, $E$13) + CHOOSE(CONTROL!$C$28, 0.0021, 0)</f>
        <v>80.626300000000001</v>
      </c>
      <c r="E878" s="4">
        <f>377.902293861617 * CHOOSE(CONTROL!$C$9, $C$13, 100%, $E$13) + CHOOSE(CONTROL!$C$28, 0.0021, 0)</f>
        <v>377.904393861617</v>
      </c>
    </row>
    <row r="879" spans="1:5" ht="15">
      <c r="A879" s="13">
        <v>67906</v>
      </c>
      <c r="B879" s="4">
        <f>52.0763 * CHOOSE(CONTROL!$C$9, $C$13, 100%, $E$13) + CHOOSE(CONTROL!$C$28, 0.0226, 0)</f>
        <v>52.0989</v>
      </c>
      <c r="C879" s="4">
        <f>51.7131 * CHOOSE(CONTROL!$C$9, $C$13, 100%, $E$13) + CHOOSE(CONTROL!$C$28, 0.0226, 0)</f>
        <v>51.735699999999994</v>
      </c>
      <c r="D879" s="4">
        <f>80.2458 * CHOOSE(CONTROL!$C$9, $C$13, 100%, $E$13) + CHOOSE(CONTROL!$C$28, 0.0021, 0)</f>
        <v>80.247900000000001</v>
      </c>
      <c r="E879" s="4">
        <f>369.537378938074 * CHOOSE(CONTROL!$C$9, $C$13, 100%, $E$13) + CHOOSE(CONTROL!$C$28, 0.0021, 0)</f>
        <v>369.53947893807401</v>
      </c>
    </row>
    <row r="880" spans="1:5" ht="15">
      <c r="A880" s="13">
        <v>67937</v>
      </c>
      <c r="B880" s="4">
        <f>51.2729 * CHOOSE(CONTROL!$C$9, $C$13, 100%, $E$13) + CHOOSE(CONTROL!$C$28, 0.0226, 0)</f>
        <v>51.295499999999997</v>
      </c>
      <c r="C880" s="4">
        <f>50.9096 * CHOOSE(CONTROL!$C$9, $C$13, 100%, $E$13) + CHOOSE(CONTROL!$C$28, 0.0226, 0)</f>
        <v>50.932199999999995</v>
      </c>
      <c r="D880" s="4">
        <f>77.4602 * CHOOSE(CONTROL!$C$9, $C$13, 100%, $E$13) + CHOOSE(CONTROL!$C$28, 0.0021, 0)</f>
        <v>77.462299999999999</v>
      </c>
      <c r="E880" s="4">
        <f>363.749933074147 * CHOOSE(CONTROL!$C$9, $C$13, 100%, $E$13) + CHOOSE(CONTROL!$C$28, 0.0021, 0)</f>
        <v>363.75203307414699</v>
      </c>
    </row>
    <row r="881" spans="1:5" ht="15">
      <c r="A881" s="13">
        <v>67968</v>
      </c>
      <c r="B881" s="4">
        <f>49.0746 * CHOOSE(CONTROL!$C$9, $C$13, 100%, $E$13) + CHOOSE(CONTROL!$C$28, 0.0226, 0)</f>
        <v>49.097199999999994</v>
      </c>
      <c r="C881" s="4">
        <f>48.7113 * CHOOSE(CONTROL!$C$9, $C$13, 100%, $E$13) + CHOOSE(CONTROL!$C$28, 0.0226, 0)</f>
        <v>48.733899999999998</v>
      </c>
      <c r="D881" s="4">
        <f>74.3916 * CHOOSE(CONTROL!$C$9, $C$13, 100%, $E$13) + CHOOSE(CONTROL!$C$28, 0.0021, 0)</f>
        <v>74.393699999999995</v>
      </c>
      <c r="E881" s="4">
        <f>348.59827029645 * CHOOSE(CONTROL!$C$9, $C$13, 100%, $E$13) + CHOOSE(CONTROL!$C$28, 0.0021, 0)</f>
        <v>348.60037029644997</v>
      </c>
    </row>
    <row r="882" spans="1:5" ht="15">
      <c r="A882" s="13">
        <v>67996</v>
      </c>
      <c r="B882" s="4">
        <f>50.2214 * CHOOSE(CONTROL!$C$9, $C$13, 100%, $E$13) + CHOOSE(CONTROL!$C$28, 0.0226, 0)</f>
        <v>50.244</v>
      </c>
      <c r="C882" s="4">
        <f>49.8582 * CHOOSE(CONTROL!$C$9, $C$13, 100%, $E$13) + CHOOSE(CONTROL!$C$28, 0.0226, 0)</f>
        <v>49.880799999999994</v>
      </c>
      <c r="D882" s="4">
        <f>76.9518 * CHOOSE(CONTROL!$C$9, $C$13, 100%, $E$13) + CHOOSE(CONTROL!$C$28, 0.0021, 0)</f>
        <v>76.953900000000004</v>
      </c>
      <c r="E882" s="4">
        <f>356.875367027502 * CHOOSE(CONTROL!$C$9, $C$13, 100%, $E$13) + CHOOSE(CONTROL!$C$28, 0.0021, 0)</f>
        <v>356.87746702750201</v>
      </c>
    </row>
    <row r="883" spans="1:5" ht="15">
      <c r="A883" s="13">
        <v>68027</v>
      </c>
      <c r="B883" s="4">
        <f>53.2332 * CHOOSE(CONTROL!$C$9, $C$13, 100%, $E$13) + CHOOSE(CONTROL!$C$28, 0.0226, 0)</f>
        <v>53.255799999999994</v>
      </c>
      <c r="C883" s="4">
        <f>52.8699 * CHOOSE(CONTROL!$C$9, $C$13, 100%, $E$13) + CHOOSE(CONTROL!$C$28, 0.0226, 0)</f>
        <v>52.892499999999998</v>
      </c>
      <c r="D883" s="4">
        <f>80.9597 * CHOOSE(CONTROL!$C$9, $C$13, 100%, $E$13) + CHOOSE(CONTROL!$C$28, 0.0021, 0)</f>
        <v>80.961799999999997</v>
      </c>
      <c r="E883" s="4">
        <f>378.611462914879 * CHOOSE(CONTROL!$C$9, $C$13, 100%, $E$13) + CHOOSE(CONTROL!$C$28, 0.0021, 0)</f>
        <v>378.61356291487897</v>
      </c>
    </row>
    <row r="884" spans="1:5" ht="15">
      <c r="A884" s="13">
        <v>68057</v>
      </c>
      <c r="B884" s="4">
        <f>55.373 * CHOOSE(CONTROL!$C$9, $C$13, 100%, $E$13) + CHOOSE(CONTROL!$C$28, 0.0226, 0)</f>
        <v>55.395599999999995</v>
      </c>
      <c r="C884" s="4">
        <f>55.0097 * CHOOSE(CONTROL!$C$9, $C$13, 100%, $E$13) + CHOOSE(CONTROL!$C$28, 0.0226, 0)</f>
        <v>55.032299999999999</v>
      </c>
      <c r="D884" s="4">
        <f>83.2683 * CHOOSE(CONTROL!$C$9, $C$13, 100%, $E$13) + CHOOSE(CONTROL!$C$28, 0.0021, 0)</f>
        <v>83.270399999999995</v>
      </c>
      <c r="E884" s="4">
        <f>394.055248714425 * CHOOSE(CONTROL!$C$9, $C$13, 100%, $E$13) + CHOOSE(CONTROL!$C$28, 0.0021, 0)</f>
        <v>394.05734871442496</v>
      </c>
    </row>
    <row r="885" spans="1:5" ht="15">
      <c r="A885" s="13">
        <v>68088</v>
      </c>
      <c r="B885" s="4">
        <f>56.6804 * CHOOSE(CONTROL!$C$9, $C$13, 100%, $E$13) + CHOOSE(CONTROL!$C$28, 0.0226, 0)</f>
        <v>56.702999999999996</v>
      </c>
      <c r="C885" s="4">
        <f>56.3171 * CHOOSE(CONTROL!$C$9, $C$13, 100%, $E$13) + CHOOSE(CONTROL!$C$28, 0.0226, 0)</f>
        <v>56.339700000000001</v>
      </c>
      <c r="D885" s="4">
        <f>82.356 * CHOOSE(CONTROL!$C$9, $C$13, 100%, $E$13) + CHOOSE(CONTROL!$C$28, 0.0021, 0)</f>
        <v>82.358099999999993</v>
      </c>
      <c r="E885" s="4">
        <f>403.49103170206 * CHOOSE(CONTROL!$C$9, $C$13, 100%, $E$13) + CHOOSE(CONTROL!$C$28, 0.0021, 0)</f>
        <v>403.49313170206</v>
      </c>
    </row>
    <row r="886" spans="1:5" ht="15">
      <c r="A886" s="13">
        <v>68118</v>
      </c>
      <c r="B886" s="4">
        <f>56.8573 * CHOOSE(CONTROL!$C$9, $C$13, 100%, $E$13) + CHOOSE(CONTROL!$C$28, 0.0226, 0)</f>
        <v>56.879899999999999</v>
      </c>
      <c r="C886" s="4">
        <f>56.494 * CHOOSE(CONTROL!$C$9, $C$13, 100%, $E$13) + CHOOSE(CONTROL!$C$28, 0.0226, 0)</f>
        <v>56.516599999999997</v>
      </c>
      <c r="D886" s="4">
        <f>83.099 * CHOOSE(CONTROL!$C$9, $C$13, 100%, $E$13) + CHOOSE(CONTROL!$C$28, 0.0021, 0)</f>
        <v>83.101100000000002</v>
      </c>
      <c r="E886" s="4">
        <f>404.767732299591 * CHOOSE(CONTROL!$C$9, $C$13, 100%, $E$13) + CHOOSE(CONTROL!$C$28, 0.0021, 0)</f>
        <v>404.76983229959097</v>
      </c>
    </row>
    <row r="887" spans="1:5" ht="15">
      <c r="A887" s="13">
        <v>68149</v>
      </c>
      <c r="B887" s="4">
        <f>56.8395 * CHOOSE(CONTROL!$C$9, $C$13, 100%, $E$13) + CHOOSE(CONTROL!$C$28, 0.0226, 0)</f>
        <v>56.862099999999998</v>
      </c>
      <c r="C887" s="4">
        <f>56.4762 * CHOOSE(CONTROL!$C$9, $C$13, 100%, $E$13) + CHOOSE(CONTROL!$C$28, 0.0226, 0)</f>
        <v>56.498799999999996</v>
      </c>
      <c r="D887" s="4">
        <f>84.4396 * CHOOSE(CONTROL!$C$9, $C$13, 100%, $E$13) + CHOOSE(CONTROL!$C$28, 0.0021, 0)</f>
        <v>84.441699999999997</v>
      </c>
      <c r="E887" s="4">
        <f>404.638989382193 * CHOOSE(CONTROL!$C$9, $C$13, 100%, $E$13) + CHOOSE(CONTROL!$C$28, 0.0021, 0)</f>
        <v>404.641089382193</v>
      </c>
    </row>
    <row r="888" spans="1:5" ht="15">
      <c r="A888" s="13">
        <v>68180</v>
      </c>
      <c r="B888" s="4">
        <f>58.1818 * CHOOSE(CONTROL!$C$9, $C$13, 100%, $E$13) + CHOOSE(CONTROL!$C$28, 0.0226, 0)</f>
        <v>58.2044</v>
      </c>
      <c r="C888" s="4">
        <f>57.8185 * CHOOSE(CONTROL!$C$9, $C$13, 100%, $E$13) + CHOOSE(CONTROL!$C$28, 0.0226, 0)</f>
        <v>57.841099999999997</v>
      </c>
      <c r="D888" s="4">
        <f>83.5543 * CHOOSE(CONTROL!$C$9, $C$13, 100%, $E$13) + CHOOSE(CONTROL!$C$28, 0.0021, 0)</f>
        <v>83.556399999999996</v>
      </c>
      <c r="E888" s="4">
        <f>414.326893916399 * CHOOSE(CONTROL!$C$9, $C$13, 100%, $E$13) + CHOOSE(CONTROL!$C$28, 0.0021, 0)</f>
        <v>414.32899391639899</v>
      </c>
    </row>
    <row r="889" spans="1:5" ht="15">
      <c r="A889" s="13">
        <v>68210</v>
      </c>
      <c r="B889" s="4">
        <f>55.894 * CHOOSE(CONTROL!$C$9, $C$13, 100%, $E$13) + CHOOSE(CONTROL!$C$28, 0.0226, 0)</f>
        <v>55.916599999999995</v>
      </c>
      <c r="C889" s="4">
        <f>55.5308 * CHOOSE(CONTROL!$C$9, $C$13, 100%, $E$13) + CHOOSE(CONTROL!$C$28, 0.0226, 0)</f>
        <v>55.553399999999996</v>
      </c>
      <c r="D889" s="4">
        <f>83.136 * CHOOSE(CONTROL!$C$9, $C$13, 100%, $E$13) + CHOOSE(CONTROL!$C$28, 0.0021, 0)</f>
        <v>83.138099999999994</v>
      </c>
      <c r="E889" s="4">
        <f>397.815614760094 * CHOOSE(CONTROL!$C$9, $C$13, 100%, $E$13) + CHOOSE(CONTROL!$C$28, 0.0021, 0)</f>
        <v>397.81771476009396</v>
      </c>
    </row>
    <row r="890" spans="1:5" ht="15">
      <c r="A890" s="13">
        <v>68241</v>
      </c>
      <c r="B890" s="4">
        <f>54.0626 * CHOOSE(CONTROL!$C$9, $C$13, 100%, $E$13) + CHOOSE(CONTROL!$C$28, 0.0226, 0)</f>
        <v>54.0852</v>
      </c>
      <c r="C890" s="4">
        <f>53.6994 * CHOOSE(CONTROL!$C$9, $C$13, 100%, $E$13) + CHOOSE(CONTROL!$C$28, 0.0226, 0)</f>
        <v>53.721999999999994</v>
      </c>
      <c r="D890" s="4">
        <f>82.016 * CHOOSE(CONTROL!$C$9, $C$13, 100%, $E$13) + CHOOSE(CONTROL!$C$28, 0.0021, 0)</f>
        <v>82.018100000000004</v>
      </c>
      <c r="E890" s="4">
        <f>384.59800857389 * CHOOSE(CONTROL!$C$9, $C$13, 100%, $E$13) + CHOOSE(CONTROL!$C$28, 0.0021, 0)</f>
        <v>384.60010857389</v>
      </c>
    </row>
    <row r="891" spans="1:5" ht="15">
      <c r="A891" s="13">
        <v>68271</v>
      </c>
      <c r="B891" s="4">
        <f>52.8831 * CHOOSE(CONTROL!$C$9, $C$13, 100%, $E$13) + CHOOSE(CONTROL!$C$28, 0.0226, 0)</f>
        <v>52.905699999999996</v>
      </c>
      <c r="C891" s="4">
        <f>52.5198 * CHOOSE(CONTROL!$C$9, $C$13, 100%, $E$13) + CHOOSE(CONTROL!$C$28, 0.0226, 0)</f>
        <v>52.542399999999994</v>
      </c>
      <c r="D891" s="4">
        <f>81.6309 * CHOOSE(CONTROL!$C$9, $C$13, 100%, $E$13) + CHOOSE(CONTROL!$C$28, 0.0021, 0)</f>
        <v>81.632999999999996</v>
      </c>
      <c r="E891" s="4">
        <f>376.084883160942 * CHOOSE(CONTROL!$C$9, $C$13, 100%, $E$13) + CHOOSE(CONTROL!$C$28, 0.0021, 0)</f>
        <v>376.086983160942</v>
      </c>
    </row>
    <row r="892" spans="1:5" ht="15">
      <c r="A892" s="13">
        <v>68302</v>
      </c>
      <c r="B892" s="4">
        <f>52.067 * CHOOSE(CONTROL!$C$9, $C$13, 100%, $E$13) + CHOOSE(CONTROL!$C$28, 0.0226, 0)</f>
        <v>52.089599999999997</v>
      </c>
      <c r="C892" s="4">
        <f>51.7037 * CHOOSE(CONTROL!$C$9, $C$13, 100%, $E$13) + CHOOSE(CONTROL!$C$28, 0.0226, 0)</f>
        <v>51.726299999999995</v>
      </c>
      <c r="D892" s="4">
        <f>78.7961 * CHOOSE(CONTROL!$C$9, $C$13, 100%, $E$13) + CHOOSE(CONTROL!$C$28, 0.0021, 0)</f>
        <v>78.798199999999994</v>
      </c>
      <c r="E892" s="4">
        <f>370.194894689979 * CHOOSE(CONTROL!$C$9, $C$13, 100%, $E$13) + CHOOSE(CONTROL!$C$28, 0.0021, 0)</f>
        <v>370.19699468997896</v>
      </c>
    </row>
    <row r="893" spans="1:5" ht="15">
      <c r="A893" s="13">
        <v>68333</v>
      </c>
      <c r="B893" s="4">
        <f>49.8341 * CHOOSE(CONTROL!$C$9, $C$13, 100%, $E$13) + CHOOSE(CONTROL!$C$28, 0.0226, 0)</f>
        <v>49.856699999999996</v>
      </c>
      <c r="C893" s="4">
        <f>49.4708 * CHOOSE(CONTROL!$C$9, $C$13, 100%, $E$13) + CHOOSE(CONTROL!$C$28, 0.0226, 0)</f>
        <v>49.493399999999994</v>
      </c>
      <c r="D893" s="4">
        <f>75.6733 * CHOOSE(CONTROL!$C$9, $C$13, 100%, $E$13) + CHOOSE(CONTROL!$C$28, 0.0021, 0)</f>
        <v>75.675399999999996</v>
      </c>
      <c r="E893" s="4">
        <f>354.77477307246 * CHOOSE(CONTROL!$C$9, $C$13, 100%, $E$13) + CHOOSE(CONTROL!$C$28, 0.0021, 0)</f>
        <v>354.77687307245998</v>
      </c>
    </row>
    <row r="894" spans="1:5" ht="15">
      <c r="A894" s="13">
        <v>68361</v>
      </c>
      <c r="B894" s="4">
        <f>50.999 * CHOOSE(CONTROL!$C$9, $C$13, 100%, $E$13) + CHOOSE(CONTROL!$C$28, 0.0226, 0)</f>
        <v>51.021599999999999</v>
      </c>
      <c r="C894" s="4">
        <f>50.6357 * CHOOSE(CONTROL!$C$9, $C$13, 100%, $E$13) + CHOOSE(CONTROL!$C$28, 0.0226, 0)</f>
        <v>50.658299999999997</v>
      </c>
      <c r="D894" s="4">
        <f>78.2787 * CHOOSE(CONTROL!$C$9, $C$13, 100%, $E$13) + CHOOSE(CONTROL!$C$28, 0.0021, 0)</f>
        <v>78.280799999999999</v>
      </c>
      <c r="E894" s="4">
        <f>363.198524320453 * CHOOSE(CONTROL!$C$9, $C$13, 100%, $E$13) + CHOOSE(CONTROL!$C$28, 0.0021, 0)</f>
        <v>363.20062432045296</v>
      </c>
    </row>
    <row r="895" spans="1:5" ht="15">
      <c r="A895" s="13">
        <v>68392</v>
      </c>
      <c r="B895" s="4">
        <f>54.0581 * CHOOSE(CONTROL!$C$9, $C$13, 100%, $E$13) + CHOOSE(CONTROL!$C$28, 0.0226, 0)</f>
        <v>54.0807</v>
      </c>
      <c r="C895" s="4">
        <f>53.6948 * CHOOSE(CONTROL!$C$9, $C$13, 100%, $E$13) + CHOOSE(CONTROL!$C$28, 0.0226, 0)</f>
        <v>53.717399999999998</v>
      </c>
      <c r="D895" s="4">
        <f>82.3574 * CHOOSE(CONTROL!$C$9, $C$13, 100%, $E$13) + CHOOSE(CONTROL!$C$28, 0.0021, 0)</f>
        <v>82.359499999999997</v>
      </c>
      <c r="E895" s="4">
        <f>385.31974276301 * CHOOSE(CONTROL!$C$9, $C$13, 100%, $E$13) + CHOOSE(CONTROL!$C$28, 0.0021, 0)</f>
        <v>385.32184276301001</v>
      </c>
    </row>
    <row r="896" spans="1:5" ht="15">
      <c r="A896" s="13">
        <v>68422</v>
      </c>
      <c r="B896" s="4">
        <f>56.2316 * CHOOSE(CONTROL!$C$9, $C$13, 100%, $E$13) + CHOOSE(CONTROL!$C$28, 0.0226, 0)</f>
        <v>56.254199999999997</v>
      </c>
      <c r="C896" s="4">
        <f>55.8683 * CHOOSE(CONTROL!$C$9, $C$13, 100%, $E$13) + CHOOSE(CONTROL!$C$28, 0.0226, 0)</f>
        <v>55.890899999999995</v>
      </c>
      <c r="D896" s="4">
        <f>84.7068 * CHOOSE(CONTROL!$C$9, $C$13, 100%, $E$13) + CHOOSE(CONTROL!$C$28, 0.0021, 0)</f>
        <v>84.7089</v>
      </c>
      <c r="E896" s="4">
        <f>401.037163270444 * CHOOSE(CONTROL!$C$9, $C$13, 100%, $E$13) + CHOOSE(CONTROL!$C$28, 0.0021, 0)</f>
        <v>401.039263270444</v>
      </c>
    </row>
    <row r="897" spans="1:5" ht="15">
      <c r="A897" s="13">
        <v>68453</v>
      </c>
      <c r="B897" s="4">
        <f>57.5596 * CHOOSE(CONTROL!$C$9, $C$13, 100%, $E$13) + CHOOSE(CONTROL!$C$28, 0.0226, 0)</f>
        <v>57.5822</v>
      </c>
      <c r="C897" s="4">
        <f>57.1963 * CHOOSE(CONTROL!$C$9, $C$13, 100%, $E$13) + CHOOSE(CONTROL!$C$28, 0.0226, 0)</f>
        <v>57.218899999999998</v>
      </c>
      <c r="D897" s="4">
        <f>83.7784 * CHOOSE(CONTROL!$C$9, $C$13, 100%, $E$13) + CHOOSE(CONTROL!$C$28, 0.0021, 0)</f>
        <v>83.780500000000004</v>
      </c>
      <c r="E897" s="4">
        <f>410.64013050649 * CHOOSE(CONTROL!$C$9, $C$13, 100%, $E$13) + CHOOSE(CONTROL!$C$28, 0.0021, 0)</f>
        <v>410.64223050648997</v>
      </c>
    </row>
    <row r="898" spans="1:5" ht="15">
      <c r="A898" s="13">
        <v>68483</v>
      </c>
      <c r="B898" s="4">
        <f>57.7392 * CHOOSE(CONTROL!$C$9, $C$13, 100%, $E$13) + CHOOSE(CONTROL!$C$28, 0.0226, 0)</f>
        <v>57.761799999999994</v>
      </c>
      <c r="C898" s="4">
        <f>57.376 * CHOOSE(CONTROL!$C$9, $C$13, 100%, $E$13) + CHOOSE(CONTROL!$C$28, 0.0226, 0)</f>
        <v>57.398599999999995</v>
      </c>
      <c r="D898" s="4">
        <f>84.5345 * CHOOSE(CONTROL!$C$9, $C$13, 100%, $E$13) + CHOOSE(CONTROL!$C$28, 0.0021, 0)</f>
        <v>84.536599999999993</v>
      </c>
      <c r="E898" s="4">
        <f>411.93945182666 * CHOOSE(CONTROL!$C$9, $C$13, 100%, $E$13) + CHOOSE(CONTROL!$C$28, 0.0021, 0)</f>
        <v>411.94155182665997</v>
      </c>
    </row>
    <row r="899" spans="1:5" ht="15">
      <c r="A899" s="13">
        <v>68514</v>
      </c>
      <c r="B899" s="4">
        <f>57.7211 * CHOOSE(CONTROL!$C$9, $C$13, 100%, $E$13) + CHOOSE(CONTROL!$C$28, 0.0226, 0)</f>
        <v>57.743699999999997</v>
      </c>
      <c r="C899" s="4">
        <f>57.3578 * CHOOSE(CONTROL!$C$9, $C$13, 100%, $E$13) + CHOOSE(CONTROL!$C$28, 0.0226, 0)</f>
        <v>57.380399999999995</v>
      </c>
      <c r="D899" s="4">
        <f>85.8988 * CHOOSE(CONTROL!$C$9, $C$13, 100%, $E$13) + CHOOSE(CONTROL!$C$28, 0.0021, 0)</f>
        <v>85.900899999999993</v>
      </c>
      <c r="E899" s="4">
        <f>411.808427827988 * CHOOSE(CONTROL!$C$9, $C$13, 100%, $E$13) + CHOOSE(CONTROL!$C$28, 0.0021, 0)</f>
        <v>411.81052782798798</v>
      </c>
    </row>
    <row r="900" spans="1:5" ht="15">
      <c r="A900" s="13">
        <v>68545</v>
      </c>
      <c r="B900" s="4">
        <f>59.0846 * CHOOSE(CONTROL!$C$9, $C$13, 100%, $E$13) + CHOOSE(CONTROL!$C$28, 0.0226, 0)</f>
        <v>59.107199999999999</v>
      </c>
      <c r="C900" s="4">
        <f>58.7213 * CHOOSE(CONTROL!$C$9, $C$13, 100%, $E$13) + CHOOSE(CONTROL!$C$28, 0.0226, 0)</f>
        <v>58.743899999999996</v>
      </c>
      <c r="D900" s="4">
        <f>84.9978 * CHOOSE(CONTROL!$C$9, $C$13, 100%, $E$13) + CHOOSE(CONTROL!$C$28, 0.0021, 0)</f>
        <v>84.999899999999997</v>
      </c>
      <c r="E900" s="4">
        <f>421.667983728101 * CHOOSE(CONTROL!$C$9, $C$13, 100%, $E$13) + CHOOSE(CONTROL!$C$28, 0.0021, 0)</f>
        <v>421.67008372810096</v>
      </c>
    </row>
    <row r="901" spans="1:5" ht="15">
      <c r="A901" s="13">
        <v>68575</v>
      </c>
      <c r="B901" s="4">
        <f>56.7608 * CHOOSE(CONTROL!$C$9, $C$13, 100%, $E$13) + CHOOSE(CONTROL!$C$28, 0.0226, 0)</f>
        <v>56.7834</v>
      </c>
      <c r="C901" s="4">
        <f>56.3975 * CHOOSE(CONTROL!$C$9, $C$13, 100%, $E$13) + CHOOSE(CONTROL!$C$28, 0.0226, 0)</f>
        <v>56.420099999999998</v>
      </c>
      <c r="D901" s="4">
        <f>84.5721 * CHOOSE(CONTROL!$C$9, $C$13, 100%, $E$13) + CHOOSE(CONTROL!$C$28, 0.0021, 0)</f>
        <v>84.574200000000005</v>
      </c>
      <c r="E901" s="4">
        <f>404.86415589834 * CHOOSE(CONTROL!$C$9, $C$13, 100%, $E$13) + CHOOSE(CONTROL!$C$28, 0.0021, 0)</f>
        <v>404.86625589834</v>
      </c>
    </row>
    <row r="902" spans="1:5" ht="15">
      <c r="A902" s="13">
        <v>68606</v>
      </c>
      <c r="B902" s="4">
        <f>54.9006 * CHOOSE(CONTROL!$C$9, $C$13, 100%, $E$13) + CHOOSE(CONTROL!$C$28, 0.0226, 0)</f>
        <v>54.923199999999994</v>
      </c>
      <c r="C902" s="4">
        <f>54.5373 * CHOOSE(CONTROL!$C$9, $C$13, 100%, $E$13) + CHOOSE(CONTROL!$C$28, 0.0226, 0)</f>
        <v>54.559899999999999</v>
      </c>
      <c r="D902" s="4">
        <f>83.4323 * CHOOSE(CONTROL!$C$9, $C$13, 100%, $E$13) + CHOOSE(CONTROL!$C$28, 0.0021, 0)</f>
        <v>83.434399999999997</v>
      </c>
      <c r="E902" s="4">
        <f>391.412358701286 * CHOOSE(CONTROL!$C$9, $C$13, 100%, $E$13) + CHOOSE(CONTROL!$C$28, 0.0021, 0)</f>
        <v>391.41445870128598</v>
      </c>
    </row>
    <row r="903" spans="1:5" ht="15">
      <c r="A903" s="13">
        <v>68636</v>
      </c>
      <c r="B903" s="4">
        <f>53.7025 * CHOOSE(CONTROL!$C$9, $C$13, 100%, $E$13) + CHOOSE(CONTROL!$C$28, 0.0226, 0)</f>
        <v>53.725099999999998</v>
      </c>
      <c r="C903" s="4">
        <f>53.3392 * CHOOSE(CONTROL!$C$9, $C$13, 100%, $E$13) + CHOOSE(CONTROL!$C$28, 0.0226, 0)</f>
        <v>53.361799999999995</v>
      </c>
      <c r="D903" s="4">
        <f>83.0405 * CHOOSE(CONTROL!$C$9, $C$13, 100%, $E$13) + CHOOSE(CONTROL!$C$28, 0.0021, 0)</f>
        <v>83.042599999999993</v>
      </c>
      <c r="E903" s="4">
        <f>382.74839678906 * CHOOSE(CONTROL!$C$9, $C$13, 100%, $E$13) + CHOOSE(CONTROL!$C$28, 0.0021, 0)</f>
        <v>382.75049678905998</v>
      </c>
    </row>
    <row r="904" spans="1:5" ht="15">
      <c r="A904" s="13">
        <v>68667</v>
      </c>
      <c r="B904" s="4">
        <f>52.8736 * CHOOSE(CONTROL!$C$9, $C$13, 100%, $E$13) + CHOOSE(CONTROL!$C$28, 0.0226, 0)</f>
        <v>52.8962</v>
      </c>
      <c r="C904" s="4">
        <f>52.5103 * CHOOSE(CONTROL!$C$9, $C$13, 100%, $E$13) + CHOOSE(CONTROL!$C$28, 0.0226, 0)</f>
        <v>52.532899999999998</v>
      </c>
      <c r="D904" s="4">
        <f>80.1555 * CHOOSE(CONTROL!$C$9, $C$13, 100%, $E$13) + CHOOSE(CONTROL!$C$28, 0.0021, 0)</f>
        <v>80.157600000000002</v>
      </c>
      <c r="E904" s="4">
        <f>376.754048849789 * CHOOSE(CONTROL!$C$9, $C$13, 100%, $E$13) + CHOOSE(CONTROL!$C$28, 0.0021, 0)</f>
        <v>376.75614884978899</v>
      </c>
    </row>
    <row r="905" spans="1:5" ht="15">
      <c r="A905" s="13">
        <v>68698</v>
      </c>
      <c r="B905" s="4">
        <f>50.6056 * CHOOSE(CONTROL!$C$9, $C$13, 100%, $E$13) + CHOOSE(CONTROL!$C$28, 0.0226, 0)</f>
        <v>50.6282</v>
      </c>
      <c r="C905" s="4">
        <f>50.2423 * CHOOSE(CONTROL!$C$9, $C$13, 100%, $E$13) + CHOOSE(CONTROL!$C$28, 0.0226, 0)</f>
        <v>50.264899999999997</v>
      </c>
      <c r="D905" s="4">
        <f>76.9776 * CHOOSE(CONTROL!$C$9, $C$13, 100%, $E$13) + CHOOSE(CONTROL!$C$28, 0.0021, 0)</f>
        <v>76.979699999999994</v>
      </c>
      <c r="E905" s="4">
        <f>361.06071180898 * CHOOSE(CONTROL!$C$9, $C$13, 100%, $E$13) + CHOOSE(CONTROL!$C$28, 0.0021, 0)</f>
        <v>361.06281180897997</v>
      </c>
    </row>
    <row r="906" spans="1:5" ht="15">
      <c r="A906" s="13">
        <v>68727</v>
      </c>
      <c r="B906" s="4">
        <f>51.7888 * CHOOSE(CONTROL!$C$9, $C$13, 100%, $E$13) + CHOOSE(CONTROL!$C$28, 0.0226, 0)</f>
        <v>51.811399999999999</v>
      </c>
      <c r="C906" s="4">
        <f>51.4255 * CHOOSE(CONTROL!$C$9, $C$13, 100%, $E$13) + CHOOSE(CONTROL!$C$28, 0.0226, 0)</f>
        <v>51.448099999999997</v>
      </c>
      <c r="D906" s="4">
        <f>79.6291 * CHOOSE(CONTROL!$C$9, $C$13, 100%, $E$13) + CHOOSE(CONTROL!$C$28, 0.0021, 0)</f>
        <v>79.631199999999993</v>
      </c>
      <c r="E906" s="4">
        <f>369.633716014893 * CHOOSE(CONTROL!$C$9, $C$13, 100%, $E$13) + CHOOSE(CONTROL!$C$28, 0.0021, 0)</f>
        <v>369.63581601489301</v>
      </c>
    </row>
    <row r="907" spans="1:5" ht="15">
      <c r="A907" s="13">
        <v>68758</v>
      </c>
      <c r="B907" s="4">
        <f>54.896 * CHOOSE(CONTROL!$C$9, $C$13, 100%, $E$13) + CHOOSE(CONTROL!$C$28, 0.0226, 0)</f>
        <v>54.918599999999998</v>
      </c>
      <c r="C907" s="4">
        <f>54.5327 * CHOOSE(CONTROL!$C$9, $C$13, 100%, $E$13) + CHOOSE(CONTROL!$C$28, 0.0226, 0)</f>
        <v>54.555299999999995</v>
      </c>
      <c r="D907" s="4">
        <f>83.7798 * CHOOSE(CONTROL!$C$9, $C$13, 100%, $E$13) + CHOOSE(CONTROL!$C$28, 0.0021, 0)</f>
        <v>83.781899999999993</v>
      </c>
      <c r="E907" s="4">
        <f>392.146880656733 * CHOOSE(CONTROL!$C$9, $C$13, 100%, $E$13) + CHOOSE(CONTROL!$C$28, 0.0021, 0)</f>
        <v>392.14898065673299</v>
      </c>
    </row>
    <row r="908" spans="1:5" ht="15">
      <c r="A908" s="13">
        <v>68788</v>
      </c>
      <c r="B908" s="4">
        <f>57.1037 * CHOOSE(CONTROL!$C$9, $C$13, 100%, $E$13) + CHOOSE(CONTROL!$C$28, 0.0226, 0)</f>
        <v>57.126300000000001</v>
      </c>
      <c r="C908" s="4">
        <f>56.7404 * CHOOSE(CONTROL!$C$9, $C$13, 100%, $E$13) + CHOOSE(CONTROL!$C$28, 0.0226, 0)</f>
        <v>56.762999999999998</v>
      </c>
      <c r="D908" s="4">
        <f>86.1707 * CHOOSE(CONTROL!$C$9, $C$13, 100%, $E$13) + CHOOSE(CONTROL!$C$28, 0.0021, 0)</f>
        <v>86.172799999999995</v>
      </c>
      <c r="E908" s="4">
        <f>408.142784162128 * CHOOSE(CONTROL!$C$9, $C$13, 100%, $E$13) + CHOOSE(CONTROL!$C$28, 0.0021, 0)</f>
        <v>408.14488416212799</v>
      </c>
    </row>
    <row r="909" spans="1:5" ht="15">
      <c r="A909" s="13">
        <v>68819</v>
      </c>
      <c r="B909" s="4">
        <f>58.4525 * CHOOSE(CONTROL!$C$9, $C$13, 100%, $E$13) + CHOOSE(CONTROL!$C$28, 0.0226, 0)</f>
        <v>58.475099999999998</v>
      </c>
      <c r="C909" s="4">
        <f>58.0892 * CHOOSE(CONTROL!$C$9, $C$13, 100%, $E$13) + CHOOSE(CONTROL!$C$28, 0.0226, 0)</f>
        <v>58.111799999999995</v>
      </c>
      <c r="D909" s="4">
        <f>85.2259 * CHOOSE(CONTROL!$C$9, $C$13, 100%, $E$13) + CHOOSE(CONTROL!$C$28, 0.0021, 0)</f>
        <v>85.227999999999994</v>
      </c>
      <c r="E909" s="4">
        <f>417.915897835622 * CHOOSE(CONTROL!$C$9, $C$13, 100%, $E$13) + CHOOSE(CONTROL!$C$28, 0.0021, 0)</f>
        <v>417.91799783562197</v>
      </c>
    </row>
    <row r="910" spans="1:5" ht="15">
      <c r="A910" s="13">
        <v>68849</v>
      </c>
      <c r="B910" s="4">
        <f>58.635 * CHOOSE(CONTROL!$C$9, $C$13, 100%, $E$13) + CHOOSE(CONTROL!$C$28, 0.0226, 0)</f>
        <v>58.657599999999995</v>
      </c>
      <c r="C910" s="4">
        <f>58.2717 * CHOOSE(CONTROL!$C$9, $C$13, 100%, $E$13) + CHOOSE(CONTROL!$C$28, 0.0226, 0)</f>
        <v>58.2943</v>
      </c>
      <c r="D910" s="4">
        <f>85.9954 * CHOOSE(CONTROL!$C$9, $C$13, 100%, $E$13) + CHOOSE(CONTROL!$C$28, 0.0021, 0)</f>
        <v>85.997500000000002</v>
      </c>
      <c r="E910" s="4">
        <f>419.2382406749 * CHOOSE(CONTROL!$C$9, $C$13, 100%, $E$13) + CHOOSE(CONTROL!$C$28, 0.0021, 0)</f>
        <v>419.24034067489998</v>
      </c>
    </row>
    <row r="911" spans="1:5" ht="15">
      <c r="A911" s="13">
        <v>68880</v>
      </c>
      <c r="B911" s="4">
        <f>58.6166 * CHOOSE(CONTROL!$C$9, $C$13, 100%, $E$13) + CHOOSE(CONTROL!$C$28, 0.0226, 0)</f>
        <v>58.639199999999995</v>
      </c>
      <c r="C911" s="4">
        <f>58.2533 * CHOOSE(CONTROL!$C$9, $C$13, 100%, $E$13) + CHOOSE(CONTROL!$C$28, 0.0226, 0)</f>
        <v>58.2759</v>
      </c>
      <c r="D911" s="4">
        <f>87.3837 * CHOOSE(CONTROL!$C$9, $C$13, 100%, $E$13) + CHOOSE(CONTROL!$C$28, 0.0021, 0)</f>
        <v>87.385800000000003</v>
      </c>
      <c r="E911" s="4">
        <f>419.104895178503 * CHOOSE(CONTROL!$C$9, $C$13, 100%, $E$13) + CHOOSE(CONTROL!$C$28, 0.0021, 0)</f>
        <v>419.10699517850298</v>
      </c>
    </row>
    <row r="912" spans="1:5" ht="15">
      <c r="A912" s="13">
        <v>68911</v>
      </c>
      <c r="B912" s="4">
        <f>60.0015 * CHOOSE(CONTROL!$C$9, $C$13, 100%, $E$13) + CHOOSE(CONTROL!$C$28, 0.0226, 0)</f>
        <v>60.024099999999997</v>
      </c>
      <c r="C912" s="4">
        <f>59.6382 * CHOOSE(CONTROL!$C$9, $C$13, 100%, $E$13) + CHOOSE(CONTROL!$C$28, 0.0226, 0)</f>
        <v>59.660799999999995</v>
      </c>
      <c r="D912" s="4">
        <f>86.4668 * CHOOSE(CONTROL!$C$9, $C$13, 100%, $E$13) + CHOOSE(CONTROL!$C$28, 0.0021, 0)</f>
        <v>86.468900000000005</v>
      </c>
      <c r="E912" s="4">
        <f>429.139143782442 * CHOOSE(CONTROL!$C$9, $C$13, 100%, $E$13) + CHOOSE(CONTROL!$C$28, 0.0021, 0)</f>
        <v>429.14124378244196</v>
      </c>
    </row>
    <row r="913" spans="1:5" ht="15">
      <c r="A913" s="13">
        <v>68941</v>
      </c>
      <c r="B913" s="4">
        <f>57.6412 * CHOOSE(CONTROL!$C$9, $C$13, 100%, $E$13) + CHOOSE(CONTROL!$C$28, 0.0226, 0)</f>
        <v>57.663799999999995</v>
      </c>
      <c r="C913" s="4">
        <f>57.2779 * CHOOSE(CONTROL!$C$9, $C$13, 100%, $E$13) + CHOOSE(CONTROL!$C$28, 0.0226, 0)</f>
        <v>57.3005</v>
      </c>
      <c r="D913" s="4">
        <f>86.0336 * CHOOSE(CONTROL!$C$9, $C$13, 100%, $E$13) + CHOOSE(CONTROL!$C$28, 0.0021, 0)</f>
        <v>86.035700000000006</v>
      </c>
      <c r="E913" s="4">
        <f>412.037583869416 * CHOOSE(CONTROL!$C$9, $C$13, 100%, $E$13) + CHOOSE(CONTROL!$C$28, 0.0021, 0)</f>
        <v>412.03968386941597</v>
      </c>
    </row>
    <row r="914" spans="1:5" ht="15">
      <c r="A914" s="13">
        <v>68972</v>
      </c>
      <c r="B914" s="4">
        <f>55.7518 * CHOOSE(CONTROL!$C$9, $C$13, 100%, $E$13) + CHOOSE(CONTROL!$C$28, 0.0226, 0)</f>
        <v>55.7744</v>
      </c>
      <c r="C914" s="4">
        <f>55.3885 * CHOOSE(CONTROL!$C$9, $C$13, 100%, $E$13) + CHOOSE(CONTROL!$C$28, 0.0226, 0)</f>
        <v>55.411099999999998</v>
      </c>
      <c r="D914" s="4">
        <f>84.8737 * CHOOSE(CONTROL!$C$9, $C$13, 100%, $E$13) + CHOOSE(CONTROL!$C$28, 0.0021, 0)</f>
        <v>84.875799999999998</v>
      </c>
      <c r="E914" s="4">
        <f>398.347446239234 * CHOOSE(CONTROL!$C$9, $C$13, 100%, $E$13) + CHOOSE(CONTROL!$C$28, 0.0021, 0)</f>
        <v>398.34954623923397</v>
      </c>
    </row>
    <row r="915" spans="1:5" ht="15">
      <c r="A915" s="13">
        <v>69002</v>
      </c>
      <c r="B915" s="4">
        <f>54.5348 * CHOOSE(CONTROL!$C$9, $C$13, 100%, $E$13) + CHOOSE(CONTROL!$C$28, 0.0226, 0)</f>
        <v>54.557399999999994</v>
      </c>
      <c r="C915" s="4">
        <f>54.1715 * CHOOSE(CONTROL!$C$9, $C$13, 100%, $E$13) + CHOOSE(CONTROL!$C$28, 0.0226, 0)</f>
        <v>54.194099999999999</v>
      </c>
      <c r="D915" s="4">
        <f>84.4749 * CHOOSE(CONTROL!$C$9, $C$13, 100%, $E$13) + CHOOSE(CONTROL!$C$28, 0.0021, 0)</f>
        <v>84.477000000000004</v>
      </c>
      <c r="E915" s="4">
        <f>389.529975289925 * CHOOSE(CONTROL!$C$9, $C$13, 100%, $E$13) + CHOOSE(CONTROL!$C$28, 0.0021, 0)</f>
        <v>389.53207528992499</v>
      </c>
    </row>
    <row r="916" spans="1:5" ht="15">
      <c r="A916" s="13">
        <v>69033</v>
      </c>
      <c r="B916" s="4">
        <f>53.6928 * CHOOSE(CONTROL!$C$9, $C$13, 100%, $E$13) + CHOOSE(CONTROL!$C$28, 0.0226, 0)</f>
        <v>53.715399999999995</v>
      </c>
      <c r="C916" s="4">
        <f>53.3295 * CHOOSE(CONTROL!$C$9, $C$13, 100%, $E$13) + CHOOSE(CONTROL!$C$28, 0.0226, 0)</f>
        <v>53.3521</v>
      </c>
      <c r="D916" s="4">
        <f>81.539 * CHOOSE(CONTROL!$C$9, $C$13, 100%, $E$13) + CHOOSE(CONTROL!$C$28, 0.0021, 0)</f>
        <v>81.5411</v>
      </c>
      <c r="E916" s="4">
        <f>383.429418829723 * CHOOSE(CONTROL!$C$9, $C$13, 100%, $E$13) + CHOOSE(CONTROL!$C$28, 0.0021, 0)</f>
        <v>383.43151882972296</v>
      </c>
    </row>
    <row r="917" spans="1:5" ht="15">
      <c r="A917" s="13">
        <v>69064</v>
      </c>
      <c r="B917" s="4">
        <f>51.3892 * CHOOSE(CONTROL!$C$9, $C$13, 100%, $E$13) + CHOOSE(CONTROL!$C$28, 0.0226, 0)</f>
        <v>51.411799999999999</v>
      </c>
      <c r="C917" s="4">
        <f>51.0259 * CHOOSE(CONTROL!$C$9, $C$13, 100%, $E$13) + CHOOSE(CONTROL!$C$28, 0.0226, 0)</f>
        <v>51.048499999999997</v>
      </c>
      <c r="D917" s="4">
        <f>78.3049 * CHOOSE(CONTROL!$C$9, $C$13, 100%, $E$13) + CHOOSE(CONTROL!$C$28, 0.0021, 0)</f>
        <v>78.307000000000002</v>
      </c>
      <c r="E917" s="4">
        <f>367.458025504484 * CHOOSE(CONTROL!$C$9, $C$13, 100%, $E$13) + CHOOSE(CONTROL!$C$28, 0.0021, 0)</f>
        <v>367.46012550448398</v>
      </c>
    </row>
    <row r="918" spans="1:5" ht="15">
      <c r="A918" s="13">
        <v>69092</v>
      </c>
      <c r="B918" s="4">
        <f>52.591 * CHOOSE(CONTROL!$C$9, $C$13, 100%, $E$13) + CHOOSE(CONTROL!$C$28, 0.0226, 0)</f>
        <v>52.613599999999998</v>
      </c>
      <c r="C918" s="4">
        <f>52.2277 * CHOOSE(CONTROL!$C$9, $C$13, 100%, $E$13) + CHOOSE(CONTROL!$C$28, 0.0226, 0)</f>
        <v>52.250299999999996</v>
      </c>
      <c r="D918" s="4">
        <f>81.0033 * CHOOSE(CONTROL!$C$9, $C$13, 100%, $E$13) + CHOOSE(CONTROL!$C$28, 0.0021, 0)</f>
        <v>81.005399999999995</v>
      </c>
      <c r="E918" s="4">
        <f>376.182927148762 * CHOOSE(CONTROL!$C$9, $C$13, 100%, $E$13) + CHOOSE(CONTROL!$C$28, 0.0021, 0)</f>
        <v>376.185027148762</v>
      </c>
    </row>
    <row r="919" spans="1:5" ht="15">
      <c r="A919" s="13">
        <v>69123</v>
      </c>
      <c r="B919" s="4">
        <f>55.747 * CHOOSE(CONTROL!$C$9, $C$13, 100%, $E$13) + CHOOSE(CONTROL!$C$28, 0.0226, 0)</f>
        <v>55.769599999999997</v>
      </c>
      <c r="C919" s="4">
        <f>55.3838 * CHOOSE(CONTROL!$C$9, $C$13, 100%, $E$13) + CHOOSE(CONTROL!$C$28, 0.0226, 0)</f>
        <v>55.406399999999998</v>
      </c>
      <c r="D919" s="4">
        <f>85.2273 * CHOOSE(CONTROL!$C$9, $C$13, 100%, $E$13) + CHOOSE(CONTROL!$C$28, 0.0021, 0)</f>
        <v>85.229399999999998</v>
      </c>
      <c r="E919" s="4">
        <f>399.094982536069 * CHOOSE(CONTROL!$C$9, $C$13, 100%, $E$13) + CHOOSE(CONTROL!$C$28, 0.0021, 0)</f>
        <v>399.09708253606897</v>
      </c>
    </row>
    <row r="920" spans="1:5" ht="15">
      <c r="A920" s="13">
        <v>69153</v>
      </c>
      <c r="B920" s="4">
        <f>57.9895 * CHOOSE(CONTROL!$C$9, $C$13, 100%, $E$13) + CHOOSE(CONTROL!$C$28, 0.0226, 0)</f>
        <v>58.012099999999997</v>
      </c>
      <c r="C920" s="4">
        <f>57.6262 * CHOOSE(CONTROL!$C$9, $C$13, 100%, $E$13) + CHOOSE(CONTROL!$C$28, 0.0226, 0)</f>
        <v>57.648799999999994</v>
      </c>
      <c r="D920" s="4">
        <f>87.6605 * CHOOSE(CONTROL!$C$9, $C$13, 100%, $E$13) + CHOOSE(CONTROL!$C$28, 0.0021, 0)</f>
        <v>87.662599999999998</v>
      </c>
      <c r="E920" s="4">
        <f>415.374303232036 * CHOOSE(CONTROL!$C$9, $C$13, 100%, $E$13) + CHOOSE(CONTROL!$C$28, 0.0021, 0)</f>
        <v>415.37640323203601</v>
      </c>
    </row>
    <row r="921" spans="1:5" ht="15">
      <c r="A921" s="13">
        <v>69184</v>
      </c>
      <c r="B921" s="4">
        <f>59.3595 * CHOOSE(CONTROL!$C$9, $C$13, 100%, $E$13) + CHOOSE(CONTROL!$C$28, 0.0226, 0)</f>
        <v>59.382099999999994</v>
      </c>
      <c r="C921" s="4">
        <f>58.9962 * CHOOSE(CONTROL!$C$9, $C$13, 100%, $E$13) + CHOOSE(CONTROL!$C$28, 0.0226, 0)</f>
        <v>59.018799999999999</v>
      </c>
      <c r="D921" s="4">
        <f>86.699 * CHOOSE(CONTROL!$C$9, $C$13, 100%, $E$13) + CHOOSE(CONTROL!$C$28, 0.0021, 0)</f>
        <v>86.701099999999997</v>
      </c>
      <c r="E921" s="4">
        <f>425.320578016408 * CHOOSE(CONTROL!$C$9, $C$13, 100%, $E$13) + CHOOSE(CONTROL!$C$28, 0.0021, 0)</f>
        <v>425.32267801640796</v>
      </c>
    </row>
    <row r="922" spans="1:5" ht="15">
      <c r="A922" s="13">
        <v>69214</v>
      </c>
      <c r="B922" s="4">
        <f>59.5449 * CHOOSE(CONTROL!$C$9, $C$13, 100%, $E$13) + CHOOSE(CONTROL!$C$28, 0.0226, 0)</f>
        <v>59.567499999999995</v>
      </c>
      <c r="C922" s="4">
        <f>59.1816 * CHOOSE(CONTROL!$C$9, $C$13, 100%, $E$13) + CHOOSE(CONTROL!$C$28, 0.0226, 0)</f>
        <v>59.2042</v>
      </c>
      <c r="D922" s="4">
        <f>87.482 * CHOOSE(CONTROL!$C$9, $C$13, 100%, $E$13) + CHOOSE(CONTROL!$C$28, 0.0021, 0)</f>
        <v>87.484099999999998</v>
      </c>
      <c r="E922" s="4">
        <f>426.666350272622 * CHOOSE(CONTROL!$C$9, $C$13, 100%, $E$13) + CHOOSE(CONTROL!$C$28, 0.0021, 0)</f>
        <v>426.66845027262201</v>
      </c>
    </row>
    <row r="923" spans="1:5" ht="15">
      <c r="A923" s="13">
        <v>69245</v>
      </c>
      <c r="B923" s="4">
        <f>59.5262 * CHOOSE(CONTROL!$C$9, $C$13, 100%, $E$13) + CHOOSE(CONTROL!$C$28, 0.0226, 0)</f>
        <v>59.5488</v>
      </c>
      <c r="C923" s="4">
        <f>59.1629 * CHOOSE(CONTROL!$C$9, $C$13, 100%, $E$13) + CHOOSE(CONTROL!$C$28, 0.0226, 0)</f>
        <v>59.185499999999998</v>
      </c>
      <c r="D923" s="4">
        <f>88.8949 * CHOOSE(CONTROL!$C$9, $C$13, 100%, $E$13) + CHOOSE(CONTROL!$C$28, 0.0021, 0)</f>
        <v>88.897000000000006</v>
      </c>
      <c r="E923" s="4">
        <f>426.530642145945 * CHOOSE(CONTROL!$C$9, $C$13, 100%, $E$13) + CHOOSE(CONTROL!$C$28, 0.0021, 0)</f>
        <v>426.53274214594501</v>
      </c>
    </row>
    <row r="924" spans="1:5" ht="15">
      <c r="A924" s="13">
        <v>69276</v>
      </c>
      <c r="B924" s="4">
        <f>60.9329 * CHOOSE(CONTROL!$C$9, $C$13, 100%, $E$13) + CHOOSE(CONTROL!$C$28, 0.0226, 0)</f>
        <v>60.955499999999994</v>
      </c>
      <c r="C924" s="4">
        <f>60.5696 * CHOOSE(CONTROL!$C$9, $C$13, 100%, $E$13) + CHOOSE(CONTROL!$C$28, 0.0226, 0)</f>
        <v>60.592199999999998</v>
      </c>
      <c r="D924" s="4">
        <f>87.9618 * CHOOSE(CONTROL!$C$9, $C$13, 100%, $E$13) + CHOOSE(CONTROL!$C$28, 0.0021, 0)</f>
        <v>87.963899999999995</v>
      </c>
      <c r="E924" s="4">
        <f>436.742678678392 * CHOOSE(CONTROL!$C$9, $C$13, 100%, $E$13) + CHOOSE(CONTROL!$C$28, 0.0021, 0)</f>
        <v>436.74477867839198</v>
      </c>
    </row>
    <row r="925" spans="1:5" ht="15">
      <c r="A925" s="13">
        <v>69306</v>
      </c>
      <c r="B925" s="4">
        <f>58.5354 * CHOOSE(CONTROL!$C$9, $C$13, 100%, $E$13) + CHOOSE(CONTROL!$C$28, 0.0226, 0)</f>
        <v>58.558</v>
      </c>
      <c r="C925" s="4">
        <f>58.1722 * CHOOSE(CONTROL!$C$9, $C$13, 100%, $E$13) + CHOOSE(CONTROL!$C$28, 0.0226, 0)</f>
        <v>58.194799999999994</v>
      </c>
      <c r="D925" s="4">
        <f>87.521 * CHOOSE(CONTROL!$C$9, $C$13, 100%, $E$13) + CHOOSE(CONTROL!$C$28, 0.0021, 0)</f>
        <v>87.523099999999999</v>
      </c>
      <c r="E925" s="4">
        <f>419.338111432061 * CHOOSE(CONTROL!$C$9, $C$13, 100%, $E$13) + CHOOSE(CONTROL!$C$28, 0.0021, 0)</f>
        <v>419.34021143206098</v>
      </c>
    </row>
    <row r="926" spans="1:5" ht="15">
      <c r="A926" s="13">
        <v>69337</v>
      </c>
      <c r="B926" s="4">
        <f>56.6163 * CHOOSE(CONTROL!$C$9, $C$13, 100%, $E$13) + CHOOSE(CONTROL!$C$28, 0.0226, 0)</f>
        <v>56.6389</v>
      </c>
      <c r="C926" s="4">
        <f>56.253 * CHOOSE(CONTROL!$C$9, $C$13, 100%, $E$13) + CHOOSE(CONTROL!$C$28, 0.0226, 0)</f>
        <v>56.275599999999997</v>
      </c>
      <c r="D926" s="4">
        <f>86.3406 * CHOOSE(CONTROL!$C$9, $C$13, 100%, $E$13) + CHOOSE(CONTROL!$C$28, 0.0021, 0)</f>
        <v>86.342699999999994</v>
      </c>
      <c r="E926" s="4">
        <f>405.405410426552 * CHOOSE(CONTROL!$C$9, $C$13, 100%, $E$13) + CHOOSE(CONTROL!$C$28, 0.0021, 0)</f>
        <v>405.40751042655199</v>
      </c>
    </row>
    <row r="927" spans="1:5" ht="15">
      <c r="A927" s="13">
        <v>69367</v>
      </c>
      <c r="B927" s="4">
        <f>55.3802 * CHOOSE(CONTROL!$C$9, $C$13, 100%, $E$13) + CHOOSE(CONTROL!$C$28, 0.0226, 0)</f>
        <v>55.402799999999999</v>
      </c>
      <c r="C927" s="4">
        <f>55.0169 * CHOOSE(CONTROL!$C$9, $C$13, 100%, $E$13) + CHOOSE(CONTROL!$C$28, 0.0226, 0)</f>
        <v>55.039499999999997</v>
      </c>
      <c r="D927" s="4">
        <f>85.9347 * CHOOSE(CONTROL!$C$9, $C$13, 100%, $E$13) + CHOOSE(CONTROL!$C$28, 0.0021, 0)</f>
        <v>85.936800000000005</v>
      </c>
      <c r="E927" s="4">
        <f>396.431710550032 * CHOOSE(CONTROL!$C$9, $C$13, 100%, $E$13) + CHOOSE(CONTROL!$C$28, 0.0021, 0)</f>
        <v>396.43381055003198</v>
      </c>
    </row>
    <row r="928" spans="1:5" ht="15">
      <c r="A928" s="13">
        <v>69398</v>
      </c>
      <c r="B928" s="4">
        <f>54.525 * CHOOSE(CONTROL!$C$9, $C$13, 100%, $E$13) + CHOOSE(CONTROL!$C$28, 0.0226, 0)</f>
        <v>54.547599999999996</v>
      </c>
      <c r="C928" s="4">
        <f>54.1617 * CHOOSE(CONTROL!$C$9, $C$13, 100%, $E$13) + CHOOSE(CONTROL!$C$28, 0.0226, 0)</f>
        <v>54.1843</v>
      </c>
      <c r="D928" s="4">
        <f>82.947 * CHOOSE(CONTROL!$C$9, $C$13, 100%, $E$13) + CHOOSE(CONTROL!$C$28, 0.0021, 0)</f>
        <v>82.949100000000001</v>
      </c>
      <c r="E928" s="4">
        <f>390.223063754558 * CHOOSE(CONTROL!$C$9, $C$13, 100%, $E$13) + CHOOSE(CONTROL!$C$28, 0.0021, 0)</f>
        <v>390.22516375455797</v>
      </c>
    </row>
    <row r="929" spans="1:5" ht="15">
      <c r="A929" s="13">
        <v>69429</v>
      </c>
      <c r="B929" s="4">
        <f>52.1851 * CHOOSE(CONTROL!$C$9, $C$13, 100%, $E$13) + CHOOSE(CONTROL!$C$28, 0.0226, 0)</f>
        <v>52.207699999999996</v>
      </c>
      <c r="C929" s="4">
        <f>51.8218 * CHOOSE(CONTROL!$C$9, $C$13, 100%, $E$13) + CHOOSE(CONTROL!$C$28, 0.0226, 0)</f>
        <v>51.8444</v>
      </c>
      <c r="D929" s="4">
        <f>79.6557 * CHOOSE(CONTROL!$C$9, $C$13, 100%, $E$13) + CHOOSE(CONTROL!$C$28, 0.0021, 0)</f>
        <v>79.657799999999995</v>
      </c>
      <c r="E929" s="4">
        <f>373.968687512834 * CHOOSE(CONTROL!$C$9, $C$13, 100%, $E$13) + CHOOSE(CONTROL!$C$28, 0.0021, 0)</f>
        <v>373.97078751283397</v>
      </c>
    </row>
    <row r="930" spans="1:5" ht="15">
      <c r="A930" s="13">
        <v>69457</v>
      </c>
      <c r="B930" s="4">
        <f>53.4058 * CHOOSE(CONTROL!$C$9, $C$13, 100%, $E$13) + CHOOSE(CONTROL!$C$28, 0.0226, 0)</f>
        <v>53.428399999999996</v>
      </c>
      <c r="C930" s="4">
        <f>53.0426 * CHOOSE(CONTROL!$C$9, $C$13, 100%, $E$13) + CHOOSE(CONTROL!$C$28, 0.0226, 0)</f>
        <v>53.065199999999997</v>
      </c>
      <c r="D930" s="4">
        <f>82.4017 * CHOOSE(CONTROL!$C$9, $C$13, 100%, $E$13) + CHOOSE(CONTROL!$C$28, 0.0021, 0)</f>
        <v>82.403800000000004</v>
      </c>
      <c r="E930" s="4">
        <f>382.84817793112 * CHOOSE(CONTROL!$C$9, $C$13, 100%, $E$13) + CHOOSE(CONTROL!$C$28, 0.0021, 0)</f>
        <v>382.85027793111999</v>
      </c>
    </row>
    <row r="931" spans="1:5" ht="15">
      <c r="A931" s="13">
        <v>69488</v>
      </c>
      <c r="B931" s="4">
        <f>56.6115 * CHOOSE(CONTROL!$C$9, $C$13, 100%, $E$13) + CHOOSE(CONTROL!$C$28, 0.0226, 0)</f>
        <v>56.634099999999997</v>
      </c>
      <c r="C931" s="4">
        <f>56.2482 * CHOOSE(CONTROL!$C$9, $C$13, 100%, $E$13) + CHOOSE(CONTROL!$C$28, 0.0226, 0)</f>
        <v>56.270799999999994</v>
      </c>
      <c r="D931" s="4">
        <f>86.7004 * CHOOSE(CONTROL!$C$9, $C$13, 100%, $E$13) + CHOOSE(CONTROL!$C$28, 0.0021, 0)</f>
        <v>86.702500000000001</v>
      </c>
      <c r="E931" s="4">
        <f>406.166191654317 * CHOOSE(CONTROL!$C$9, $C$13, 100%, $E$13) + CHOOSE(CONTROL!$C$28, 0.0021, 0)</f>
        <v>406.16829165431699</v>
      </c>
    </row>
    <row r="932" spans="1:5" ht="15">
      <c r="A932" s="13">
        <v>69518</v>
      </c>
      <c r="B932" s="4">
        <f>58.8892 * CHOOSE(CONTROL!$C$9, $C$13, 100%, $E$13) + CHOOSE(CONTROL!$C$28, 0.0226, 0)</f>
        <v>58.911799999999999</v>
      </c>
      <c r="C932" s="4">
        <f>58.5259 * CHOOSE(CONTROL!$C$9, $C$13, 100%, $E$13) + CHOOSE(CONTROL!$C$28, 0.0226, 0)</f>
        <v>58.548499999999997</v>
      </c>
      <c r="D932" s="4">
        <f>89.1766 * CHOOSE(CONTROL!$C$9, $C$13, 100%, $E$13) + CHOOSE(CONTROL!$C$28, 0.0021, 0)</f>
        <v>89.178699999999992</v>
      </c>
      <c r="E932" s="4">
        <f>422.73395115804 * CHOOSE(CONTROL!$C$9, $C$13, 100%, $E$13) + CHOOSE(CONTROL!$C$28, 0.0021, 0)</f>
        <v>422.73605115803997</v>
      </c>
    </row>
    <row r="933" spans="1:5" ht="15">
      <c r="A933" s="13">
        <v>69549</v>
      </c>
      <c r="B933" s="4">
        <f>60.2808 * CHOOSE(CONTROL!$C$9, $C$13, 100%, $E$13) + CHOOSE(CONTROL!$C$28, 0.0226, 0)</f>
        <v>60.303399999999996</v>
      </c>
      <c r="C933" s="4">
        <f>59.9175 * CHOOSE(CONTROL!$C$9, $C$13, 100%, $E$13) + CHOOSE(CONTROL!$C$28, 0.0226, 0)</f>
        <v>59.940099999999994</v>
      </c>
      <c r="D933" s="4">
        <f>88.1981 * CHOOSE(CONTROL!$C$9, $C$13, 100%, $E$13) + CHOOSE(CONTROL!$C$28, 0.0021, 0)</f>
        <v>88.200199999999995</v>
      </c>
      <c r="E933" s="4">
        <f>432.856455141038 * CHOOSE(CONTROL!$C$9, $C$13, 100%, $E$13) + CHOOSE(CONTROL!$C$28, 0.0021, 0)</f>
        <v>432.85855514103798</v>
      </c>
    </row>
    <row r="934" spans="1:5" ht="15">
      <c r="A934" s="13">
        <v>69579</v>
      </c>
      <c r="B934" s="4">
        <f>60.4691 * CHOOSE(CONTROL!$C$9, $C$13, 100%, $E$13) + CHOOSE(CONTROL!$C$28, 0.0226, 0)</f>
        <v>60.491699999999994</v>
      </c>
      <c r="C934" s="4">
        <f>60.1058 * CHOOSE(CONTROL!$C$9, $C$13, 100%, $E$13) + CHOOSE(CONTROL!$C$28, 0.0226, 0)</f>
        <v>60.128399999999999</v>
      </c>
      <c r="D934" s="4">
        <f>88.995 * CHOOSE(CONTROL!$C$9, $C$13, 100%, $E$13) + CHOOSE(CONTROL!$C$28, 0.0021, 0)</f>
        <v>88.997100000000003</v>
      </c>
      <c r="E934" s="4">
        <f>434.226071939192 * CHOOSE(CONTROL!$C$9, $C$13, 100%, $E$13) + CHOOSE(CONTROL!$C$28, 0.0021, 0)</f>
        <v>434.22817193919201</v>
      </c>
    </row>
    <row r="935" spans="1:5" ht="15">
      <c r="A935" s="13">
        <v>69610</v>
      </c>
      <c r="B935" s="4">
        <f>60.4501 * CHOOSE(CONTROL!$C$9, $C$13, 100%, $E$13) + CHOOSE(CONTROL!$C$28, 0.0226, 0)</f>
        <v>60.472699999999996</v>
      </c>
      <c r="C935" s="4">
        <f>60.0868 * CHOOSE(CONTROL!$C$9, $C$13, 100%, $E$13) + CHOOSE(CONTROL!$C$28, 0.0226, 0)</f>
        <v>60.109399999999994</v>
      </c>
      <c r="D935" s="4">
        <f>90.4328 * CHOOSE(CONTROL!$C$9, $C$13, 100%, $E$13) + CHOOSE(CONTROL!$C$28, 0.0021, 0)</f>
        <v>90.434899999999999</v>
      </c>
      <c r="E935" s="4">
        <f>434.087959320891 * CHOOSE(CONTROL!$C$9, $C$13, 100%, $E$13) + CHOOSE(CONTROL!$C$28, 0.0021, 0)</f>
        <v>434.09005932089099</v>
      </c>
    </row>
    <row r="936" spans="1:5" ht="15">
      <c r="A936" s="13">
        <v>69641</v>
      </c>
      <c r="B936" s="4">
        <f>61.8789 * CHOOSE(CONTROL!$C$9, $C$13, 100%, $E$13) + CHOOSE(CONTROL!$C$28, 0.0226, 0)</f>
        <v>61.901499999999999</v>
      </c>
      <c r="C936" s="4">
        <f>61.5156 * CHOOSE(CONTROL!$C$9, $C$13, 100%, $E$13) + CHOOSE(CONTROL!$C$28, 0.0226, 0)</f>
        <v>61.538199999999996</v>
      </c>
      <c r="D936" s="4">
        <f>89.4833 * CHOOSE(CONTROL!$C$9, $C$13, 100%, $E$13) + CHOOSE(CONTROL!$C$28, 0.0021, 0)</f>
        <v>89.485399999999998</v>
      </c>
      <c r="E936" s="4">
        <f>444.480933848061 * CHOOSE(CONTROL!$C$9, $C$13, 100%, $E$13) + CHOOSE(CONTROL!$C$28, 0.0021, 0)</f>
        <v>444.48303384806098</v>
      </c>
    </row>
    <row r="937" spans="1:5" ht="15">
      <c r="A937" s="13">
        <v>69671</v>
      </c>
      <c r="B937" s="4">
        <f>59.4438 * CHOOSE(CONTROL!$C$9, $C$13, 100%, $E$13) + CHOOSE(CONTROL!$C$28, 0.0226, 0)</f>
        <v>59.4664</v>
      </c>
      <c r="C937" s="4">
        <f>59.0805 * CHOOSE(CONTROL!$C$9, $C$13, 100%, $E$13) + CHOOSE(CONTROL!$C$28, 0.0226, 0)</f>
        <v>59.103099999999998</v>
      </c>
      <c r="D937" s="4">
        <f>89.0346 * CHOOSE(CONTROL!$C$9, $C$13, 100%, $E$13) + CHOOSE(CONTROL!$C$28, 0.0021, 0)</f>
        <v>89.036699999999996</v>
      </c>
      <c r="E937" s="4">
        <f>426.767990550923 * CHOOSE(CONTROL!$C$9, $C$13, 100%, $E$13) + CHOOSE(CONTROL!$C$28, 0.0021, 0)</f>
        <v>426.77009055092299</v>
      </c>
    </row>
    <row r="938" spans="1:5" ht="15">
      <c r="A938" s="13">
        <v>69702</v>
      </c>
      <c r="B938" s="4">
        <f>57.4944 * CHOOSE(CONTROL!$C$9, $C$13, 100%, $E$13) + CHOOSE(CONTROL!$C$28, 0.0226, 0)</f>
        <v>57.516999999999996</v>
      </c>
      <c r="C938" s="4">
        <f>57.1311 * CHOOSE(CONTROL!$C$9, $C$13, 100%, $E$13) + CHOOSE(CONTROL!$C$28, 0.0226, 0)</f>
        <v>57.153700000000001</v>
      </c>
      <c r="D938" s="4">
        <f>87.8333 * CHOOSE(CONTROL!$C$9, $C$13, 100%, $E$13) + CHOOSE(CONTROL!$C$28, 0.0021, 0)</f>
        <v>87.835399999999993</v>
      </c>
      <c r="E938" s="4">
        <f>412.588428405326 * CHOOSE(CONTROL!$C$9, $C$13, 100%, $E$13) + CHOOSE(CONTROL!$C$28, 0.0021, 0)</f>
        <v>412.59052840532598</v>
      </c>
    </row>
    <row r="939" spans="1:5" ht="15">
      <c r="A939" s="13">
        <v>69732</v>
      </c>
      <c r="B939" s="4">
        <f>56.2389 * CHOOSE(CONTROL!$C$9, $C$13, 100%, $E$13) + CHOOSE(CONTROL!$C$28, 0.0226, 0)</f>
        <v>56.261499999999998</v>
      </c>
      <c r="C939" s="4">
        <f>55.8756 * CHOOSE(CONTROL!$C$9, $C$13, 100%, $E$13) + CHOOSE(CONTROL!$C$28, 0.0226, 0)</f>
        <v>55.898199999999996</v>
      </c>
      <c r="D939" s="4">
        <f>87.4203 * CHOOSE(CONTROL!$C$9, $C$13, 100%, $E$13) + CHOOSE(CONTROL!$C$28, 0.0021, 0)</f>
        <v>87.422399999999996</v>
      </c>
      <c r="E939" s="4">
        <f>403.455731520155 * CHOOSE(CONTROL!$C$9, $C$13, 100%, $E$13) + CHOOSE(CONTROL!$C$28, 0.0021, 0)</f>
        <v>403.45783152015497</v>
      </c>
    </row>
    <row r="940" spans="1:5" ht="15">
      <c r="A940" s="13">
        <v>69763</v>
      </c>
      <c r="B940" s="4">
        <f>55.3702 * CHOOSE(CONTROL!$C$9, $C$13, 100%, $E$13) + CHOOSE(CONTROL!$C$28, 0.0226, 0)</f>
        <v>55.392799999999994</v>
      </c>
      <c r="C940" s="4">
        <f>55.0069 * CHOOSE(CONTROL!$C$9, $C$13, 100%, $E$13) + CHOOSE(CONTROL!$C$28, 0.0226, 0)</f>
        <v>55.029499999999999</v>
      </c>
      <c r="D940" s="4">
        <f>84.3798 * CHOOSE(CONTROL!$C$9, $C$13, 100%, $E$13) + CHOOSE(CONTROL!$C$28, 0.0021, 0)</f>
        <v>84.381900000000002</v>
      </c>
      <c r="E940" s="4">
        <f>397.137079232872 * CHOOSE(CONTROL!$C$9, $C$13, 100%, $E$13) + CHOOSE(CONTROL!$C$28, 0.0021, 0)</f>
        <v>397.13917923287198</v>
      </c>
    </row>
    <row r="941" spans="1:5" ht="15">
      <c r="A941" s="13">
        <v>69794</v>
      </c>
      <c r="B941" s="4">
        <f>52.9936 * CHOOSE(CONTROL!$C$9, $C$13, 100%, $E$13) + CHOOSE(CONTROL!$C$28, 0.0226, 0)</f>
        <v>53.016199999999998</v>
      </c>
      <c r="C941" s="4">
        <f>52.6303 * CHOOSE(CONTROL!$C$9, $C$13, 100%, $E$13) + CHOOSE(CONTROL!$C$28, 0.0226, 0)</f>
        <v>52.652899999999995</v>
      </c>
      <c r="D941" s="4">
        <f>81.0304 * CHOOSE(CONTROL!$C$9, $C$13, 100%, $E$13) + CHOOSE(CONTROL!$C$28, 0.0021, 0)</f>
        <v>81.032499999999999</v>
      </c>
      <c r="E941" s="4">
        <f>380.594706151995 * CHOOSE(CONTROL!$C$9, $C$13, 100%, $E$13) + CHOOSE(CONTROL!$C$28, 0.0021, 0)</f>
        <v>380.596806151995</v>
      </c>
    </row>
    <row r="942" spans="1:5" ht="15">
      <c r="A942" s="13">
        <v>69822</v>
      </c>
      <c r="B942" s="4">
        <f>54.2335 * CHOOSE(CONTROL!$C$9, $C$13, 100%, $E$13) + CHOOSE(CONTROL!$C$28, 0.0226, 0)</f>
        <v>54.256099999999996</v>
      </c>
      <c r="C942" s="4">
        <f>53.8702 * CHOOSE(CONTROL!$C$9, $C$13, 100%, $E$13) + CHOOSE(CONTROL!$C$28, 0.0226, 0)</f>
        <v>53.892799999999994</v>
      </c>
      <c r="D942" s="4">
        <f>83.8249 * CHOOSE(CONTROL!$C$9, $C$13, 100%, $E$13) + CHOOSE(CONTROL!$C$28, 0.0021, 0)</f>
        <v>83.826999999999998</v>
      </c>
      <c r="E942" s="4">
        <f>389.631524365314 * CHOOSE(CONTROL!$C$9, $C$13, 100%, $E$13) + CHOOSE(CONTROL!$C$28, 0.0021, 0)</f>
        <v>389.63362436531401</v>
      </c>
    </row>
    <row r="943" spans="1:5" ht="15">
      <c r="A943" s="13">
        <v>69853</v>
      </c>
      <c r="B943" s="4">
        <f>57.4896 * CHOOSE(CONTROL!$C$9, $C$13, 100%, $E$13) + CHOOSE(CONTROL!$C$28, 0.0226, 0)</f>
        <v>57.5122</v>
      </c>
      <c r="C943" s="4">
        <f>57.1263 * CHOOSE(CONTROL!$C$9, $C$13, 100%, $E$13) + CHOOSE(CONTROL!$C$28, 0.0226, 0)</f>
        <v>57.148899999999998</v>
      </c>
      <c r="D943" s="4">
        <f>88.1995 * CHOOSE(CONTROL!$C$9, $C$13, 100%, $E$13) + CHOOSE(CONTROL!$C$28, 0.0021, 0)</f>
        <v>88.201599999999999</v>
      </c>
      <c r="E943" s="4">
        <f>413.362689239176 * CHOOSE(CONTROL!$C$9, $C$13, 100%, $E$13) + CHOOSE(CONTROL!$C$28, 0.0021, 0)</f>
        <v>413.36478923917599</v>
      </c>
    </row>
    <row r="944" spans="1:5" ht="15">
      <c r="A944" s="13">
        <v>69883</v>
      </c>
      <c r="B944" s="4">
        <f>59.803 * CHOOSE(CONTROL!$C$9, $C$13, 100%, $E$13) + CHOOSE(CONTROL!$C$28, 0.0226, 0)</f>
        <v>59.825599999999994</v>
      </c>
      <c r="C944" s="4">
        <f>59.4398 * CHOOSE(CONTROL!$C$9, $C$13, 100%, $E$13) + CHOOSE(CONTROL!$C$28, 0.0226, 0)</f>
        <v>59.462399999999995</v>
      </c>
      <c r="D944" s="4">
        <f>90.7194 * CHOOSE(CONTROL!$C$9, $C$13, 100%, $E$13) + CHOOSE(CONTROL!$C$28, 0.0021, 0)</f>
        <v>90.721499999999992</v>
      </c>
      <c r="E944" s="4">
        <f>430.223998141409 * CHOOSE(CONTROL!$C$9, $C$13, 100%, $E$13) + CHOOSE(CONTROL!$C$28, 0.0021, 0)</f>
        <v>430.22609814140901</v>
      </c>
    </row>
    <row r="945" spans="1:5" ht="15">
      <c r="A945" s="13">
        <v>69914</v>
      </c>
      <c r="B945" s="4">
        <f>61.2165 * CHOOSE(CONTROL!$C$9, $C$13, 100%, $E$13) + CHOOSE(CONTROL!$C$28, 0.0226, 0)</f>
        <v>61.239100000000001</v>
      </c>
      <c r="C945" s="4">
        <f>60.8532 * CHOOSE(CONTROL!$C$9, $C$13, 100%, $E$13) + CHOOSE(CONTROL!$C$28, 0.0226, 0)</f>
        <v>60.875799999999998</v>
      </c>
      <c r="D945" s="4">
        <f>89.7237 * CHOOSE(CONTROL!$C$9, $C$13, 100%, $E$13) + CHOOSE(CONTROL!$C$28, 0.0021, 0)</f>
        <v>89.725799999999992</v>
      </c>
      <c r="E945" s="4">
        <f>440.525853771498 * CHOOSE(CONTROL!$C$9, $C$13, 100%, $E$13) + CHOOSE(CONTROL!$C$28, 0.0021, 0)</f>
        <v>440.52795377149801</v>
      </c>
    </row>
    <row r="946" spans="1:5" ht="15">
      <c r="A946" s="13">
        <v>69944</v>
      </c>
      <c r="B946" s="4">
        <f>61.4078 * CHOOSE(CONTROL!$C$9, $C$13, 100%, $E$13) + CHOOSE(CONTROL!$C$28, 0.0226, 0)</f>
        <v>61.430399999999999</v>
      </c>
      <c r="C946" s="4">
        <f>61.0445 * CHOOSE(CONTROL!$C$9, $C$13, 100%, $E$13) + CHOOSE(CONTROL!$C$28, 0.0226, 0)</f>
        <v>61.067099999999996</v>
      </c>
      <c r="D946" s="4">
        <f>90.5346 * CHOOSE(CONTROL!$C$9, $C$13, 100%, $E$13) + CHOOSE(CONTROL!$C$28, 0.0021, 0)</f>
        <v>90.536699999999996</v>
      </c>
      <c r="E946" s="4">
        <f>441.919737591828 * CHOOSE(CONTROL!$C$9, $C$13, 100%, $E$13) + CHOOSE(CONTROL!$C$28, 0.0021, 0)</f>
        <v>441.92183759182797</v>
      </c>
    </row>
    <row r="947" spans="1:5" ht="15">
      <c r="A947" s="13">
        <v>69975</v>
      </c>
      <c r="B947" s="4">
        <f>61.3885 * CHOOSE(CONTROL!$C$9, $C$13, 100%, $E$13) + CHOOSE(CONTROL!$C$28, 0.0226, 0)</f>
        <v>61.411099999999998</v>
      </c>
      <c r="C947" s="4">
        <f>61.0252 * CHOOSE(CONTROL!$C$9, $C$13, 100%, $E$13) + CHOOSE(CONTROL!$C$28, 0.0226, 0)</f>
        <v>61.047799999999995</v>
      </c>
      <c r="D947" s="4">
        <f>91.9979 * CHOOSE(CONTROL!$C$9, $C$13, 100%, $E$13) + CHOOSE(CONTROL!$C$28, 0.0021, 0)</f>
        <v>92</v>
      </c>
      <c r="E947" s="4">
        <f>441.779177878854 * CHOOSE(CONTROL!$C$9, $C$13, 100%, $E$13) + CHOOSE(CONTROL!$C$28, 0.0021, 0)</f>
        <v>441.78127787885398</v>
      </c>
    </row>
    <row r="948" spans="1:5" ht="15">
      <c r="A948" s="13">
        <v>70006</v>
      </c>
      <c r="B948" s="4">
        <f>62.8397 * CHOOSE(CONTROL!$C$9, $C$13, 100%, $E$13) + CHOOSE(CONTROL!$C$28, 0.0226, 0)</f>
        <v>62.862299999999998</v>
      </c>
      <c r="C948" s="4">
        <f>62.4765 * CHOOSE(CONTROL!$C$9, $C$13, 100%, $E$13) + CHOOSE(CONTROL!$C$28, 0.0226, 0)</f>
        <v>62.499099999999999</v>
      </c>
      <c r="D948" s="4">
        <f>91.0316 * CHOOSE(CONTROL!$C$9, $C$13, 100%, $E$13) + CHOOSE(CONTROL!$C$28, 0.0021, 0)</f>
        <v>91.033699999999996</v>
      </c>
      <c r="E948" s="4">
        <f>452.356296280185 * CHOOSE(CONTROL!$C$9, $C$13, 100%, $E$13) + CHOOSE(CONTROL!$C$28, 0.0021, 0)</f>
        <v>452.35839628018499</v>
      </c>
    </row>
    <row r="949" spans="1:5" ht="15">
      <c r="A949" s="13">
        <v>70036</v>
      </c>
      <c r="B949" s="4">
        <f>60.3663 * CHOOSE(CONTROL!$C$9, $C$13, 100%, $E$13) + CHOOSE(CONTROL!$C$28, 0.0226, 0)</f>
        <v>60.3889</v>
      </c>
      <c r="C949" s="4">
        <f>60.0031 * CHOOSE(CONTROL!$C$9, $C$13, 100%, $E$13) + CHOOSE(CONTROL!$C$28, 0.0226, 0)</f>
        <v>60.025700000000001</v>
      </c>
      <c r="D949" s="4">
        <f>90.575 * CHOOSE(CONTROL!$C$9, $C$13, 100%, $E$13) + CHOOSE(CONTROL!$C$28, 0.0021, 0)</f>
        <v>90.577100000000002</v>
      </c>
      <c r="E949" s="4">
        <f>434.329513091206 * CHOOSE(CONTROL!$C$9, $C$13, 100%, $E$13) + CHOOSE(CONTROL!$C$28, 0.0021, 0)</f>
        <v>434.33161309120601</v>
      </c>
    </row>
    <row r="950" spans="1:5" ht="15">
      <c r="A950" s="13">
        <v>70067</v>
      </c>
      <c r="B950" s="4">
        <f>58.3863 * CHOOSE(CONTROL!$C$9, $C$13, 100%, $E$13) + CHOOSE(CONTROL!$C$28, 0.0226, 0)</f>
        <v>58.408899999999996</v>
      </c>
      <c r="C950" s="4">
        <f>58.0231 * CHOOSE(CONTROL!$C$9, $C$13, 100%, $E$13) + CHOOSE(CONTROL!$C$28, 0.0226, 0)</f>
        <v>58.045699999999997</v>
      </c>
      <c r="D950" s="4">
        <f>89.3525 * CHOOSE(CONTROL!$C$9, $C$13, 100%, $E$13) + CHOOSE(CONTROL!$C$28, 0.0021, 0)</f>
        <v>89.354600000000005</v>
      </c>
      <c r="E950" s="4">
        <f>419.89871589249 * CHOOSE(CONTROL!$C$9, $C$13, 100%, $E$13) + CHOOSE(CONTROL!$C$28, 0.0021, 0)</f>
        <v>419.90081589248996</v>
      </c>
    </row>
    <row r="951" spans="1:5" ht="15">
      <c r="A951" s="13">
        <v>70097</v>
      </c>
      <c r="B951" s="4">
        <f>57.1111 * CHOOSE(CONTROL!$C$9, $C$13, 100%, $E$13) + CHOOSE(CONTROL!$C$28, 0.0226, 0)</f>
        <v>57.133699999999997</v>
      </c>
      <c r="C951" s="4">
        <f>56.7478 * CHOOSE(CONTROL!$C$9, $C$13, 100%, $E$13) + CHOOSE(CONTROL!$C$28, 0.0226, 0)</f>
        <v>56.770399999999995</v>
      </c>
      <c r="D951" s="4">
        <f>88.9322 * CHOOSE(CONTROL!$C$9, $C$13, 100%, $E$13) + CHOOSE(CONTROL!$C$28, 0.0021, 0)</f>
        <v>88.934299999999993</v>
      </c>
      <c r="E951" s="4">
        <f>410.604204872051 * CHOOSE(CONTROL!$C$9, $C$13, 100%, $E$13) + CHOOSE(CONTROL!$C$28, 0.0021, 0)</f>
        <v>410.606304872051</v>
      </c>
    </row>
    <row r="952" spans="1:5" ht="15">
      <c r="A952" s="13">
        <v>70128</v>
      </c>
      <c r="B952" s="4">
        <f>56.2287 * CHOOSE(CONTROL!$C$9, $C$13, 100%, $E$13) + CHOOSE(CONTROL!$C$28, 0.0226, 0)</f>
        <v>56.251300000000001</v>
      </c>
      <c r="C952" s="4">
        <f>55.8655 * CHOOSE(CONTROL!$C$9, $C$13, 100%, $E$13) + CHOOSE(CONTROL!$C$28, 0.0226, 0)</f>
        <v>55.888099999999994</v>
      </c>
      <c r="D952" s="4">
        <f>85.8379 * CHOOSE(CONTROL!$C$9, $C$13, 100%, $E$13) + CHOOSE(CONTROL!$C$28, 0.0021, 0)</f>
        <v>85.84</v>
      </c>
      <c r="E952" s="4">
        <f>404.173598003468 * CHOOSE(CONTROL!$C$9, $C$13, 100%, $E$13) + CHOOSE(CONTROL!$C$28, 0.0021, 0)</f>
        <v>404.17569800346797</v>
      </c>
    </row>
    <row r="953" spans="1:5" ht="15">
      <c r="A953" s="13">
        <v>70159</v>
      </c>
      <c r="B953" s="4">
        <f>53.8147 * CHOOSE(CONTROL!$C$9, $C$13, 100%, $E$13) + CHOOSE(CONTROL!$C$28, 0.0226, 0)</f>
        <v>53.837299999999999</v>
      </c>
      <c r="C953" s="4">
        <f>53.4514 * CHOOSE(CONTROL!$C$9, $C$13, 100%, $E$13) + CHOOSE(CONTROL!$C$28, 0.0226, 0)</f>
        <v>53.473999999999997</v>
      </c>
      <c r="D953" s="4">
        <f>82.4293 * CHOOSE(CONTROL!$C$9, $C$13, 100%, $E$13) + CHOOSE(CONTROL!$C$28, 0.0021, 0)</f>
        <v>82.431399999999996</v>
      </c>
      <c r="E953" s="4">
        <f>387.338125323535 * CHOOSE(CONTROL!$C$9, $C$13, 100%, $E$13) + CHOOSE(CONTROL!$C$28, 0.0021, 0)</f>
        <v>387.34022532353498</v>
      </c>
    </row>
    <row r="954" spans="1:5" ht="15">
      <c r="A954" s="13">
        <v>70188</v>
      </c>
      <c r="B954" s="4">
        <f>55.0741 * CHOOSE(CONTROL!$C$9, $C$13, 100%, $E$13) + CHOOSE(CONTROL!$C$28, 0.0226, 0)</f>
        <v>55.096699999999998</v>
      </c>
      <c r="C954" s="4">
        <f>54.7109 * CHOOSE(CONTROL!$C$9, $C$13, 100%, $E$13) + CHOOSE(CONTROL!$C$28, 0.0226, 0)</f>
        <v>54.733499999999999</v>
      </c>
      <c r="D954" s="4">
        <f>85.2732 * CHOOSE(CONTROL!$C$9, $C$13, 100%, $E$13) + CHOOSE(CONTROL!$C$28, 0.0021, 0)</f>
        <v>85.275300000000001</v>
      </c>
      <c r="E954" s="4">
        <f>396.53505888319 * CHOOSE(CONTROL!$C$9, $C$13, 100%, $E$13) + CHOOSE(CONTROL!$C$28, 0.0021, 0)</f>
        <v>396.53715888318999</v>
      </c>
    </row>
    <row r="955" spans="1:5" ht="15">
      <c r="A955" s="13">
        <v>70219</v>
      </c>
      <c r="B955" s="4">
        <f>58.3814 * CHOOSE(CONTROL!$C$9, $C$13, 100%, $E$13) + CHOOSE(CONTROL!$C$28, 0.0226, 0)</f>
        <v>58.403999999999996</v>
      </c>
      <c r="C955" s="4">
        <f>58.0181 * CHOOSE(CONTROL!$C$9, $C$13, 100%, $E$13) + CHOOSE(CONTROL!$C$28, 0.0226, 0)</f>
        <v>58.040699999999994</v>
      </c>
      <c r="D955" s="4">
        <f>89.7251 * CHOOSE(CONTROL!$C$9, $C$13, 100%, $E$13) + CHOOSE(CONTROL!$C$28, 0.0021, 0)</f>
        <v>89.727199999999996</v>
      </c>
      <c r="E955" s="4">
        <f>420.686695165578 * CHOOSE(CONTROL!$C$9, $C$13, 100%, $E$13) + CHOOSE(CONTROL!$C$28, 0.0021, 0)</f>
        <v>420.68879516557797</v>
      </c>
    </row>
    <row r="956" spans="1:5" ht="15">
      <c r="A956" s="13">
        <v>70249</v>
      </c>
      <c r="B956" s="4">
        <f>60.7313 * CHOOSE(CONTROL!$C$9, $C$13, 100%, $E$13) + CHOOSE(CONTROL!$C$28, 0.0226, 0)</f>
        <v>60.753899999999994</v>
      </c>
      <c r="C956" s="4">
        <f>60.368 * CHOOSE(CONTROL!$C$9, $C$13, 100%, $E$13) + CHOOSE(CONTROL!$C$28, 0.0226, 0)</f>
        <v>60.390599999999999</v>
      </c>
      <c r="D956" s="4">
        <f>92.2896 * CHOOSE(CONTROL!$C$9, $C$13, 100%, $E$13) + CHOOSE(CONTROL!$C$28, 0.0021, 0)</f>
        <v>92.291699999999992</v>
      </c>
      <c r="E956" s="4">
        <f>437.846754607087 * CHOOSE(CONTROL!$C$9, $C$13, 100%, $E$13) + CHOOSE(CONTROL!$C$28, 0.0021, 0)</f>
        <v>437.84885460708699</v>
      </c>
    </row>
    <row r="957" spans="1:5" ht="15">
      <c r="A957" s="13">
        <v>70280</v>
      </c>
      <c r="B957" s="4">
        <f>62.167 * CHOOSE(CONTROL!$C$9, $C$13, 100%, $E$13) + CHOOSE(CONTROL!$C$28, 0.0226, 0)</f>
        <v>62.189599999999999</v>
      </c>
      <c r="C957" s="4">
        <f>61.8037 * CHOOSE(CONTROL!$C$9, $C$13, 100%, $E$13) + CHOOSE(CONTROL!$C$28, 0.0226, 0)</f>
        <v>61.826299999999996</v>
      </c>
      <c r="D957" s="4">
        <f>91.2762 * CHOOSE(CONTROL!$C$9, $C$13, 100%, $E$13) + CHOOSE(CONTROL!$C$28, 0.0021, 0)</f>
        <v>91.278300000000002</v>
      </c>
      <c r="E957" s="4">
        <f>448.331139656623 * CHOOSE(CONTROL!$C$9, $C$13, 100%, $E$13) + CHOOSE(CONTROL!$C$28, 0.0021, 0)</f>
        <v>448.33323965662299</v>
      </c>
    </row>
    <row r="958" spans="1:5" ht="15">
      <c r="A958" s="13">
        <v>70310</v>
      </c>
      <c r="B958" s="4">
        <f>62.3612 * CHOOSE(CONTROL!$C$9, $C$13, 100%, $E$13) + CHOOSE(CONTROL!$C$28, 0.0226, 0)</f>
        <v>62.383799999999994</v>
      </c>
      <c r="C958" s="4">
        <f>61.998 * CHOOSE(CONTROL!$C$9, $C$13, 100%, $E$13) + CHOOSE(CONTROL!$C$28, 0.0226, 0)</f>
        <v>62.020599999999995</v>
      </c>
      <c r="D958" s="4">
        <f>92.1015 * CHOOSE(CONTROL!$C$9, $C$13, 100%, $E$13) + CHOOSE(CONTROL!$C$28, 0.0021, 0)</f>
        <v>92.1036</v>
      </c>
      <c r="E958" s="4">
        <f>449.749720464917 * CHOOSE(CONTROL!$C$9, $C$13, 100%, $E$13) + CHOOSE(CONTROL!$C$28, 0.0021, 0)</f>
        <v>449.75182046491699</v>
      </c>
    </row>
    <row r="959" spans="1:5" ht="15">
      <c r="A959" s="13">
        <v>70341</v>
      </c>
      <c r="B959" s="4">
        <f>62.3416 * CHOOSE(CONTROL!$C$9, $C$13, 100%, $E$13) + CHOOSE(CONTROL!$C$28, 0.0226, 0)</f>
        <v>62.364199999999997</v>
      </c>
      <c r="C959" s="4">
        <f>61.9784 * CHOOSE(CONTROL!$C$9, $C$13, 100%, $E$13) + CHOOSE(CONTROL!$C$28, 0.0226, 0)</f>
        <v>62.000999999999998</v>
      </c>
      <c r="D959" s="4">
        <f>93.5906 * CHOOSE(CONTROL!$C$9, $C$13, 100%, $E$13) + CHOOSE(CONTROL!$C$28, 0.0021, 0)</f>
        <v>93.592699999999994</v>
      </c>
      <c r="E959" s="4">
        <f>449.606670299375 * CHOOSE(CONTROL!$C$9, $C$13, 100%, $E$13) + CHOOSE(CONTROL!$C$28, 0.0021, 0)</f>
        <v>449.60877029937501</v>
      </c>
    </row>
    <row r="960" spans="1:5" ht="15">
      <c r="A960" s="13">
        <v>70372</v>
      </c>
      <c r="B960" s="4">
        <f>63.8157 * CHOOSE(CONTROL!$C$9, $C$13, 100%, $E$13) + CHOOSE(CONTROL!$C$28, 0.0226, 0)</f>
        <v>63.838299999999997</v>
      </c>
      <c r="C960" s="4">
        <f>63.4524 * CHOOSE(CONTROL!$C$9, $C$13, 100%, $E$13) + CHOOSE(CONTROL!$C$28, 0.0226, 0)</f>
        <v>63.474999999999994</v>
      </c>
      <c r="D960" s="4">
        <f>92.6072 * CHOOSE(CONTROL!$C$9, $C$13, 100%, $E$13) + CHOOSE(CONTROL!$C$28, 0.0021, 0)</f>
        <v>92.609300000000005</v>
      </c>
      <c r="E960" s="4">
        <f>460.371195256431 * CHOOSE(CONTROL!$C$9, $C$13, 100%, $E$13) + CHOOSE(CONTROL!$C$28, 0.0021, 0)</f>
        <v>460.37329525643099</v>
      </c>
    </row>
    <row r="961" spans="1:5" ht="15">
      <c r="A961" s="13">
        <v>70402</v>
      </c>
      <c r="B961" s="4">
        <f>61.3034 * CHOOSE(CONTROL!$C$9, $C$13, 100%, $E$13) + CHOOSE(CONTROL!$C$28, 0.0226, 0)</f>
        <v>61.326000000000001</v>
      </c>
      <c r="C961" s="4">
        <f>60.9402 * CHOOSE(CONTROL!$C$9, $C$13, 100%, $E$13) + CHOOSE(CONTROL!$C$28, 0.0226, 0)</f>
        <v>60.962799999999994</v>
      </c>
      <c r="D961" s="4">
        <f>92.1426 * CHOOSE(CONTROL!$C$9, $C$13, 100%, $E$13) + CHOOSE(CONTROL!$C$28, 0.0021, 0)</f>
        <v>92.1447</v>
      </c>
      <c r="E961" s="4">
        <f>442.025011525634 * CHOOSE(CONTROL!$C$9, $C$13, 100%, $E$13) + CHOOSE(CONTROL!$C$28, 0.0021, 0)</f>
        <v>442.02711152563398</v>
      </c>
    </row>
    <row r="962" spans="1:5" ht="15">
      <c r="A962" s="13">
        <v>70433</v>
      </c>
      <c r="B962" s="4">
        <f>59.2923 * CHOOSE(CONTROL!$C$9, $C$13, 100%, $E$13) + CHOOSE(CONTROL!$C$28, 0.0226, 0)</f>
        <v>59.314899999999994</v>
      </c>
      <c r="C962" s="4">
        <f>58.929 * CHOOSE(CONTROL!$C$9, $C$13, 100%, $E$13) + CHOOSE(CONTROL!$C$28, 0.0226, 0)</f>
        <v>58.951599999999999</v>
      </c>
      <c r="D962" s="4">
        <f>90.8985 * CHOOSE(CONTROL!$C$9, $C$13, 100%, $E$13) + CHOOSE(CONTROL!$C$28, 0.0021, 0)</f>
        <v>90.900599999999997</v>
      </c>
      <c r="E962" s="4">
        <f>427.338527863294 * CHOOSE(CONTROL!$C$9, $C$13, 100%, $E$13) + CHOOSE(CONTROL!$C$28, 0.0021, 0)</f>
        <v>427.340627863294</v>
      </c>
    </row>
    <row r="963" spans="1:5" ht="15">
      <c r="A963" s="13">
        <v>70463</v>
      </c>
      <c r="B963" s="4">
        <f>57.997 * CHOOSE(CONTROL!$C$9, $C$13, 100%, $E$13) + CHOOSE(CONTROL!$C$28, 0.0226, 0)</f>
        <v>58.019599999999997</v>
      </c>
      <c r="C963" s="4">
        <f>57.6337 * CHOOSE(CONTROL!$C$9, $C$13, 100%, $E$13) + CHOOSE(CONTROL!$C$28, 0.0226, 0)</f>
        <v>57.656299999999995</v>
      </c>
      <c r="D963" s="4">
        <f>90.4707 * CHOOSE(CONTROL!$C$9, $C$13, 100%, $E$13) + CHOOSE(CONTROL!$C$28, 0.0021, 0)</f>
        <v>90.472799999999992</v>
      </c>
      <c r="E963" s="4">
        <f>417.879335666811 * CHOOSE(CONTROL!$C$9, $C$13, 100%, $E$13) + CHOOSE(CONTROL!$C$28, 0.0021, 0)</f>
        <v>417.881435666811</v>
      </c>
    </row>
    <row r="964" spans="1:5" ht="15">
      <c r="A964" s="13">
        <v>70494</v>
      </c>
      <c r="B964" s="4">
        <f>57.1008 * CHOOSE(CONTROL!$C$9, $C$13, 100%, $E$13) + CHOOSE(CONTROL!$C$28, 0.0226, 0)</f>
        <v>57.123399999999997</v>
      </c>
      <c r="C964" s="4">
        <f>56.7375 * CHOOSE(CONTROL!$C$9, $C$13, 100%, $E$13) + CHOOSE(CONTROL!$C$28, 0.0226, 0)</f>
        <v>56.760099999999994</v>
      </c>
      <c r="D964" s="4">
        <f>87.3218 * CHOOSE(CONTROL!$C$9, $C$13, 100%, $E$13) + CHOOSE(CONTROL!$C$28, 0.0021, 0)</f>
        <v>87.323899999999995</v>
      </c>
      <c r="E964" s="4">
        <f>411.334790593252 * CHOOSE(CONTROL!$C$9, $C$13, 100%, $E$13) + CHOOSE(CONTROL!$C$28, 0.0021, 0)</f>
        <v>411.33689059325201</v>
      </c>
    </row>
    <row r="965" spans="1:5" ht="15">
      <c r="A965" s="13">
        <v>70525</v>
      </c>
      <c r="B965" s="4">
        <f>54.6488 * CHOOSE(CONTROL!$C$9, $C$13, 100%, $E$13) + CHOOSE(CONTROL!$C$28, 0.0226, 0)</f>
        <v>54.671399999999998</v>
      </c>
      <c r="C965" s="4">
        <f>54.2855 * CHOOSE(CONTROL!$C$9, $C$13, 100%, $E$13) + CHOOSE(CONTROL!$C$28, 0.0226, 0)</f>
        <v>54.308099999999996</v>
      </c>
      <c r="D965" s="4">
        <f>83.853 * CHOOSE(CONTROL!$C$9, $C$13, 100%, $E$13) + CHOOSE(CONTROL!$C$28, 0.0021, 0)</f>
        <v>83.855099999999993</v>
      </c>
      <c r="E965" s="4">
        <f>394.201025143092 * CHOOSE(CONTROL!$C$9, $C$13, 100%, $E$13) + CHOOSE(CONTROL!$C$28, 0.0021, 0)</f>
        <v>394.203125143092</v>
      </c>
    </row>
    <row r="966" spans="1:5" ht="15">
      <c r="A966" s="13">
        <v>70553</v>
      </c>
      <c r="B966" s="4">
        <f>55.928 * CHOOSE(CONTROL!$C$9, $C$13, 100%, $E$13) + CHOOSE(CONTROL!$C$28, 0.0226, 0)</f>
        <v>55.950599999999994</v>
      </c>
      <c r="C966" s="4">
        <f>55.5647 * CHOOSE(CONTROL!$C$9, $C$13, 100%, $E$13) + CHOOSE(CONTROL!$C$28, 0.0226, 0)</f>
        <v>55.587299999999999</v>
      </c>
      <c r="D966" s="4">
        <f>86.7471 * CHOOSE(CONTROL!$C$9, $C$13, 100%, $E$13) + CHOOSE(CONTROL!$C$28, 0.0021, 0)</f>
        <v>86.749200000000002</v>
      </c>
      <c r="E966" s="4">
        <f>403.56091099053 * CHOOSE(CONTROL!$C$9, $C$13, 100%, $E$13) + CHOOSE(CONTROL!$C$28, 0.0021, 0)</f>
        <v>403.56301099052996</v>
      </c>
    </row>
    <row r="967" spans="1:5" ht="15">
      <c r="A967" s="13">
        <v>70584</v>
      </c>
      <c r="B967" s="4">
        <f>59.2873 * CHOOSE(CONTROL!$C$9, $C$13, 100%, $E$13) + CHOOSE(CONTROL!$C$28, 0.0226, 0)</f>
        <v>59.309899999999999</v>
      </c>
      <c r="C967" s="4">
        <f>58.924 * CHOOSE(CONTROL!$C$9, $C$13, 100%, $E$13) + CHOOSE(CONTROL!$C$28, 0.0226, 0)</f>
        <v>58.946599999999997</v>
      </c>
      <c r="D967" s="4">
        <f>91.2777 * CHOOSE(CONTROL!$C$9, $C$13, 100%, $E$13) + CHOOSE(CONTROL!$C$28, 0.0021, 0)</f>
        <v>91.279799999999994</v>
      </c>
      <c r="E967" s="4">
        <f>428.140468640447 * CHOOSE(CONTROL!$C$9, $C$13, 100%, $E$13) + CHOOSE(CONTROL!$C$28, 0.0021, 0)</f>
        <v>428.142568640447</v>
      </c>
    </row>
    <row r="968" spans="1:5" ht="15">
      <c r="A968" s="13">
        <v>70614</v>
      </c>
      <c r="B968" s="4">
        <f>61.6741 * CHOOSE(CONTROL!$C$9, $C$13, 100%, $E$13) + CHOOSE(CONTROL!$C$28, 0.0226, 0)</f>
        <v>61.6967</v>
      </c>
      <c r="C968" s="4">
        <f>61.3108 * CHOOSE(CONTROL!$C$9, $C$13, 100%, $E$13) + CHOOSE(CONTROL!$C$28, 0.0226, 0)</f>
        <v>61.333399999999997</v>
      </c>
      <c r="D968" s="4">
        <f>93.8875 * CHOOSE(CONTROL!$C$9, $C$13, 100%, $E$13) + CHOOSE(CONTROL!$C$28, 0.0021, 0)</f>
        <v>93.889600000000002</v>
      </c>
      <c r="E968" s="4">
        <f>445.604571916387 * CHOOSE(CONTROL!$C$9, $C$13, 100%, $E$13) + CHOOSE(CONTROL!$C$28, 0.0021, 0)</f>
        <v>445.60667191638697</v>
      </c>
    </row>
    <row r="969" spans="1:5" ht="15">
      <c r="A969" s="13">
        <v>70645</v>
      </c>
      <c r="B969" s="4">
        <f>63.1324 * CHOOSE(CONTROL!$C$9, $C$13, 100%, $E$13) + CHOOSE(CONTROL!$C$28, 0.0226, 0)</f>
        <v>63.154999999999994</v>
      </c>
      <c r="C969" s="4">
        <f>62.7691 * CHOOSE(CONTROL!$C$9, $C$13, 100%, $E$13) + CHOOSE(CONTROL!$C$28, 0.0226, 0)</f>
        <v>62.791699999999999</v>
      </c>
      <c r="D969" s="4">
        <f>92.8562 * CHOOSE(CONTROL!$C$9, $C$13, 100%, $E$13) + CHOOSE(CONTROL!$C$28, 0.0021, 0)</f>
        <v>92.8583</v>
      </c>
      <c r="E969" s="4">
        <f>456.274720461846 * CHOOSE(CONTROL!$C$9, $C$13, 100%, $E$13) + CHOOSE(CONTROL!$C$28, 0.0021, 0)</f>
        <v>456.276820461846</v>
      </c>
    </row>
    <row r="970" spans="1:5" ht="15">
      <c r="A970" s="13">
        <v>70675</v>
      </c>
      <c r="B970" s="4">
        <f>63.3297 * CHOOSE(CONTROL!$C$9, $C$13, 100%, $E$13) + CHOOSE(CONTROL!$C$28, 0.0226, 0)</f>
        <v>63.3523</v>
      </c>
      <c r="C970" s="4">
        <f>62.9664 * CHOOSE(CONTROL!$C$9, $C$13, 100%, $E$13) + CHOOSE(CONTROL!$C$28, 0.0226, 0)</f>
        <v>62.988999999999997</v>
      </c>
      <c r="D970" s="4">
        <f>93.6961 * CHOOSE(CONTROL!$C$9, $C$13, 100%, $E$13) + CHOOSE(CONTROL!$C$28, 0.0021, 0)</f>
        <v>93.6982</v>
      </c>
      <c r="E970" s="4">
        <f>457.718435842073 * CHOOSE(CONTROL!$C$9, $C$13, 100%, $E$13) + CHOOSE(CONTROL!$C$28, 0.0021, 0)</f>
        <v>457.72053584207299</v>
      </c>
    </row>
    <row r="971" spans="1:5" ht="15">
      <c r="A971" s="13">
        <v>70706</v>
      </c>
      <c r="B971" s="4">
        <f>63.3098 * CHOOSE(CONTROL!$C$9, $C$13, 100%, $E$13) + CHOOSE(CONTROL!$C$28, 0.0226, 0)</f>
        <v>63.3324</v>
      </c>
      <c r="C971" s="4">
        <f>62.9465 * CHOOSE(CONTROL!$C$9, $C$13, 100%, $E$13) + CHOOSE(CONTROL!$C$28, 0.0226, 0)</f>
        <v>62.969099999999997</v>
      </c>
      <c r="D971" s="4">
        <f>95.2115 * CHOOSE(CONTROL!$C$9, $C$13, 100%, $E$13) + CHOOSE(CONTROL!$C$28, 0.0021, 0)</f>
        <v>95.2136</v>
      </c>
      <c r="E971" s="4">
        <f>457.572851097849 * CHOOSE(CONTROL!$C$9, $C$13, 100%, $E$13) + CHOOSE(CONTROL!$C$28, 0.0021, 0)</f>
        <v>457.57495109784901</v>
      </c>
    </row>
    <row r="972" spans="1:5" ht="15">
      <c r="A972" s="13">
        <v>70737</v>
      </c>
      <c r="B972" s="4">
        <f>64.8071 * CHOOSE(CONTROL!$C$9, $C$13, 100%, $E$13) + CHOOSE(CONTROL!$C$28, 0.0226, 0)</f>
        <v>64.829700000000003</v>
      </c>
      <c r="C972" s="4">
        <f>64.4438 * CHOOSE(CONTROL!$C$9, $C$13, 100%, $E$13) + CHOOSE(CONTROL!$C$28, 0.0226, 0)</f>
        <v>64.466399999999993</v>
      </c>
      <c r="D972" s="4">
        <f>94.2107 * CHOOSE(CONTROL!$C$9, $C$13, 100%, $E$13) + CHOOSE(CONTROL!$C$28, 0.0021, 0)</f>
        <v>94.212800000000001</v>
      </c>
      <c r="E972" s="4">
        <f>468.528103100748 * CHOOSE(CONTROL!$C$9, $C$13, 100%, $E$13) + CHOOSE(CONTROL!$C$28, 0.0021, 0)</f>
        <v>468.530203100748</v>
      </c>
    </row>
    <row r="973" spans="1:5" ht="15">
      <c r="A973" s="13">
        <v>70767</v>
      </c>
      <c r="B973" s="4">
        <f>62.2553 * CHOOSE(CONTROL!$C$9, $C$13, 100%, $E$13) + CHOOSE(CONTROL!$C$28, 0.0226, 0)</f>
        <v>62.277899999999995</v>
      </c>
      <c r="C973" s="4">
        <f>61.892 * CHOOSE(CONTROL!$C$9, $C$13, 100%, $E$13) + CHOOSE(CONTROL!$C$28, 0.0226, 0)</f>
        <v>61.9146</v>
      </c>
      <c r="D973" s="4">
        <f>93.7379 * CHOOSE(CONTROL!$C$9, $C$13, 100%, $E$13) + CHOOSE(CONTROL!$C$28, 0.0021, 0)</f>
        <v>93.74</v>
      </c>
      <c r="E973" s="4">
        <f>449.856859653946 * CHOOSE(CONTROL!$C$9, $C$13, 100%, $E$13) + CHOOSE(CONTROL!$C$28, 0.0021, 0)</f>
        <v>449.85895965394599</v>
      </c>
    </row>
    <row r="974" spans="1:5" ht="15">
      <c r="A974" s="13">
        <v>70798</v>
      </c>
      <c r="B974" s="4">
        <f>60.2125 * CHOOSE(CONTROL!$C$9, $C$13, 100%, $E$13) + CHOOSE(CONTROL!$C$28, 0.0226, 0)</f>
        <v>60.235099999999996</v>
      </c>
      <c r="C974" s="4">
        <f>59.8492 * CHOOSE(CONTROL!$C$9, $C$13, 100%, $E$13) + CHOOSE(CONTROL!$C$28, 0.0226, 0)</f>
        <v>59.8718</v>
      </c>
      <c r="D974" s="4">
        <f>92.4718 * CHOOSE(CONTROL!$C$9, $C$13, 100%, $E$13) + CHOOSE(CONTROL!$C$28, 0.0021, 0)</f>
        <v>92.4739</v>
      </c>
      <c r="E974" s="4">
        <f>434.910159246889 * CHOOSE(CONTROL!$C$9, $C$13, 100%, $E$13) + CHOOSE(CONTROL!$C$28, 0.0021, 0)</f>
        <v>434.91225924688899</v>
      </c>
    </row>
    <row r="975" spans="1:5" ht="15">
      <c r="A975" s="13">
        <v>70828</v>
      </c>
      <c r="B975" s="4">
        <f>58.8968 * CHOOSE(CONTROL!$C$9, $C$13, 100%, $E$13) + CHOOSE(CONTROL!$C$28, 0.0226, 0)</f>
        <v>58.919399999999996</v>
      </c>
      <c r="C975" s="4">
        <f>58.5335 * CHOOSE(CONTROL!$C$9, $C$13, 100%, $E$13) + CHOOSE(CONTROL!$C$28, 0.0226, 0)</f>
        <v>58.556099999999994</v>
      </c>
      <c r="D975" s="4">
        <f>92.0365 * CHOOSE(CONTROL!$C$9, $C$13, 100%, $E$13) + CHOOSE(CONTROL!$C$28, 0.0021, 0)</f>
        <v>92.038600000000002</v>
      </c>
      <c r="E975" s="4">
        <f>425.283368035039 * CHOOSE(CONTROL!$C$9, $C$13, 100%, $E$13) + CHOOSE(CONTROL!$C$28, 0.0021, 0)</f>
        <v>425.285468035039</v>
      </c>
    </row>
    <row r="976" spans="1:5" ht="15">
      <c r="A976" s="13">
        <v>70859</v>
      </c>
      <c r="B976" s="4">
        <f>57.9865 * CHOOSE(CONTROL!$C$9, $C$13, 100%, $E$13) + CHOOSE(CONTROL!$C$28, 0.0226, 0)</f>
        <v>58.009099999999997</v>
      </c>
      <c r="C976" s="4">
        <f>57.6232 * CHOOSE(CONTROL!$C$9, $C$13, 100%, $E$13) + CHOOSE(CONTROL!$C$28, 0.0226, 0)</f>
        <v>57.645799999999994</v>
      </c>
      <c r="D976" s="4">
        <f>88.8319 * CHOOSE(CONTROL!$C$9, $C$13, 100%, $E$13) + CHOOSE(CONTROL!$C$28, 0.0021, 0)</f>
        <v>88.834000000000003</v>
      </c>
      <c r="E976" s="4">
        <f>418.622865986765 * CHOOSE(CONTROL!$C$9, $C$13, 100%, $E$13) + CHOOSE(CONTROL!$C$28, 0.0021, 0)</f>
        <v>418.62496598676501</v>
      </c>
    </row>
    <row r="977" spans="1:5" ht="15">
      <c r="A977" s="13">
        <v>70890</v>
      </c>
      <c r="B977" s="4">
        <f>55.496 * CHOOSE(CONTROL!$C$9, $C$13, 100%, $E$13) + CHOOSE(CONTROL!$C$28, 0.0226, 0)</f>
        <v>55.518599999999999</v>
      </c>
      <c r="C977" s="4">
        <f>55.1327 * CHOOSE(CONTROL!$C$9, $C$13, 100%, $E$13) + CHOOSE(CONTROL!$C$28, 0.0226, 0)</f>
        <v>55.155299999999997</v>
      </c>
      <c r="D977" s="4">
        <f>85.3018 * CHOOSE(CONTROL!$C$9, $C$13, 100%, $E$13) + CHOOSE(CONTROL!$C$28, 0.0021, 0)</f>
        <v>85.303899999999999</v>
      </c>
      <c r="E977" s="4">
        <f>401.185522582026 * CHOOSE(CONTROL!$C$9, $C$13, 100%, $E$13) + CHOOSE(CONTROL!$C$28, 0.0021, 0)</f>
        <v>401.18762258202599</v>
      </c>
    </row>
    <row r="978" spans="1:5" ht="15">
      <c r="A978" s="13">
        <v>70918</v>
      </c>
      <c r="B978" s="4">
        <f>56.7953 * CHOOSE(CONTROL!$C$9, $C$13, 100%, $E$13) + CHOOSE(CONTROL!$C$28, 0.0226, 0)</f>
        <v>56.817899999999995</v>
      </c>
      <c r="C978" s="4">
        <f>56.432 * CHOOSE(CONTROL!$C$9, $C$13, 100%, $E$13) + CHOOSE(CONTROL!$C$28, 0.0226, 0)</f>
        <v>56.454599999999999</v>
      </c>
      <c r="D978" s="4">
        <f>88.2471 * CHOOSE(CONTROL!$C$9, $C$13, 100%, $E$13) + CHOOSE(CONTROL!$C$28, 0.0021, 0)</f>
        <v>88.249200000000002</v>
      </c>
      <c r="E978" s="4">
        <f>410.711247923936 * CHOOSE(CONTROL!$C$9, $C$13, 100%, $E$13) + CHOOSE(CONTROL!$C$28, 0.0021, 0)</f>
        <v>410.713347923936</v>
      </c>
    </row>
    <row r="979" spans="1:5" ht="15">
      <c r="A979" s="13">
        <v>70949</v>
      </c>
      <c r="B979" s="4">
        <f>60.2074 * CHOOSE(CONTROL!$C$9, $C$13, 100%, $E$13) + CHOOSE(CONTROL!$C$28, 0.0226, 0)</f>
        <v>60.23</v>
      </c>
      <c r="C979" s="4">
        <f>59.8441 * CHOOSE(CONTROL!$C$9, $C$13, 100%, $E$13) + CHOOSE(CONTROL!$C$28, 0.0226, 0)</f>
        <v>59.866699999999994</v>
      </c>
      <c r="D979" s="4">
        <f>92.8577 * CHOOSE(CONTROL!$C$9, $C$13, 100%, $E$13) + CHOOSE(CONTROL!$C$28, 0.0021, 0)</f>
        <v>92.859799999999993</v>
      </c>
      <c r="E979" s="4">
        <f>435.726308899582 * CHOOSE(CONTROL!$C$9, $C$13, 100%, $E$13) + CHOOSE(CONTROL!$C$28, 0.0021, 0)</f>
        <v>435.72840889958201</v>
      </c>
    </row>
    <row r="980" spans="1:5" ht="15">
      <c r="A980" s="13">
        <v>70979</v>
      </c>
      <c r="B980" s="4">
        <f>62.6318 * CHOOSE(CONTROL!$C$9, $C$13, 100%, $E$13) + CHOOSE(CONTROL!$C$28, 0.0226, 0)</f>
        <v>62.654399999999995</v>
      </c>
      <c r="C980" s="4">
        <f>62.2685 * CHOOSE(CONTROL!$C$9, $C$13, 100%, $E$13) + CHOOSE(CONTROL!$C$28, 0.0226, 0)</f>
        <v>62.2911</v>
      </c>
      <c r="D980" s="4">
        <f>95.5136 * CHOOSE(CONTROL!$C$9, $C$13, 100%, $E$13) + CHOOSE(CONTROL!$C$28, 0.0021, 0)</f>
        <v>95.515699999999995</v>
      </c>
      <c r="E980" s="4">
        <f>453.499843092299 * CHOOSE(CONTROL!$C$9, $C$13, 100%, $E$13) + CHOOSE(CONTROL!$C$28, 0.0021, 0)</f>
        <v>453.50194309229897</v>
      </c>
    </row>
    <row r="981" spans="1:5" ht="15">
      <c r="A981" s="13">
        <v>71010</v>
      </c>
      <c r="B981" s="4">
        <f>64.113 * CHOOSE(CONTROL!$C$9, $C$13, 100%, $E$13) + CHOOSE(CONTROL!$C$28, 0.0226, 0)</f>
        <v>64.135599999999997</v>
      </c>
      <c r="C981" s="4">
        <f>63.7497 * CHOOSE(CONTROL!$C$9, $C$13, 100%, $E$13) + CHOOSE(CONTROL!$C$28, 0.0226, 0)</f>
        <v>63.772299999999994</v>
      </c>
      <c r="D981" s="4">
        <f>94.4641 * CHOOSE(CONTROL!$C$9, $C$13, 100%, $E$13) + CHOOSE(CONTROL!$C$28, 0.0021, 0)</f>
        <v>94.466200000000001</v>
      </c>
      <c r="E981" s="4">
        <f>464.359046511884 * CHOOSE(CONTROL!$C$9, $C$13, 100%, $E$13) + CHOOSE(CONTROL!$C$28, 0.0021, 0)</f>
        <v>464.36114651188399</v>
      </c>
    </row>
    <row r="982" spans="1:5" ht="15">
      <c r="A982" s="13">
        <v>71040</v>
      </c>
      <c r="B982" s="4">
        <f>64.3134 * CHOOSE(CONTROL!$C$9, $C$13, 100%, $E$13) + CHOOSE(CONTROL!$C$28, 0.0226, 0)</f>
        <v>64.335999999999999</v>
      </c>
      <c r="C982" s="4">
        <f>63.9501 * CHOOSE(CONTROL!$C$9, $C$13, 100%, $E$13) + CHOOSE(CONTROL!$C$28, 0.0226, 0)</f>
        <v>63.972699999999996</v>
      </c>
      <c r="D982" s="4">
        <f>95.3188 * CHOOSE(CONTROL!$C$9, $C$13, 100%, $E$13) + CHOOSE(CONTROL!$C$28, 0.0021, 0)</f>
        <v>95.320899999999995</v>
      </c>
      <c r="E982" s="4">
        <f>465.828341801174 * CHOOSE(CONTROL!$C$9, $C$13, 100%, $E$13) + CHOOSE(CONTROL!$C$28, 0.0021, 0)</f>
        <v>465.830441801174</v>
      </c>
    </row>
    <row r="983" spans="1:5" ht="15">
      <c r="A983" s="13">
        <v>71071</v>
      </c>
      <c r="B983" s="4">
        <f>64.2932 * CHOOSE(CONTROL!$C$9, $C$13, 100%, $E$13) + CHOOSE(CONTROL!$C$28, 0.0226, 0)</f>
        <v>64.315799999999996</v>
      </c>
      <c r="C983" s="4">
        <f>63.9299 * CHOOSE(CONTROL!$C$9, $C$13, 100%, $E$13) + CHOOSE(CONTROL!$C$28, 0.0226, 0)</f>
        <v>63.952500000000001</v>
      </c>
      <c r="D983" s="4">
        <f>96.861 * CHOOSE(CONTROL!$C$9, $C$13, 100%, $E$13) + CHOOSE(CONTROL!$C$28, 0.0021, 0)</f>
        <v>96.863100000000003</v>
      </c>
      <c r="E983" s="4">
        <f>465.680177570322 * CHOOSE(CONTROL!$C$9, $C$13, 100%, $E$13) + CHOOSE(CONTROL!$C$28, 0.0021, 0)</f>
        <v>465.68227757032196</v>
      </c>
    </row>
    <row r="984" spans="1:5" ht="15">
      <c r="A984" s="13">
        <v>71102</v>
      </c>
      <c r="B984" s="4">
        <f>65.814 * CHOOSE(CONTROL!$C$9, $C$13, 100%, $E$13) + CHOOSE(CONTROL!$C$28, 0.0226, 0)</f>
        <v>65.83659999999999</v>
      </c>
      <c r="C984" s="4">
        <f>65.4507 * CHOOSE(CONTROL!$C$9, $C$13, 100%, $E$13) + CHOOSE(CONTROL!$C$28, 0.0226, 0)</f>
        <v>65.473299999999995</v>
      </c>
      <c r="D984" s="4">
        <f>95.8425 * CHOOSE(CONTROL!$C$9, $C$13, 100%, $E$13) + CHOOSE(CONTROL!$C$28, 0.0021, 0)</f>
        <v>95.8446</v>
      </c>
      <c r="E984" s="4">
        <f>476.829535941994 * CHOOSE(CONTROL!$C$9, $C$13, 100%, $E$13) + CHOOSE(CONTROL!$C$28, 0.0021, 0)</f>
        <v>476.83163594199397</v>
      </c>
    </row>
    <row r="985" spans="1:5" ht="15">
      <c r="A985" s="13">
        <v>71132</v>
      </c>
      <c r="B985" s="4">
        <f>63.2221 * CHOOSE(CONTROL!$C$9, $C$13, 100%, $E$13) + CHOOSE(CONTROL!$C$28, 0.0226, 0)</f>
        <v>63.244699999999995</v>
      </c>
      <c r="C985" s="4">
        <f>62.8588 * CHOOSE(CONTROL!$C$9, $C$13, 100%, $E$13) + CHOOSE(CONTROL!$C$28, 0.0226, 0)</f>
        <v>62.881399999999999</v>
      </c>
      <c r="D985" s="4">
        <f>95.3613 * CHOOSE(CONTROL!$C$9, $C$13, 100%, $E$13) + CHOOSE(CONTROL!$C$28, 0.0021, 0)</f>
        <v>95.363399999999999</v>
      </c>
      <c r="E985" s="4">
        <f>457.827473335124 * CHOOSE(CONTROL!$C$9, $C$13, 100%, $E$13) + CHOOSE(CONTROL!$C$28, 0.0021, 0)</f>
        <v>457.829573335124</v>
      </c>
    </row>
    <row r="986" spans="1:5" ht="15">
      <c r="A986" s="13">
        <v>71163</v>
      </c>
      <c r="B986" s="4">
        <f>61.1472 * CHOOSE(CONTROL!$C$9, $C$13, 100%, $E$13) + CHOOSE(CONTROL!$C$28, 0.0226, 0)</f>
        <v>61.169799999999995</v>
      </c>
      <c r="C986" s="4">
        <f>60.7839 * CHOOSE(CONTROL!$C$9, $C$13, 100%, $E$13) + CHOOSE(CONTROL!$C$28, 0.0226, 0)</f>
        <v>60.8065</v>
      </c>
      <c r="D986" s="4">
        <f>94.0729 * CHOOSE(CONTROL!$C$9, $C$13, 100%, $E$13) + CHOOSE(CONTROL!$C$28, 0.0021, 0)</f>
        <v>94.075000000000003</v>
      </c>
      <c r="E986" s="4">
        <f>442.615945634237 * CHOOSE(CONTROL!$C$9, $C$13, 100%, $E$13) + CHOOSE(CONTROL!$C$28, 0.0021, 0)</f>
        <v>442.61804563423698</v>
      </c>
    </row>
    <row r="987" spans="1:5" ht="15">
      <c r="A987" s="13">
        <v>71193</v>
      </c>
      <c r="B987" s="4">
        <f>59.8108 * CHOOSE(CONTROL!$C$9, $C$13, 100%, $E$13) + CHOOSE(CONTROL!$C$28, 0.0226, 0)</f>
        <v>59.833399999999997</v>
      </c>
      <c r="C987" s="4">
        <f>59.4475 * CHOOSE(CONTROL!$C$9, $C$13, 100%, $E$13) + CHOOSE(CONTROL!$C$28, 0.0226, 0)</f>
        <v>59.470099999999995</v>
      </c>
      <c r="D987" s="4">
        <f>93.6299 * CHOOSE(CONTROL!$C$9, $C$13, 100%, $E$13) + CHOOSE(CONTROL!$C$28, 0.0021, 0)</f>
        <v>93.632000000000005</v>
      </c>
      <c r="E987" s="4">
        <f>432.818585869096 * CHOOSE(CONTROL!$C$9, $C$13, 100%, $E$13) + CHOOSE(CONTROL!$C$28, 0.0021, 0)</f>
        <v>432.820685869096</v>
      </c>
    </row>
    <row r="988" spans="1:5" ht="15">
      <c r="A988" s="13">
        <v>71224</v>
      </c>
      <c r="B988" s="4">
        <f>58.8862 * CHOOSE(CONTROL!$C$9, $C$13, 100%, $E$13) + CHOOSE(CONTROL!$C$28, 0.0226, 0)</f>
        <v>58.908799999999999</v>
      </c>
      <c r="C988" s="4">
        <f>58.5229 * CHOOSE(CONTROL!$C$9, $C$13, 100%, $E$13) + CHOOSE(CONTROL!$C$28, 0.0226, 0)</f>
        <v>58.545499999999997</v>
      </c>
      <c r="D988" s="4">
        <f>90.3687 * CHOOSE(CONTROL!$C$9, $C$13, 100%, $E$13) + CHOOSE(CONTROL!$C$28, 0.0021, 0)</f>
        <v>90.370800000000003</v>
      </c>
      <c r="E988" s="4">
        <f>426.040072307581 * CHOOSE(CONTROL!$C$9, $C$13, 100%, $E$13) + CHOOSE(CONTROL!$C$28, 0.0021, 0)</f>
        <v>426.04217230758098</v>
      </c>
    </row>
    <row r="989" spans="1:5" ht="15">
      <c r="A989" s="13">
        <v>71255</v>
      </c>
      <c r="B989" s="4">
        <f>56.3565 * CHOOSE(CONTROL!$C$9, $C$13, 100%, $E$13) + CHOOSE(CONTROL!$C$28, 0.0226, 0)</f>
        <v>56.379099999999994</v>
      </c>
      <c r="C989" s="4">
        <f>55.9932 * CHOOSE(CONTROL!$C$9, $C$13, 100%, $E$13) + CHOOSE(CONTROL!$C$28, 0.0226, 0)</f>
        <v>56.015799999999999</v>
      </c>
      <c r="D989" s="4">
        <f>86.7762 * CHOOSE(CONTROL!$C$9, $C$13, 100%, $E$13) + CHOOSE(CONTROL!$C$28, 0.0021, 0)</f>
        <v>86.778300000000002</v>
      </c>
      <c r="E989" s="4">
        <f>408.293772120429 * CHOOSE(CONTROL!$C$9, $C$13, 100%, $E$13) + CHOOSE(CONTROL!$C$28, 0.0021, 0)</f>
        <v>408.29587212042901</v>
      </c>
    </row>
    <row r="990" spans="1:5" ht="15">
      <c r="A990" s="13">
        <v>71283</v>
      </c>
      <c r="B990" s="4">
        <f>57.6762 * CHOOSE(CONTROL!$C$9, $C$13, 100%, $E$13) + CHOOSE(CONTROL!$C$28, 0.0226, 0)</f>
        <v>57.698799999999999</v>
      </c>
      <c r="C990" s="4">
        <f>57.313 * CHOOSE(CONTROL!$C$9, $C$13, 100%, $E$13) + CHOOSE(CONTROL!$C$28, 0.0226, 0)</f>
        <v>57.335599999999999</v>
      </c>
      <c r="D990" s="4">
        <f>89.7736 * CHOOSE(CONTROL!$C$9, $C$13, 100%, $E$13) + CHOOSE(CONTROL!$C$28, 0.0021, 0)</f>
        <v>89.775700000000001</v>
      </c>
      <c r="E990" s="4">
        <f>417.988275319349 * CHOOSE(CONTROL!$C$9, $C$13, 100%, $E$13) + CHOOSE(CONTROL!$C$28, 0.0021, 0)</f>
        <v>417.99037531934897</v>
      </c>
    </row>
    <row r="991" spans="1:5" ht="15">
      <c r="A991" s="13">
        <v>71314</v>
      </c>
      <c r="B991" s="4">
        <f>61.142 * CHOOSE(CONTROL!$C$9, $C$13, 100%, $E$13) + CHOOSE(CONTROL!$C$28, 0.0226, 0)</f>
        <v>61.1646</v>
      </c>
      <c r="C991" s="4">
        <f>60.7787 * CHOOSE(CONTROL!$C$9, $C$13, 100%, $E$13) + CHOOSE(CONTROL!$C$28, 0.0226, 0)</f>
        <v>60.801299999999998</v>
      </c>
      <c r="D991" s="4">
        <f>94.4656 * CHOOSE(CONTROL!$C$9, $C$13, 100%, $E$13) + CHOOSE(CONTROL!$C$28, 0.0021, 0)</f>
        <v>94.467699999999994</v>
      </c>
      <c r="E991" s="4">
        <f>443.446555916902 * CHOOSE(CONTROL!$C$9, $C$13, 100%, $E$13) + CHOOSE(CONTROL!$C$28, 0.0021, 0)</f>
        <v>443.448655916902</v>
      </c>
    </row>
    <row r="992" spans="1:5" ht="15">
      <c r="A992" s="13">
        <v>71344</v>
      </c>
      <c r="B992" s="4">
        <f>63.6045 * CHOOSE(CONTROL!$C$9, $C$13, 100%, $E$13) + CHOOSE(CONTROL!$C$28, 0.0226, 0)</f>
        <v>63.627099999999999</v>
      </c>
      <c r="C992" s="4">
        <f>63.2412 * CHOOSE(CONTROL!$C$9, $C$13, 100%, $E$13) + CHOOSE(CONTROL!$C$28, 0.0226, 0)</f>
        <v>63.263799999999996</v>
      </c>
      <c r="D992" s="4">
        <f>97.1684 * CHOOSE(CONTROL!$C$9, $C$13, 100%, $E$13) + CHOOSE(CONTROL!$C$28, 0.0021, 0)</f>
        <v>97.170500000000004</v>
      </c>
      <c r="E992" s="4">
        <f>461.535003557661 * CHOOSE(CONTROL!$C$9, $C$13, 100%, $E$13) + CHOOSE(CONTROL!$C$28, 0.0021, 0)</f>
        <v>461.537103557661</v>
      </c>
    </row>
    <row r="993" spans="1:5" ht="15">
      <c r="A993" s="13">
        <v>71375</v>
      </c>
      <c r="B993" s="4">
        <f>65.109 * CHOOSE(CONTROL!$C$9, $C$13, 100%, $E$13) + CHOOSE(CONTROL!$C$28, 0.0226, 0)</f>
        <v>65.131599999999992</v>
      </c>
      <c r="C993" s="4">
        <f>64.7457 * CHOOSE(CONTROL!$C$9, $C$13, 100%, $E$13) + CHOOSE(CONTROL!$C$28, 0.0226, 0)</f>
        <v>64.768299999999996</v>
      </c>
      <c r="D993" s="4">
        <f>96.1004 * CHOOSE(CONTROL!$C$9, $C$13, 100%, $E$13) + CHOOSE(CONTROL!$C$28, 0.0021, 0)</f>
        <v>96.102499999999992</v>
      </c>
      <c r="E993" s="4">
        <f>472.586611546579 * CHOOSE(CONTROL!$C$9, $C$13, 100%, $E$13) + CHOOSE(CONTROL!$C$28, 0.0021, 0)</f>
        <v>472.58871154657896</v>
      </c>
    </row>
    <row r="994" spans="1:5" ht="15">
      <c r="A994" s="13">
        <v>71405</v>
      </c>
      <c r="B994" s="4">
        <f>65.3126 * CHOOSE(CONTROL!$C$9, $C$13, 100%, $E$13) + CHOOSE(CONTROL!$C$28, 0.0226, 0)</f>
        <v>65.3352</v>
      </c>
      <c r="C994" s="4">
        <f>64.9493 * CHOOSE(CONTROL!$C$9, $C$13, 100%, $E$13) + CHOOSE(CONTROL!$C$28, 0.0226, 0)</f>
        <v>64.971899999999991</v>
      </c>
      <c r="D994" s="4">
        <f>96.9702 * CHOOSE(CONTROL!$C$9, $C$13, 100%, $E$13) + CHOOSE(CONTROL!$C$28, 0.0021, 0)</f>
        <v>96.972300000000004</v>
      </c>
      <c r="E994" s="4">
        <f>474.081939972595 * CHOOSE(CONTROL!$C$9, $C$13, 100%, $E$13) + CHOOSE(CONTROL!$C$28, 0.0021, 0)</f>
        <v>474.08403997259501</v>
      </c>
    </row>
    <row r="995" spans="1:5" ht="15">
      <c r="A995" s="13">
        <v>71436</v>
      </c>
      <c r="B995" s="4">
        <f>65.292 * CHOOSE(CONTROL!$C$9, $C$13, 100%, $E$13) + CHOOSE(CONTROL!$C$28, 0.0226, 0)</f>
        <v>65.314599999999999</v>
      </c>
      <c r="C995" s="4">
        <f>64.9287 * CHOOSE(CONTROL!$C$9, $C$13, 100%, $E$13) + CHOOSE(CONTROL!$C$28, 0.0226, 0)</f>
        <v>64.951300000000003</v>
      </c>
      <c r="D995" s="4">
        <f>98.5397 * CHOOSE(CONTROL!$C$9, $C$13, 100%, $E$13) + CHOOSE(CONTROL!$C$28, 0.0021, 0)</f>
        <v>98.541799999999995</v>
      </c>
      <c r="E995" s="4">
        <f>473.931150551484 * CHOOSE(CONTROL!$C$9, $C$13, 100%, $E$13) + CHOOSE(CONTROL!$C$28, 0.0021, 0)</f>
        <v>473.93325055148398</v>
      </c>
    </row>
    <row r="996" spans="1:5" ht="15">
      <c r="A996" s="13">
        <v>71467</v>
      </c>
      <c r="B996" s="4">
        <f>66.8367 * CHOOSE(CONTROL!$C$9, $C$13, 100%, $E$13) + CHOOSE(CONTROL!$C$28, 0.0226, 0)</f>
        <v>66.85929999999999</v>
      </c>
      <c r="C996" s="4">
        <f>66.4735 * CHOOSE(CONTROL!$C$9, $C$13, 100%, $E$13) + CHOOSE(CONTROL!$C$28, 0.0226, 0)</f>
        <v>66.496099999999998</v>
      </c>
      <c r="D996" s="4">
        <f>97.5032 * CHOOSE(CONTROL!$C$9, $C$13, 100%, $E$13) + CHOOSE(CONTROL!$C$28, 0.0021, 0)</f>
        <v>97.505300000000005</v>
      </c>
      <c r="E996" s="4">
        <f>485.278054490078 * CHOOSE(CONTROL!$C$9, $C$13, 100%, $E$13) + CHOOSE(CONTROL!$C$28, 0.0021, 0)</f>
        <v>485.28015449007796</v>
      </c>
    </row>
    <row r="997" spans="1:5" ht="15">
      <c r="A997" s="13">
        <v>71497</v>
      </c>
      <c r="B997" s="4">
        <f>64.2041 * CHOOSE(CONTROL!$C$9, $C$13, 100%, $E$13) + CHOOSE(CONTROL!$C$28, 0.0226, 0)</f>
        <v>64.226699999999994</v>
      </c>
      <c r="C997" s="4">
        <f>63.8408 * CHOOSE(CONTROL!$C$9, $C$13, 100%, $E$13) + CHOOSE(CONTROL!$C$28, 0.0226, 0)</f>
        <v>63.863399999999999</v>
      </c>
      <c r="D997" s="4">
        <f>97.0135 * CHOOSE(CONTROL!$C$9, $C$13, 100%, $E$13) + CHOOSE(CONTROL!$C$28, 0.0021, 0)</f>
        <v>97.015599999999992</v>
      </c>
      <c r="E997" s="4">
        <f>465.939311232608 * CHOOSE(CONTROL!$C$9, $C$13, 100%, $E$13) + CHOOSE(CONTROL!$C$28, 0.0021, 0)</f>
        <v>465.941411232608</v>
      </c>
    </row>
    <row r="998" spans="1:5" ht="15">
      <c r="A998" s="13">
        <v>71528</v>
      </c>
      <c r="B998" s="4">
        <f>62.0965 * CHOOSE(CONTROL!$C$9, $C$13, 100%, $E$13) + CHOOSE(CONTROL!$C$28, 0.0226, 0)</f>
        <v>62.119099999999996</v>
      </c>
      <c r="C998" s="4">
        <f>61.7333 * CHOOSE(CONTROL!$C$9, $C$13, 100%, $E$13) + CHOOSE(CONTROL!$C$28, 0.0226, 0)</f>
        <v>61.755899999999997</v>
      </c>
      <c r="D998" s="4">
        <f>95.7023 * CHOOSE(CONTROL!$C$9, $C$13, 100%, $E$13) + CHOOSE(CONTROL!$C$28, 0.0021, 0)</f>
        <v>95.704399999999993</v>
      </c>
      <c r="E998" s="4">
        <f>450.458263998558 * CHOOSE(CONTROL!$C$9, $C$13, 100%, $E$13) + CHOOSE(CONTROL!$C$28, 0.0021, 0)</f>
        <v>450.46036399855797</v>
      </c>
    </row>
    <row r="999" spans="1:5" ht="15">
      <c r="A999" s="13">
        <v>71558</v>
      </c>
      <c r="B999" s="4">
        <f>60.7392 * CHOOSE(CONTROL!$C$9, $C$13, 100%, $E$13) + CHOOSE(CONTROL!$C$28, 0.0226, 0)</f>
        <v>60.761799999999994</v>
      </c>
      <c r="C999" s="4">
        <f>60.3759 * CHOOSE(CONTROL!$C$9, $C$13, 100%, $E$13) + CHOOSE(CONTROL!$C$28, 0.0226, 0)</f>
        <v>60.398499999999999</v>
      </c>
      <c r="D999" s="4">
        <f>95.2515 * CHOOSE(CONTROL!$C$9, $C$13, 100%, $E$13) + CHOOSE(CONTROL!$C$28, 0.0021, 0)</f>
        <v>95.253599999999992</v>
      </c>
      <c r="E999" s="4">
        <f>440.487313527601 * CHOOSE(CONTROL!$C$9, $C$13, 100%, $E$13) + CHOOSE(CONTROL!$C$28, 0.0021, 0)</f>
        <v>440.48941352760096</v>
      </c>
    </row>
    <row r="1000" spans="1:5" ht="15">
      <c r="A1000" s="13">
        <v>71589</v>
      </c>
      <c r="B1000" s="4">
        <f>59.8 * CHOOSE(CONTROL!$C$9, $C$13, 100%, $E$13) + CHOOSE(CONTROL!$C$28, 0.0226, 0)</f>
        <v>59.822599999999994</v>
      </c>
      <c r="C1000" s="4">
        <f>59.4367 * CHOOSE(CONTROL!$C$9, $C$13, 100%, $E$13) + CHOOSE(CONTROL!$C$28, 0.0226, 0)</f>
        <v>59.459299999999999</v>
      </c>
      <c r="D1000" s="4">
        <f>91.9326 * CHOOSE(CONTROL!$C$9, $C$13, 100%, $E$13) + CHOOSE(CONTROL!$C$28, 0.0021, 0)</f>
        <v>91.934699999999992</v>
      </c>
      <c r="E1000" s="4">
        <f>433.588697511778 * CHOOSE(CONTROL!$C$9, $C$13, 100%, $E$13) + CHOOSE(CONTROL!$C$28, 0.0021, 0)</f>
        <v>433.59079751177796</v>
      </c>
    </row>
    <row r="1001" spans="1:5" ht="15">
      <c r="A1001" s="13">
        <v>71620</v>
      </c>
      <c r="B1001" s="4">
        <f>57.2305 * CHOOSE(CONTROL!$C$9, $C$13, 100%, $E$13) + CHOOSE(CONTROL!$C$28, 0.0226, 0)</f>
        <v>57.253099999999996</v>
      </c>
      <c r="C1001" s="4">
        <f>56.8672 * CHOOSE(CONTROL!$C$9, $C$13, 100%, $E$13) + CHOOSE(CONTROL!$C$28, 0.0226, 0)</f>
        <v>56.889799999999994</v>
      </c>
      <c r="D1001" s="4">
        <f>88.2767 * CHOOSE(CONTROL!$C$9, $C$13, 100%, $E$13) + CHOOSE(CONTROL!$C$28, 0.0021, 0)</f>
        <v>88.278800000000004</v>
      </c>
      <c r="E1001" s="4">
        <f>415.527966411711 * CHOOSE(CONTROL!$C$9, $C$13, 100%, $E$13) + CHOOSE(CONTROL!$C$28, 0.0021, 0)</f>
        <v>415.530066411711</v>
      </c>
    </row>
    <row r="1002" spans="1:5" ht="15">
      <c r="A1002" s="13">
        <v>71649</v>
      </c>
      <c r="B1002" s="4">
        <f>58.571 * CHOOSE(CONTROL!$C$9, $C$13, 100%, $E$13) + CHOOSE(CONTROL!$C$28, 0.0226, 0)</f>
        <v>58.593599999999995</v>
      </c>
      <c r="C1002" s="4">
        <f>58.2078 * CHOOSE(CONTROL!$C$9, $C$13, 100%, $E$13) + CHOOSE(CONTROL!$C$28, 0.0226, 0)</f>
        <v>58.230399999999996</v>
      </c>
      <c r="D1002" s="4">
        <f>91.327 * CHOOSE(CONTROL!$C$9, $C$13, 100%, $E$13) + CHOOSE(CONTROL!$C$28, 0.0021, 0)</f>
        <v>91.329099999999997</v>
      </c>
      <c r="E1002" s="4">
        <f>425.394237892411 * CHOOSE(CONTROL!$C$9, $C$13, 100%, $E$13) + CHOOSE(CONTROL!$C$28, 0.0021, 0)</f>
        <v>425.396337892411</v>
      </c>
    </row>
    <row r="1003" spans="1:5" ht="15">
      <c r="A1003" s="13">
        <v>71680</v>
      </c>
      <c r="B1003" s="4">
        <f>62.0913 * CHOOSE(CONTROL!$C$9, $C$13, 100%, $E$13) + CHOOSE(CONTROL!$C$28, 0.0226, 0)</f>
        <v>62.113899999999994</v>
      </c>
      <c r="C1003" s="4">
        <f>61.728 * CHOOSE(CONTROL!$C$9, $C$13, 100%, $E$13) + CHOOSE(CONTROL!$C$28, 0.0226, 0)</f>
        <v>61.750599999999999</v>
      </c>
      <c r="D1003" s="4">
        <f>96.102 * CHOOSE(CONTROL!$C$9, $C$13, 100%, $E$13) + CHOOSE(CONTROL!$C$28, 0.0021, 0)</f>
        <v>96.104100000000003</v>
      </c>
      <c r="E1003" s="4">
        <f>451.303591126238 * CHOOSE(CONTROL!$C$9, $C$13, 100%, $E$13) + CHOOSE(CONTROL!$C$28, 0.0021, 0)</f>
        <v>451.305691126238</v>
      </c>
    </row>
    <row r="1004" spans="1:5" ht="15">
      <c r="A1004" s="13">
        <v>71710</v>
      </c>
      <c r="B1004" s="4">
        <f>64.5925 * CHOOSE(CONTROL!$C$9, $C$13, 100%, $E$13) + CHOOSE(CONTROL!$C$28, 0.0226, 0)</f>
        <v>64.615099999999998</v>
      </c>
      <c r="C1004" s="4">
        <f>64.2292 * CHOOSE(CONTROL!$C$9, $C$13, 100%, $E$13) + CHOOSE(CONTROL!$C$28, 0.0226, 0)</f>
        <v>64.251800000000003</v>
      </c>
      <c r="D1004" s="4">
        <f>98.8525 * CHOOSE(CONTROL!$C$9, $C$13, 100%, $E$13) + CHOOSE(CONTROL!$C$28, 0.0021, 0)</f>
        <v>98.854600000000005</v>
      </c>
      <c r="E1004" s="4">
        <f>469.712531886403 * CHOOSE(CONTROL!$C$9, $C$13, 100%, $E$13) + CHOOSE(CONTROL!$C$28, 0.0021, 0)</f>
        <v>469.71463188640297</v>
      </c>
    </row>
    <row r="1005" spans="1:5" ht="15">
      <c r="A1005" s="13">
        <v>71741</v>
      </c>
      <c r="B1005" s="4">
        <f>66.1207 * CHOOSE(CONTROL!$C$9, $C$13, 100%, $E$13) + CHOOSE(CONTROL!$C$28, 0.0226, 0)</f>
        <v>66.143299999999996</v>
      </c>
      <c r="C1005" s="4">
        <f>65.7574 * CHOOSE(CONTROL!$C$9, $C$13, 100%, $E$13) + CHOOSE(CONTROL!$C$28, 0.0226, 0)</f>
        <v>65.78</v>
      </c>
      <c r="D1005" s="4">
        <f>97.7656 * CHOOSE(CONTROL!$C$9, $C$13, 100%, $E$13) + CHOOSE(CONTROL!$C$28, 0.0021, 0)</f>
        <v>97.767700000000005</v>
      </c>
      <c r="E1005" s="4">
        <f>480.95995349013 * CHOOSE(CONTROL!$C$9, $C$13, 100%, $E$13) + CHOOSE(CONTROL!$C$28, 0.0021, 0)</f>
        <v>480.96205349012996</v>
      </c>
    </row>
    <row r="1006" spans="1:5" ht="15">
      <c r="A1006" s="13">
        <v>71771</v>
      </c>
      <c r="B1006" s="4">
        <f>66.3274 * CHOOSE(CONTROL!$C$9, $C$13, 100%, $E$13) + CHOOSE(CONTROL!$C$28, 0.0226, 0)</f>
        <v>66.349999999999994</v>
      </c>
      <c r="C1006" s="4">
        <f>65.9641 * CHOOSE(CONTROL!$C$9, $C$13, 100%, $E$13) + CHOOSE(CONTROL!$C$28, 0.0226, 0)</f>
        <v>65.986699999999999</v>
      </c>
      <c r="D1006" s="4">
        <f>98.6508 * CHOOSE(CONTROL!$C$9, $C$13, 100%, $E$13) + CHOOSE(CONTROL!$C$28, 0.0021, 0)</f>
        <v>98.652900000000002</v>
      </c>
      <c r="E1006" s="4">
        <f>482.481776310873 * CHOOSE(CONTROL!$C$9, $C$13, 100%, $E$13) + CHOOSE(CONTROL!$C$28, 0.0021, 0)</f>
        <v>482.48387631087297</v>
      </c>
    </row>
    <row r="1007" spans="1:5" ht="15">
      <c r="A1007" s="13">
        <v>71802</v>
      </c>
      <c r="B1007" s="4">
        <f>66.3066 * CHOOSE(CONTROL!$C$9, $C$13, 100%, $E$13) + CHOOSE(CONTROL!$C$28, 0.0226, 0)</f>
        <v>66.3292</v>
      </c>
      <c r="C1007" s="4">
        <f>65.9433 * CHOOSE(CONTROL!$C$9, $C$13, 100%, $E$13) + CHOOSE(CONTROL!$C$28, 0.0226, 0)</f>
        <v>65.965899999999991</v>
      </c>
      <c r="D1007" s="4">
        <f>100.248 * CHOOSE(CONTROL!$C$9, $C$13, 100%, $E$13) + CHOOSE(CONTROL!$C$28, 0.0021, 0)</f>
        <v>100.2501</v>
      </c>
      <c r="E1007" s="4">
        <f>482.328315186092 * CHOOSE(CONTROL!$C$9, $C$13, 100%, $E$13) + CHOOSE(CONTROL!$C$28, 0.0021, 0)</f>
        <v>482.33041518609201</v>
      </c>
    </row>
    <row r="1008" spans="1:5" ht="15">
      <c r="A1008" s="13">
        <v>71833</v>
      </c>
      <c r="B1008" s="4">
        <f>67.8756 * CHOOSE(CONTROL!$C$9, $C$13, 100%, $E$13) + CHOOSE(CONTROL!$C$28, 0.0226, 0)</f>
        <v>67.898200000000003</v>
      </c>
      <c r="C1008" s="4">
        <f>67.5123 * CHOOSE(CONTROL!$C$9, $C$13, 100%, $E$13) + CHOOSE(CONTROL!$C$28, 0.0226, 0)</f>
        <v>67.534899999999993</v>
      </c>
      <c r="D1008" s="4">
        <f>99.1932 * CHOOSE(CONTROL!$C$9, $C$13, 100%, $E$13) + CHOOSE(CONTROL!$C$28, 0.0021, 0)</f>
        <v>99.195300000000003</v>
      </c>
      <c r="E1008" s="4">
        <f>493.876264825848 * CHOOSE(CONTROL!$C$9, $C$13, 100%, $E$13) + CHOOSE(CONTROL!$C$28, 0.0021, 0)</f>
        <v>493.878364825848</v>
      </c>
    </row>
    <row r="1009" spans="1:5" ht="15">
      <c r="A1009" s="13">
        <v>71863</v>
      </c>
      <c r="B1009" s="4">
        <f>65.2015 * CHOOSE(CONTROL!$C$9, $C$13, 100%, $E$13) + CHOOSE(CONTROL!$C$28, 0.0226, 0)</f>
        <v>65.224099999999993</v>
      </c>
      <c r="C1009" s="4">
        <f>64.8382 * CHOOSE(CONTROL!$C$9, $C$13, 100%, $E$13) + CHOOSE(CONTROL!$C$28, 0.0226, 0)</f>
        <v>64.860799999999998</v>
      </c>
      <c r="D1009" s="4">
        <f>98.6948 * CHOOSE(CONTROL!$C$9, $C$13, 100%, $E$13) + CHOOSE(CONTROL!$C$28, 0.0021, 0)</f>
        <v>98.696899999999999</v>
      </c>
      <c r="E1009" s="4">
        <f>474.194875572709 * CHOOSE(CONTROL!$C$9, $C$13, 100%, $E$13) + CHOOSE(CONTROL!$C$28, 0.0021, 0)</f>
        <v>474.19697557270899</v>
      </c>
    </row>
    <row r="1010" spans="1:5" ht="15">
      <c r="A1010" s="13">
        <v>71894</v>
      </c>
      <c r="B1010" s="4">
        <f>63.0608 * CHOOSE(CONTROL!$C$9, $C$13, 100%, $E$13) + CHOOSE(CONTROL!$C$28, 0.0226, 0)</f>
        <v>63.083399999999997</v>
      </c>
      <c r="C1010" s="4">
        <f>62.6976 * CHOOSE(CONTROL!$C$9, $C$13, 100%, $E$13) + CHOOSE(CONTROL!$C$28, 0.0226, 0)</f>
        <v>62.720199999999998</v>
      </c>
      <c r="D1010" s="4">
        <f>97.3604 * CHOOSE(CONTROL!$C$9, $C$13, 100%, $E$13) + CHOOSE(CONTROL!$C$28, 0.0021, 0)</f>
        <v>97.362499999999997</v>
      </c>
      <c r="E1010" s="4">
        <f>458.439533428546 * CHOOSE(CONTROL!$C$9, $C$13, 100%, $E$13) + CHOOSE(CONTROL!$C$28, 0.0021, 0)</f>
        <v>458.44163342854597</v>
      </c>
    </row>
    <row r="1011" spans="1:5" ht="15">
      <c r="A1011" s="13">
        <v>71924</v>
      </c>
      <c r="B1011" s="4">
        <f>61.6821 * CHOOSE(CONTROL!$C$9, $C$13, 100%, $E$13) + CHOOSE(CONTROL!$C$28, 0.0226, 0)</f>
        <v>61.704699999999995</v>
      </c>
      <c r="C1011" s="4">
        <f>61.3188 * CHOOSE(CONTROL!$C$9, $C$13, 100%, $E$13) + CHOOSE(CONTROL!$C$28, 0.0226, 0)</f>
        <v>61.3414</v>
      </c>
      <c r="D1011" s="4">
        <f>96.9017 * CHOOSE(CONTROL!$C$9, $C$13, 100%, $E$13) + CHOOSE(CONTROL!$C$28, 0.0021, 0)</f>
        <v>96.903800000000004</v>
      </c>
      <c r="E1011" s="4">
        <f>448.291916552415 * CHOOSE(CONTROL!$C$9, $C$13, 100%, $E$13) + CHOOSE(CONTROL!$C$28, 0.0021, 0)</f>
        <v>448.29401655241497</v>
      </c>
    </row>
    <row r="1012" spans="1:5" ht="15">
      <c r="A1012" s="13">
        <v>71955</v>
      </c>
      <c r="B1012" s="4">
        <f>60.7282 * CHOOSE(CONTROL!$C$9, $C$13, 100%, $E$13) + CHOOSE(CONTROL!$C$28, 0.0226, 0)</f>
        <v>60.750799999999998</v>
      </c>
      <c r="C1012" s="4">
        <f>60.3649 * CHOOSE(CONTROL!$C$9, $C$13, 100%, $E$13) + CHOOSE(CONTROL!$C$28, 0.0226, 0)</f>
        <v>60.387499999999996</v>
      </c>
      <c r="D1012" s="4">
        <f>93.5242 * CHOOSE(CONTROL!$C$9, $C$13, 100%, $E$13) + CHOOSE(CONTROL!$C$28, 0.0021, 0)</f>
        <v>93.526299999999992</v>
      </c>
      <c r="E1012" s="4">
        <f>441.271070093692 * CHOOSE(CONTROL!$C$9, $C$13, 100%, $E$13) + CHOOSE(CONTROL!$C$28, 0.0021, 0)</f>
        <v>441.27317009369199</v>
      </c>
    </row>
    <row r="1013" spans="1:5" ht="15">
      <c r="A1013" s="13">
        <v>71986</v>
      </c>
      <c r="B1013" s="4">
        <f>58.1183 * CHOOSE(CONTROL!$C$9, $C$13, 100%, $E$13) + CHOOSE(CONTROL!$C$28, 0.0226, 0)</f>
        <v>58.140899999999995</v>
      </c>
      <c r="C1013" s="4">
        <f>57.755 * CHOOSE(CONTROL!$C$9, $C$13, 100%, $E$13) + CHOOSE(CONTROL!$C$28, 0.0226, 0)</f>
        <v>57.7776</v>
      </c>
      <c r="D1013" s="4">
        <f>89.8037 * CHOOSE(CONTROL!$C$9, $C$13, 100%, $E$13) + CHOOSE(CONTROL!$C$28, 0.0021, 0)</f>
        <v>89.805800000000005</v>
      </c>
      <c r="E1013" s="4">
        <f>422.890336958958 * CHOOSE(CONTROL!$C$9, $C$13, 100%, $E$13) + CHOOSE(CONTROL!$C$28, 0.0021, 0)</f>
        <v>422.892436958958</v>
      </c>
    </row>
    <row r="1014" spans="1:5" ht="15">
      <c r="A1014" s="13">
        <v>72014</v>
      </c>
      <c r="B1014" s="4">
        <f>59.4799 * CHOOSE(CONTROL!$C$9, $C$13, 100%, $E$13) + CHOOSE(CONTROL!$C$28, 0.0226, 0)</f>
        <v>59.502499999999998</v>
      </c>
      <c r="C1014" s="4">
        <f>59.1166 * CHOOSE(CONTROL!$C$9, $C$13, 100%, $E$13) + CHOOSE(CONTROL!$C$28, 0.0226, 0)</f>
        <v>59.139199999999995</v>
      </c>
      <c r="D1014" s="4">
        <f>92.9079 * CHOOSE(CONTROL!$C$9, $C$13, 100%, $E$13) + CHOOSE(CONTROL!$C$28, 0.0021, 0)</f>
        <v>92.91</v>
      </c>
      <c r="E1014" s="4">
        <f>432.931420130885 * CHOOSE(CONTROL!$C$9, $C$13, 100%, $E$13) + CHOOSE(CONTROL!$C$28, 0.0021, 0)</f>
        <v>432.93352013088497</v>
      </c>
    </row>
    <row r="1015" spans="1:5" ht="15">
      <c r="A1015" s="13">
        <v>72045</v>
      </c>
      <c r="B1015" s="4">
        <f>63.0555 * CHOOSE(CONTROL!$C$9, $C$13, 100%, $E$13) + CHOOSE(CONTROL!$C$28, 0.0226, 0)</f>
        <v>63.078099999999999</v>
      </c>
      <c r="C1015" s="4">
        <f>62.6922 * CHOOSE(CONTROL!$C$9, $C$13, 100%, $E$13) + CHOOSE(CONTROL!$C$28, 0.0226, 0)</f>
        <v>62.714799999999997</v>
      </c>
      <c r="D1015" s="4">
        <f>97.7672 * CHOOSE(CONTROL!$C$9, $C$13, 100%, $E$13) + CHOOSE(CONTROL!$C$28, 0.0021, 0)</f>
        <v>97.769300000000001</v>
      </c>
      <c r="E1015" s="4">
        <f>459.299838155932 * CHOOSE(CONTROL!$C$9, $C$13, 100%, $E$13) + CHOOSE(CONTROL!$C$28, 0.0021, 0)</f>
        <v>459.30193815593196</v>
      </c>
    </row>
    <row r="1016" spans="1:5" ht="15">
      <c r="A1016" s="13">
        <v>72075</v>
      </c>
      <c r="B1016" s="4">
        <f>65.596 * CHOOSE(CONTROL!$C$9, $C$13, 100%, $E$13) + CHOOSE(CONTROL!$C$28, 0.0226, 0)</f>
        <v>65.618600000000001</v>
      </c>
      <c r="C1016" s="4">
        <f>65.2328 * CHOOSE(CONTROL!$C$9, $C$13, 100%, $E$13) + CHOOSE(CONTROL!$C$28, 0.0226, 0)</f>
        <v>65.255399999999995</v>
      </c>
      <c r="D1016" s="4">
        <f>100.5663 * CHOOSE(CONTROL!$C$9, $C$13, 100%, $E$13) + CHOOSE(CONTROL!$C$28, 0.0021, 0)</f>
        <v>100.5684</v>
      </c>
      <c r="E1016" s="4">
        <f>478.034950568102 * CHOOSE(CONTROL!$C$9, $C$13, 100%, $E$13) + CHOOSE(CONTROL!$C$28, 0.0021, 0)</f>
        <v>478.03705056810196</v>
      </c>
    </row>
    <row r="1017" spans="1:5" ht="15">
      <c r="A1017" s="13">
        <v>72106</v>
      </c>
      <c r="B1017" s="4">
        <f>67.1482 * CHOOSE(CONTROL!$C$9, $C$13, 100%, $E$13) + CHOOSE(CONTROL!$C$28, 0.0226, 0)</f>
        <v>67.1708</v>
      </c>
      <c r="C1017" s="4">
        <f>66.785 * CHOOSE(CONTROL!$C$9, $C$13, 100%, $E$13) + CHOOSE(CONTROL!$C$28, 0.0226, 0)</f>
        <v>66.807599999999994</v>
      </c>
      <c r="D1017" s="4">
        <f>99.4602 * CHOOSE(CONTROL!$C$9, $C$13, 100%, $E$13) + CHOOSE(CONTROL!$C$28, 0.0021, 0)</f>
        <v>99.462299999999999</v>
      </c>
      <c r="E1017" s="4">
        <f>489.48165523396 * CHOOSE(CONTROL!$C$9, $C$13, 100%, $E$13) + CHOOSE(CONTROL!$C$28, 0.0021, 0)</f>
        <v>489.48375523395998</v>
      </c>
    </row>
    <row r="1018" spans="1:5" ht="15">
      <c r="A1018" s="13">
        <v>72136</v>
      </c>
      <c r="B1018" s="4">
        <f>67.3583 * CHOOSE(CONTROL!$C$9, $C$13, 100%, $E$13) + CHOOSE(CONTROL!$C$28, 0.0226, 0)</f>
        <v>67.380899999999997</v>
      </c>
      <c r="C1018" s="4">
        <f>66.995 * CHOOSE(CONTROL!$C$9, $C$13, 100%, $E$13) + CHOOSE(CONTROL!$C$28, 0.0226, 0)</f>
        <v>67.017600000000002</v>
      </c>
      <c r="D1018" s="4">
        <f>100.3611 * CHOOSE(CONTROL!$C$9, $C$13, 100%, $E$13) + CHOOSE(CONTROL!$C$28, 0.0021, 0)</f>
        <v>100.36319999999999</v>
      </c>
      <c r="E1018" s="4">
        <f>491.030441880051 * CHOOSE(CONTROL!$C$9, $C$13, 100%, $E$13) + CHOOSE(CONTROL!$C$28, 0.0021, 0)</f>
        <v>491.03254188005099</v>
      </c>
    </row>
    <row r="1019" spans="1:5" ht="15">
      <c r="A1019" s="13">
        <v>72167</v>
      </c>
      <c r="B1019" s="4">
        <f>67.3371 * CHOOSE(CONTROL!$C$9, $C$13, 100%, $E$13) + CHOOSE(CONTROL!$C$28, 0.0226, 0)</f>
        <v>67.359700000000004</v>
      </c>
      <c r="C1019" s="4">
        <f>66.9738 * CHOOSE(CONTROL!$C$9, $C$13, 100%, $E$13) + CHOOSE(CONTROL!$C$28, 0.0226, 0)</f>
        <v>66.996399999999994</v>
      </c>
      <c r="D1019" s="4">
        <f>101.9865 * CHOOSE(CONTROL!$C$9, $C$13, 100%, $E$13) + CHOOSE(CONTROL!$C$28, 0.0021, 0)</f>
        <v>101.98860000000001</v>
      </c>
      <c r="E1019" s="4">
        <f>490.874261714059 * CHOOSE(CONTROL!$C$9, $C$13, 100%, $E$13) + CHOOSE(CONTROL!$C$28, 0.0021, 0)</f>
        <v>490.87636171405899</v>
      </c>
    </row>
    <row r="1020" spans="1:5" ht="15">
      <c r="A1020" s="13">
        <v>72198</v>
      </c>
      <c r="B1020" s="4">
        <f>68.9308 * CHOOSE(CONTROL!$C$9, $C$13, 100%, $E$13) + CHOOSE(CONTROL!$C$28, 0.0226, 0)</f>
        <v>68.953400000000002</v>
      </c>
      <c r="C1020" s="4">
        <f>68.5675 * CHOOSE(CONTROL!$C$9, $C$13, 100%, $E$13) + CHOOSE(CONTROL!$C$28, 0.0226, 0)</f>
        <v>68.590099999999993</v>
      </c>
      <c r="D1020" s="4">
        <f>100.913 * CHOOSE(CONTROL!$C$9, $C$13, 100%, $E$13) + CHOOSE(CONTROL!$C$28, 0.0021, 0)</f>
        <v>100.9151</v>
      </c>
      <c r="E1020" s="4">
        <f>502.626819204986 * CHOOSE(CONTROL!$C$9, $C$13, 100%, $E$13) + CHOOSE(CONTROL!$C$28, 0.0021, 0)</f>
        <v>502.628919204986</v>
      </c>
    </row>
    <row r="1021" spans="1:5" ht="15">
      <c r="A1021" s="13">
        <v>72228</v>
      </c>
      <c r="B1021" s="4">
        <f>66.2146 * CHOOSE(CONTROL!$C$9, $C$13, 100%, $E$13) + CHOOSE(CONTROL!$C$28, 0.0226, 0)</f>
        <v>66.237200000000001</v>
      </c>
      <c r="C1021" s="4">
        <f>65.8513 * CHOOSE(CONTROL!$C$9, $C$13, 100%, $E$13) + CHOOSE(CONTROL!$C$28, 0.0226, 0)</f>
        <v>65.873899999999992</v>
      </c>
      <c r="D1021" s="4">
        <f>100.4059 * CHOOSE(CONTROL!$C$9, $C$13, 100%, $E$13) + CHOOSE(CONTROL!$C$28, 0.0021, 0)</f>
        <v>100.408</v>
      </c>
      <c r="E1021" s="4">
        <f>482.596712916463 * CHOOSE(CONTROL!$C$9, $C$13, 100%, $E$13) + CHOOSE(CONTROL!$C$28, 0.0021, 0)</f>
        <v>482.59881291646298</v>
      </c>
    </row>
    <row r="1022" spans="1:5" ht="15">
      <c r="A1022" s="13">
        <v>72259</v>
      </c>
      <c r="B1022" s="4">
        <f>64.0403 * CHOOSE(CONTROL!$C$9, $C$13, 100%, $E$13) + CHOOSE(CONTROL!$C$28, 0.0226, 0)</f>
        <v>64.062899999999999</v>
      </c>
      <c r="C1022" s="4">
        <f>63.677 * CHOOSE(CONTROL!$C$9, $C$13, 100%, $E$13) + CHOOSE(CONTROL!$C$28, 0.0226, 0)</f>
        <v>63.699599999999997</v>
      </c>
      <c r="D1022" s="4">
        <f>99.0479 * CHOOSE(CONTROL!$C$9, $C$13, 100%, $E$13) + CHOOSE(CONTROL!$C$28, 0.0021, 0)</f>
        <v>99.05</v>
      </c>
      <c r="E1022" s="4">
        <f>466.562215874578 * CHOOSE(CONTROL!$C$9, $C$13, 100%, $E$13) + CHOOSE(CONTROL!$C$28, 0.0021, 0)</f>
        <v>466.56431587457797</v>
      </c>
    </row>
    <row r="1023" spans="1:5" ht="15">
      <c r="A1023" s="13">
        <v>72289</v>
      </c>
      <c r="B1023" s="4">
        <f>62.6399 * CHOOSE(CONTROL!$C$9, $C$13, 100%, $E$13) + CHOOSE(CONTROL!$C$28, 0.0226, 0)</f>
        <v>62.662499999999994</v>
      </c>
      <c r="C1023" s="4">
        <f>62.2766 * CHOOSE(CONTROL!$C$9, $C$13, 100%, $E$13) + CHOOSE(CONTROL!$C$28, 0.0226, 0)</f>
        <v>62.299199999999999</v>
      </c>
      <c r="D1023" s="4">
        <f>98.581 * CHOOSE(CONTROL!$C$9, $C$13, 100%, $E$13) + CHOOSE(CONTROL!$C$28, 0.0021, 0)</f>
        <v>98.583100000000002</v>
      </c>
      <c r="E1023" s="4">
        <f>456.234802398332 * CHOOSE(CONTROL!$C$9, $C$13, 100%, $E$13) + CHOOSE(CONTROL!$C$28, 0.0021, 0)</f>
        <v>456.23690239833201</v>
      </c>
    </row>
    <row r="1024" spans="1:5" ht="15">
      <c r="A1024" s="13">
        <v>72320</v>
      </c>
      <c r="B1024" s="4">
        <f>61.671 * CHOOSE(CONTROL!$C$9, $C$13, 100%, $E$13) + CHOOSE(CONTROL!$C$28, 0.0226, 0)</f>
        <v>61.693599999999996</v>
      </c>
      <c r="C1024" s="4">
        <f>61.3077 * CHOOSE(CONTROL!$C$9, $C$13, 100%, $E$13) + CHOOSE(CONTROL!$C$28, 0.0226, 0)</f>
        <v>61.330299999999994</v>
      </c>
      <c r="D1024" s="4">
        <f>95.1439 * CHOOSE(CONTROL!$C$9, $C$13, 100%, $E$13) + CHOOSE(CONTROL!$C$28, 0.0021, 0)</f>
        <v>95.146000000000001</v>
      </c>
      <c r="E1024" s="4">
        <f>449.08955980418 * CHOOSE(CONTROL!$C$9, $C$13, 100%, $E$13) + CHOOSE(CONTROL!$C$28, 0.0021, 0)</f>
        <v>449.09165980417998</v>
      </c>
    </row>
    <row r="1025" spans="1:5" ht="15">
      <c r="A1025" s="13">
        <v>72351</v>
      </c>
      <c r="B1025" s="4">
        <f>59.0201 * CHOOSE(CONTROL!$C$9, $C$13, 100%, $E$13) + CHOOSE(CONTROL!$C$28, 0.0226, 0)</f>
        <v>59.042699999999996</v>
      </c>
      <c r="C1025" s="4">
        <f>58.6568 * CHOOSE(CONTROL!$C$9, $C$13, 100%, $E$13) + CHOOSE(CONTROL!$C$28, 0.0226, 0)</f>
        <v>58.679399999999994</v>
      </c>
      <c r="D1025" s="4">
        <f>91.3576 * CHOOSE(CONTROL!$C$9, $C$13, 100%, $E$13) + CHOOSE(CONTROL!$C$28, 0.0021, 0)</f>
        <v>91.359700000000004</v>
      </c>
      <c r="E1025" s="4">
        <f>430.383154803274 * CHOOSE(CONTROL!$C$9, $C$13, 100%, $E$13) + CHOOSE(CONTROL!$C$28, 0.0021, 0)</f>
        <v>430.38525480327399</v>
      </c>
    </row>
    <row r="1026" spans="1:5" ht="15">
      <c r="A1026" s="13">
        <v>72379</v>
      </c>
      <c r="B1026" s="4">
        <f>60.4031 * CHOOSE(CONTROL!$C$9, $C$13, 100%, $E$13) + CHOOSE(CONTROL!$C$28, 0.0226, 0)</f>
        <v>60.425699999999999</v>
      </c>
      <c r="C1026" s="4">
        <f>60.0398 * CHOOSE(CONTROL!$C$9, $C$13, 100%, $E$13) + CHOOSE(CONTROL!$C$28, 0.0226, 0)</f>
        <v>60.062399999999997</v>
      </c>
      <c r="D1026" s="4">
        <f>94.5167 * CHOOSE(CONTROL!$C$9, $C$13, 100%, $E$13) + CHOOSE(CONTROL!$C$28, 0.0021, 0)</f>
        <v>94.518799999999999</v>
      </c>
      <c r="E1026" s="4">
        <f>440.602146999341 * CHOOSE(CONTROL!$C$9, $C$13, 100%, $E$13) + CHOOSE(CONTROL!$C$28, 0.0021, 0)</f>
        <v>440.604246999341</v>
      </c>
    </row>
    <row r="1027" spans="1:5" ht="15">
      <c r="A1027" s="13">
        <v>72410</v>
      </c>
      <c r="B1027" s="4">
        <f>64.0349 * CHOOSE(CONTROL!$C$9, $C$13, 100%, $E$13) + CHOOSE(CONTROL!$C$28, 0.0226, 0)</f>
        <v>64.05749999999999</v>
      </c>
      <c r="C1027" s="4">
        <f>63.6716 * CHOOSE(CONTROL!$C$9, $C$13, 100%, $E$13) + CHOOSE(CONTROL!$C$28, 0.0226, 0)</f>
        <v>63.694199999999995</v>
      </c>
      <c r="D1027" s="4">
        <f>99.4619 * CHOOSE(CONTROL!$C$9, $C$13, 100%, $E$13) + CHOOSE(CONTROL!$C$28, 0.0021, 0)</f>
        <v>99.463999999999999</v>
      </c>
      <c r="E1027" s="4">
        <f>467.437763576442 * CHOOSE(CONTROL!$C$9, $C$13, 100%, $E$13) + CHOOSE(CONTROL!$C$28, 0.0021, 0)</f>
        <v>467.43986357644201</v>
      </c>
    </row>
    <row r="1028" spans="1:5" ht="15">
      <c r="A1028" s="13">
        <v>72440</v>
      </c>
      <c r="B1028" s="4">
        <f>66.6154 * CHOOSE(CONTROL!$C$9, $C$13, 100%, $E$13) + CHOOSE(CONTROL!$C$28, 0.0226, 0)</f>
        <v>66.637999999999991</v>
      </c>
      <c r="C1028" s="4">
        <f>66.2521 * CHOOSE(CONTROL!$C$9, $C$13, 100%, $E$13) + CHOOSE(CONTROL!$C$28, 0.0226, 0)</f>
        <v>66.274699999999996</v>
      </c>
      <c r="D1028" s="4">
        <f>102.3104 * CHOOSE(CONTROL!$C$9, $C$13, 100%, $E$13) + CHOOSE(CONTROL!$C$28, 0.0021, 0)</f>
        <v>102.3125</v>
      </c>
      <c r="E1028" s="4">
        <f>486.504826786084 * CHOOSE(CONTROL!$C$9, $C$13, 100%, $E$13) + CHOOSE(CONTROL!$C$28, 0.0021, 0)</f>
        <v>486.50692678608397</v>
      </c>
    </row>
    <row r="1029" spans="1:5" ht="15">
      <c r="A1029" s="13">
        <v>72471</v>
      </c>
      <c r="B1029" s="4">
        <f>68.192 * CHOOSE(CONTROL!$C$9, $C$13, 100%, $E$13) + CHOOSE(CONTROL!$C$28, 0.0226, 0)</f>
        <v>68.21459999999999</v>
      </c>
      <c r="C1029" s="4">
        <f>67.8287 * CHOOSE(CONTROL!$C$9, $C$13, 100%, $E$13) + CHOOSE(CONTROL!$C$28, 0.0226, 0)</f>
        <v>67.851299999999995</v>
      </c>
      <c r="D1029" s="4">
        <f>101.1848 * CHOOSE(CONTROL!$C$9, $C$13, 100%, $E$13) + CHOOSE(CONTROL!$C$28, 0.0021, 0)</f>
        <v>101.18689999999999</v>
      </c>
      <c r="E1029" s="4">
        <f>498.154345433448 * CHOOSE(CONTROL!$C$9, $C$13, 100%, $E$13) + CHOOSE(CONTROL!$C$28, 0.0021, 0)</f>
        <v>498.15644543344797</v>
      </c>
    </row>
    <row r="1030" spans="1:5" ht="15">
      <c r="A1030" s="13">
        <v>72501</v>
      </c>
      <c r="B1030" s="4">
        <f>68.4053 * CHOOSE(CONTROL!$C$9, $C$13, 100%, $E$13) + CHOOSE(CONTROL!$C$28, 0.0226, 0)</f>
        <v>68.427899999999994</v>
      </c>
      <c r="C1030" s="4">
        <f>68.042 * CHOOSE(CONTROL!$C$9, $C$13, 100%, $E$13) + CHOOSE(CONTROL!$C$28, 0.0226, 0)</f>
        <v>68.064599999999999</v>
      </c>
      <c r="D1030" s="4">
        <f>102.1015 * CHOOSE(CONTROL!$C$9, $C$13, 100%, $E$13) + CHOOSE(CONTROL!$C$28, 0.0021, 0)</f>
        <v>102.1036</v>
      </c>
      <c r="E1030" s="4">
        <f>499.730573652933 * CHOOSE(CONTROL!$C$9, $C$13, 100%, $E$13) + CHOOSE(CONTROL!$C$28, 0.0021, 0)</f>
        <v>499.73267365293299</v>
      </c>
    </row>
    <row r="1031" spans="1:5" ht="15">
      <c r="A1031" s="13">
        <v>72532</v>
      </c>
      <c r="B1031" s="4">
        <f>68.3838 * CHOOSE(CONTROL!$C$9, $C$13, 100%, $E$13) + CHOOSE(CONTROL!$C$28, 0.0226, 0)</f>
        <v>68.406399999999991</v>
      </c>
      <c r="C1031" s="4">
        <f>68.0205 * CHOOSE(CONTROL!$C$9, $C$13, 100%, $E$13) + CHOOSE(CONTROL!$C$28, 0.0226, 0)</f>
        <v>68.043099999999995</v>
      </c>
      <c r="D1031" s="4">
        <f>103.7557 * CHOOSE(CONTROL!$C$9, $C$13, 100%, $E$13) + CHOOSE(CONTROL!$C$28, 0.0021, 0)</f>
        <v>103.7578</v>
      </c>
      <c r="E1031" s="4">
        <f>499.571626269455 * CHOOSE(CONTROL!$C$9, $C$13, 100%, $E$13) + CHOOSE(CONTROL!$C$28, 0.0021, 0)</f>
        <v>499.57372626945499</v>
      </c>
    </row>
    <row r="1032" spans="1:5" ht="15">
      <c r="A1032" s="13">
        <v>72563</v>
      </c>
      <c r="B1032" s="4">
        <f>70.0025 * CHOOSE(CONTROL!$C$9, $C$13, 100%, $E$13) + CHOOSE(CONTROL!$C$28, 0.0226, 0)</f>
        <v>70.025099999999995</v>
      </c>
      <c r="C1032" s="4">
        <f>69.6392 * CHOOSE(CONTROL!$C$9, $C$13, 100%, $E$13) + CHOOSE(CONTROL!$C$28, 0.0226, 0)</f>
        <v>69.661799999999999</v>
      </c>
      <c r="D1032" s="4">
        <f>102.6633 * CHOOSE(CONTROL!$C$9, $C$13, 100%, $E$13) + CHOOSE(CONTROL!$C$28, 0.0021, 0)</f>
        <v>102.66540000000001</v>
      </c>
      <c r="E1032" s="4">
        <f>511.532416876129 * CHOOSE(CONTROL!$C$9, $C$13, 100%, $E$13) + CHOOSE(CONTROL!$C$28, 0.0021, 0)</f>
        <v>511.53451687612898</v>
      </c>
    </row>
    <row r="1033" spans="1:5" ht="15">
      <c r="A1033" s="13">
        <v>72593</v>
      </c>
      <c r="B1033" s="4">
        <f>67.2437 * CHOOSE(CONTROL!$C$9, $C$13, 100%, $E$13) + CHOOSE(CONTROL!$C$28, 0.0226, 0)</f>
        <v>67.266300000000001</v>
      </c>
      <c r="C1033" s="4">
        <f>66.8804 * CHOOSE(CONTROL!$C$9, $C$13, 100%, $E$13) + CHOOSE(CONTROL!$C$28, 0.0226, 0)</f>
        <v>66.902999999999992</v>
      </c>
      <c r="D1033" s="4">
        <f>102.1472 * CHOOSE(CONTROL!$C$9, $C$13, 100%, $E$13) + CHOOSE(CONTROL!$C$28, 0.0021, 0)</f>
        <v>102.1493</v>
      </c>
      <c r="E1033" s="4">
        <f>491.147414945153 * CHOOSE(CONTROL!$C$9, $C$13, 100%, $E$13) + CHOOSE(CONTROL!$C$28, 0.0021, 0)</f>
        <v>491.14951494515299</v>
      </c>
    </row>
    <row r="1034" spans="1:5" ht="15">
      <c r="A1034" s="13">
        <v>72624</v>
      </c>
      <c r="B1034" s="4">
        <f>65.0352 * CHOOSE(CONTROL!$C$9, $C$13, 100%, $E$13) + CHOOSE(CONTROL!$C$28, 0.0226, 0)</f>
        <v>65.0578</v>
      </c>
      <c r="C1034" s="4">
        <f>64.6719 * CHOOSE(CONTROL!$C$9, $C$13, 100%, $E$13) + CHOOSE(CONTROL!$C$28, 0.0226, 0)</f>
        <v>64.694499999999991</v>
      </c>
      <c r="D1034" s="4">
        <f>100.7652 * CHOOSE(CONTROL!$C$9, $C$13, 100%, $E$13) + CHOOSE(CONTROL!$C$28, 0.0021, 0)</f>
        <v>100.76729999999999</v>
      </c>
      <c r="E1034" s="4">
        <f>474.828816908141 * CHOOSE(CONTROL!$C$9, $C$13, 100%, $E$13) + CHOOSE(CONTROL!$C$28, 0.0021, 0)</f>
        <v>474.83091690814098</v>
      </c>
    </row>
    <row r="1035" spans="1:5" ht="15">
      <c r="A1035" s="13">
        <v>72654</v>
      </c>
      <c r="B1035" s="4">
        <f>63.6127 * CHOOSE(CONTROL!$C$9, $C$13, 100%, $E$13) + CHOOSE(CONTROL!$C$28, 0.0226, 0)</f>
        <v>63.635299999999994</v>
      </c>
      <c r="C1035" s="4">
        <f>63.2495 * CHOOSE(CONTROL!$C$9, $C$13, 100%, $E$13) + CHOOSE(CONTROL!$C$28, 0.0226, 0)</f>
        <v>63.272099999999995</v>
      </c>
      <c r="D1035" s="4">
        <f>100.2901 * CHOOSE(CONTROL!$C$9, $C$13, 100%, $E$13) + CHOOSE(CONTROL!$C$28, 0.0021, 0)</f>
        <v>100.29219999999999</v>
      </c>
      <c r="E1035" s="4">
        <f>464.318421175698 * CHOOSE(CONTROL!$C$9, $C$13, 100%, $E$13) + CHOOSE(CONTROL!$C$28, 0.0021, 0)</f>
        <v>464.32052117569799</v>
      </c>
    </row>
    <row r="1036" spans="1:5" ht="15">
      <c r="A1036" s="13">
        <v>72685</v>
      </c>
      <c r="B1036" s="4">
        <f>62.6286 * CHOOSE(CONTROL!$C$9, $C$13, 100%, $E$13) + CHOOSE(CONTROL!$C$28, 0.0226, 0)</f>
        <v>62.651199999999996</v>
      </c>
      <c r="C1036" s="4">
        <f>62.2653 * CHOOSE(CONTROL!$C$9, $C$13, 100%, $E$13) + CHOOSE(CONTROL!$C$28, 0.0226, 0)</f>
        <v>62.2879</v>
      </c>
      <c r="D1036" s="4">
        <f>96.7922 * CHOOSE(CONTROL!$C$9, $C$13, 100%, $E$13) + CHOOSE(CONTROL!$C$28, 0.0021, 0)</f>
        <v>96.794299999999993</v>
      </c>
      <c r="E1036" s="4">
        <f>457.046578381607 * CHOOSE(CONTROL!$C$9, $C$13, 100%, $E$13) + CHOOSE(CONTROL!$C$28, 0.0021, 0)</f>
        <v>457.04867838160698</v>
      </c>
    </row>
    <row r="1037" spans="1:5" ht="15">
      <c r="A1037" s="13">
        <v>72716</v>
      </c>
      <c r="B1037" s="4">
        <f>59.936 * CHOOSE(CONTROL!$C$9, $C$13, 100%, $E$13) + CHOOSE(CONTROL!$C$28, 0.0226, 0)</f>
        <v>59.958599999999997</v>
      </c>
      <c r="C1037" s="4">
        <f>59.5727 * CHOOSE(CONTROL!$C$9, $C$13, 100%, $E$13) + CHOOSE(CONTROL!$C$28, 0.0226, 0)</f>
        <v>59.595299999999995</v>
      </c>
      <c r="D1037" s="4">
        <f>92.9391 * CHOOSE(CONTROL!$C$9, $C$13, 100%, $E$13) + CHOOSE(CONTROL!$C$28, 0.0021, 0)</f>
        <v>92.941199999999995</v>
      </c>
      <c r="E1037" s="4">
        <f>438.008731224321 * CHOOSE(CONTROL!$C$9, $C$13, 100%, $E$13) + CHOOSE(CONTROL!$C$28, 0.0021, 0)</f>
        <v>438.01083122432101</v>
      </c>
    </row>
    <row r="1038" spans="1:5" ht="15">
      <c r="A1038" s="13">
        <v>72744</v>
      </c>
      <c r="B1038" s="4">
        <f>61.3407 * CHOOSE(CONTROL!$C$9, $C$13, 100%, $E$13) + CHOOSE(CONTROL!$C$28, 0.0226, 0)</f>
        <v>61.363299999999995</v>
      </c>
      <c r="C1038" s="4">
        <f>60.9774 * CHOOSE(CONTROL!$C$9, $C$13, 100%, $E$13) + CHOOSE(CONTROL!$C$28, 0.0226, 0)</f>
        <v>61</v>
      </c>
      <c r="D1038" s="4">
        <f>96.1539 * CHOOSE(CONTROL!$C$9, $C$13, 100%, $E$13) + CHOOSE(CONTROL!$C$28, 0.0021, 0)</f>
        <v>96.155999999999992</v>
      </c>
      <c r="E1038" s="4">
        <f>448.40878465633 * CHOOSE(CONTROL!$C$9, $C$13, 100%, $E$13) + CHOOSE(CONTROL!$C$28, 0.0021, 0)</f>
        <v>448.41088465632998</v>
      </c>
    </row>
    <row r="1039" spans="1:5" ht="15">
      <c r="A1039" s="13">
        <v>72775</v>
      </c>
      <c r="B1039" s="4">
        <f>65.0297 * CHOOSE(CONTROL!$C$9, $C$13, 100%, $E$13) + CHOOSE(CONTROL!$C$28, 0.0226, 0)</f>
        <v>65.052300000000002</v>
      </c>
      <c r="C1039" s="4">
        <f>64.6664 * CHOOSE(CONTROL!$C$9, $C$13, 100%, $E$13) + CHOOSE(CONTROL!$C$28, 0.0226, 0)</f>
        <v>64.688999999999993</v>
      </c>
      <c r="D1039" s="4">
        <f>101.1865 * CHOOSE(CONTROL!$C$9, $C$13, 100%, $E$13) + CHOOSE(CONTROL!$C$28, 0.0021, 0)</f>
        <v>101.18859999999999</v>
      </c>
      <c r="E1039" s="4">
        <f>475.719877661192 * CHOOSE(CONTROL!$C$9, $C$13, 100%, $E$13) + CHOOSE(CONTROL!$C$28, 0.0021, 0)</f>
        <v>475.721977661192</v>
      </c>
    </row>
    <row r="1040" spans="1:5" ht="15">
      <c r="A1040" s="13">
        <v>72805</v>
      </c>
      <c r="B1040" s="4">
        <f>67.6507 * CHOOSE(CONTROL!$C$9, $C$13, 100%, $E$13) + CHOOSE(CONTROL!$C$28, 0.0226, 0)</f>
        <v>67.673299999999998</v>
      </c>
      <c r="C1040" s="4">
        <f>67.2875 * CHOOSE(CONTROL!$C$9, $C$13, 100%, $E$13) + CHOOSE(CONTROL!$C$28, 0.0226, 0)</f>
        <v>67.310099999999991</v>
      </c>
      <c r="D1040" s="4">
        <f>104.0854 * CHOOSE(CONTROL!$C$9, $C$13, 100%, $E$13) + CHOOSE(CONTROL!$C$28, 0.0021, 0)</f>
        <v>104.08750000000001</v>
      </c>
      <c r="E1040" s="4">
        <f>495.124773209316 * CHOOSE(CONTROL!$C$9, $C$13, 100%, $E$13) + CHOOSE(CONTROL!$C$28, 0.0021, 0)</f>
        <v>495.12687320931599</v>
      </c>
    </row>
    <row r="1041" spans="1:5" ht="15">
      <c r="A1041" s="13">
        <v>72836</v>
      </c>
      <c r="B1041" s="4">
        <f>69.2521 * CHOOSE(CONTROL!$C$9, $C$13, 100%, $E$13) + CHOOSE(CONTROL!$C$28, 0.0226, 0)</f>
        <v>69.274699999999996</v>
      </c>
      <c r="C1041" s="4">
        <f>68.8889 * CHOOSE(CONTROL!$C$9, $C$13, 100%, $E$13) + CHOOSE(CONTROL!$C$28, 0.0226, 0)</f>
        <v>68.911500000000004</v>
      </c>
      <c r="D1041" s="4">
        <f>102.9399 * CHOOSE(CONTROL!$C$9, $C$13, 100%, $E$13) + CHOOSE(CONTROL!$C$28, 0.0021, 0)</f>
        <v>102.94199999999999</v>
      </c>
      <c r="E1041" s="4">
        <f>506.980699318781 * CHOOSE(CONTROL!$C$9, $C$13, 100%, $E$13) + CHOOSE(CONTROL!$C$28, 0.0021, 0)</f>
        <v>506.98279931878096</v>
      </c>
    </row>
    <row r="1042" spans="1:5" ht="15">
      <c r="A1042" s="13">
        <v>72866</v>
      </c>
      <c r="B1042" s="4">
        <f>69.4688 * CHOOSE(CONTROL!$C$9, $C$13, 100%, $E$13) + CHOOSE(CONTROL!$C$28, 0.0226, 0)</f>
        <v>69.491399999999999</v>
      </c>
      <c r="C1042" s="4">
        <f>69.1055 * CHOOSE(CONTROL!$C$9, $C$13, 100%, $E$13) + CHOOSE(CONTROL!$C$28, 0.0226, 0)</f>
        <v>69.128100000000003</v>
      </c>
      <c r="D1042" s="4">
        <f>103.8728 * CHOOSE(CONTROL!$C$9, $C$13, 100%, $E$13) + CHOOSE(CONTROL!$C$28, 0.0021, 0)</f>
        <v>103.8749</v>
      </c>
      <c r="E1042" s="4">
        <f>508.584855324496 * CHOOSE(CONTROL!$C$9, $C$13, 100%, $E$13) + CHOOSE(CONTROL!$C$28, 0.0021, 0)</f>
        <v>508.58695532449599</v>
      </c>
    </row>
    <row r="1043" spans="1:5" ht="15">
      <c r="A1043" s="13">
        <v>72897</v>
      </c>
      <c r="B1043" s="4">
        <f>69.447 * CHOOSE(CONTROL!$C$9, $C$13, 100%, $E$13) + CHOOSE(CONTROL!$C$28, 0.0226, 0)</f>
        <v>69.4696</v>
      </c>
      <c r="C1043" s="4">
        <f>69.0837 * CHOOSE(CONTROL!$C$9, $C$13, 100%, $E$13) + CHOOSE(CONTROL!$C$28, 0.0226, 0)</f>
        <v>69.10629999999999</v>
      </c>
      <c r="D1043" s="4">
        <f>105.5561 * CHOOSE(CONTROL!$C$9, $C$13, 100%, $E$13) + CHOOSE(CONTROL!$C$28, 0.0021, 0)</f>
        <v>105.5582</v>
      </c>
      <c r="E1043" s="4">
        <f>508.423091693667 * CHOOSE(CONTROL!$C$9, $C$13, 100%, $E$13) + CHOOSE(CONTROL!$C$28, 0.0021, 0)</f>
        <v>508.42519169366699</v>
      </c>
    </row>
    <row r="1044" spans="1:5" ht="15">
      <c r="A1044" s="13">
        <v>72928</v>
      </c>
      <c r="B1044" s="4">
        <f>71.0911 * CHOOSE(CONTROL!$C$9, $C$13, 100%, $E$13) + CHOOSE(CONTROL!$C$28, 0.0226, 0)</f>
        <v>71.113699999999994</v>
      </c>
      <c r="C1044" s="4">
        <f>70.7279 * CHOOSE(CONTROL!$C$9, $C$13, 100%, $E$13) + CHOOSE(CONTROL!$C$28, 0.0226, 0)</f>
        <v>70.750500000000002</v>
      </c>
      <c r="D1044" s="4">
        <f>104.4444 * CHOOSE(CONTROL!$C$9, $C$13, 100%, $E$13) + CHOOSE(CONTROL!$C$28, 0.0021, 0)</f>
        <v>104.4465</v>
      </c>
      <c r="E1044" s="4">
        <f>520.595804913504 * CHOOSE(CONTROL!$C$9, $C$13, 100%, $E$13) + CHOOSE(CONTROL!$C$28, 0.0021, 0)</f>
        <v>520.59790491350407</v>
      </c>
    </row>
    <row r="1045" spans="1:5" ht="15">
      <c r="A1045" s="13">
        <v>72958</v>
      </c>
      <c r="B1045" s="4">
        <f>68.2889 * CHOOSE(CONTROL!$C$9, $C$13, 100%, $E$13) + CHOOSE(CONTROL!$C$28, 0.0226, 0)</f>
        <v>68.311499999999995</v>
      </c>
      <c r="C1045" s="4">
        <f>67.9256 * CHOOSE(CONTROL!$C$9, $C$13, 100%, $E$13) + CHOOSE(CONTROL!$C$28, 0.0226, 0)</f>
        <v>67.9482</v>
      </c>
      <c r="D1045" s="4">
        <f>103.9192 * CHOOSE(CONTROL!$C$9, $C$13, 100%, $E$13) + CHOOSE(CONTROL!$C$28, 0.0021, 0)</f>
        <v>103.9213</v>
      </c>
      <c r="E1045" s="4">
        <f>499.849619259762 * CHOOSE(CONTROL!$C$9, $C$13, 100%, $E$13) + CHOOSE(CONTROL!$C$28, 0.0021, 0)</f>
        <v>499.85171925976198</v>
      </c>
    </row>
    <row r="1046" spans="1:5" ht="15">
      <c r="A1046" s="13">
        <v>72989</v>
      </c>
      <c r="B1046" s="4">
        <f>66.0457 * CHOOSE(CONTROL!$C$9, $C$13, 100%, $E$13) + CHOOSE(CONTROL!$C$28, 0.0226, 0)</f>
        <v>66.068299999999994</v>
      </c>
      <c r="C1046" s="4">
        <f>65.6824 * CHOOSE(CONTROL!$C$9, $C$13, 100%, $E$13) + CHOOSE(CONTROL!$C$28, 0.0226, 0)</f>
        <v>65.704999999999998</v>
      </c>
      <c r="D1046" s="4">
        <f>102.5128 * CHOOSE(CONTROL!$C$9, $C$13, 100%, $E$13) + CHOOSE(CONTROL!$C$28, 0.0021, 0)</f>
        <v>102.5149</v>
      </c>
      <c r="E1046" s="4">
        <f>483.241886494713 * CHOOSE(CONTROL!$C$9, $C$13, 100%, $E$13) + CHOOSE(CONTROL!$C$28, 0.0021, 0)</f>
        <v>483.243986494713</v>
      </c>
    </row>
    <row r="1047" spans="1:5" ht="15">
      <c r="A1047" s="13">
        <v>73019</v>
      </c>
      <c r="B1047" s="4">
        <f>64.6009 * CHOOSE(CONTROL!$C$9, $C$13, 100%, $E$13) + CHOOSE(CONTROL!$C$28, 0.0226, 0)</f>
        <v>64.623499999999993</v>
      </c>
      <c r="C1047" s="4">
        <f>64.2376 * CHOOSE(CONTROL!$C$9, $C$13, 100%, $E$13) + CHOOSE(CONTROL!$C$28, 0.0226, 0)</f>
        <v>64.260199999999998</v>
      </c>
      <c r="D1047" s="4">
        <f>102.0293 * CHOOSE(CONTROL!$C$9, $C$13, 100%, $E$13) + CHOOSE(CONTROL!$C$28, 0.0021, 0)</f>
        <v>102.0314</v>
      </c>
      <c r="E1047" s="4">
        <f>472.545266406185 * CHOOSE(CONTROL!$C$9, $C$13, 100%, $E$13) + CHOOSE(CONTROL!$C$28, 0.0021, 0)</f>
        <v>472.54736640618501</v>
      </c>
    </row>
    <row r="1048" spans="1:5" ht="15">
      <c r="A1048" s="13">
        <v>73050</v>
      </c>
      <c r="B1048" s="4">
        <f>63.6013 * CHOOSE(CONTROL!$C$9, $C$13, 100%, $E$13) + CHOOSE(CONTROL!$C$28, 0.0226, 0)</f>
        <v>63.623899999999999</v>
      </c>
      <c r="C1048" s="4">
        <f>63.238 * CHOOSE(CONTROL!$C$9, $C$13, 100%, $E$13) + CHOOSE(CONTROL!$C$28, 0.0226, 0)</f>
        <v>63.260599999999997</v>
      </c>
      <c r="D1048" s="4">
        <f>98.4697 * CHOOSE(CONTROL!$C$9, $C$13, 100%, $E$13) + CHOOSE(CONTROL!$C$28, 0.0021, 0)</f>
        <v>98.471800000000002</v>
      </c>
      <c r="E1048" s="4">
        <f>465.144580295785 * CHOOSE(CONTROL!$C$9, $C$13, 100%, $E$13) + CHOOSE(CONTROL!$C$28, 0.0021, 0)</f>
        <v>465.14668029578496</v>
      </c>
    </row>
    <row r="1049" spans="1:5" ht="15">
      <c r="A1049" s="13">
        <v>73081</v>
      </c>
      <c r="B1049" s="4">
        <f>60.8663 * CHOOSE(CONTROL!$C$9, $C$13, 100%, $E$13) + CHOOSE(CONTROL!$C$28, 0.0226, 0)</f>
        <v>60.8889</v>
      </c>
      <c r="C1049" s="4">
        <f>60.503 * CHOOSE(CONTROL!$C$9, $C$13, 100%, $E$13) + CHOOSE(CONTROL!$C$28, 0.0226, 0)</f>
        <v>60.525599999999997</v>
      </c>
      <c r="D1049" s="4">
        <f>94.5484 * CHOOSE(CONTROL!$C$9, $C$13, 100%, $E$13) + CHOOSE(CONTROL!$C$28, 0.0021, 0)</f>
        <v>94.5505</v>
      </c>
      <c r="E1049" s="4">
        <f>445.769418453271 * CHOOSE(CONTROL!$C$9, $C$13, 100%, $E$13) + CHOOSE(CONTROL!$C$28, 0.0021, 0)</f>
        <v>445.77151845327097</v>
      </c>
    </row>
    <row r="1050" spans="1:5" ht="15">
      <c r="A1050" s="13">
        <v>73109</v>
      </c>
      <c r="B1050" s="4">
        <f>62.2931 * CHOOSE(CONTROL!$C$9, $C$13, 100%, $E$13) + CHOOSE(CONTROL!$C$28, 0.0226, 0)</f>
        <v>62.3157</v>
      </c>
      <c r="C1050" s="4">
        <f>61.9299 * CHOOSE(CONTROL!$C$9, $C$13, 100%, $E$13) + CHOOSE(CONTROL!$C$28, 0.0226, 0)</f>
        <v>61.952500000000001</v>
      </c>
      <c r="D1050" s="4">
        <f>97.82 * CHOOSE(CONTROL!$C$9, $C$13, 100%, $E$13) + CHOOSE(CONTROL!$C$28, 0.0021, 0)</f>
        <v>97.822099999999992</v>
      </c>
      <c r="E1050" s="4">
        <f>456.353741184261 * CHOOSE(CONTROL!$C$9, $C$13, 100%, $E$13) + CHOOSE(CONTROL!$C$28, 0.0021, 0)</f>
        <v>456.35584118426101</v>
      </c>
    </row>
    <row r="1051" spans="1:5" ht="15">
      <c r="A1051" s="13">
        <v>73140</v>
      </c>
      <c r="B1051" s="4">
        <f>66.0401 * CHOOSE(CONTROL!$C$9, $C$13, 100%, $E$13) + CHOOSE(CONTROL!$C$28, 0.0226, 0)</f>
        <v>66.062699999999992</v>
      </c>
      <c r="C1051" s="4">
        <f>65.6768 * CHOOSE(CONTROL!$C$9, $C$13, 100%, $E$13) + CHOOSE(CONTROL!$C$28, 0.0226, 0)</f>
        <v>65.699399999999997</v>
      </c>
      <c r="D1051" s="4">
        <f>102.9415 * CHOOSE(CONTROL!$C$9, $C$13, 100%, $E$13) + CHOOSE(CONTROL!$C$28, 0.0021, 0)</f>
        <v>102.9436</v>
      </c>
      <c r="E1051" s="4">
        <f>484.148735160912 * CHOOSE(CONTROL!$C$9, $C$13, 100%, $E$13) + CHOOSE(CONTROL!$C$28, 0.0021, 0)</f>
        <v>484.15083516091198</v>
      </c>
    </row>
    <row r="1052" spans="1:5" ht="15">
      <c r="A1052" s="13">
        <v>73170</v>
      </c>
      <c r="B1052" s="4">
        <f>68.7024 * CHOOSE(CONTROL!$C$9, $C$13, 100%, $E$13) + CHOOSE(CONTROL!$C$28, 0.0226, 0)</f>
        <v>68.724999999999994</v>
      </c>
      <c r="C1052" s="4">
        <f>68.3391 * CHOOSE(CONTROL!$C$9, $C$13, 100%, $E$13) + CHOOSE(CONTROL!$C$28, 0.0226, 0)</f>
        <v>68.361699999999999</v>
      </c>
      <c r="D1052" s="4">
        <f>105.8917 * CHOOSE(CONTROL!$C$9, $C$13, 100%, $E$13) + CHOOSE(CONTROL!$C$28, 0.0021, 0)</f>
        <v>105.8938</v>
      </c>
      <c r="E1052" s="4">
        <f>503.89744879832 * CHOOSE(CONTROL!$C$9, $C$13, 100%, $E$13) + CHOOSE(CONTROL!$C$28, 0.0021, 0)</f>
        <v>503.89954879831998</v>
      </c>
    </row>
    <row r="1053" spans="1:5" ht="15">
      <c r="A1053" s="13">
        <v>73201</v>
      </c>
      <c r="B1053" s="4">
        <f>70.329 * CHOOSE(CONTROL!$C$9, $C$13, 100%, $E$13) + CHOOSE(CONTROL!$C$28, 0.0226, 0)</f>
        <v>70.351599999999991</v>
      </c>
      <c r="C1053" s="4">
        <f>69.9657 * CHOOSE(CONTROL!$C$9, $C$13, 100%, $E$13) + CHOOSE(CONTROL!$C$28, 0.0226, 0)</f>
        <v>69.988299999999995</v>
      </c>
      <c r="D1053" s="4">
        <f>104.7259 * CHOOSE(CONTROL!$C$9, $C$13, 100%, $E$13) + CHOOSE(CONTROL!$C$28, 0.0021, 0)</f>
        <v>104.72799999999999</v>
      </c>
      <c r="E1053" s="4">
        <f>515.963439520168 * CHOOSE(CONTROL!$C$9, $C$13, 100%, $E$13) + CHOOSE(CONTROL!$C$28, 0.0021, 0)</f>
        <v>515.96553952016802</v>
      </c>
    </row>
    <row r="1054" spans="1:5" ht="15">
      <c r="A1054" s="13">
        <v>73231</v>
      </c>
      <c r="B1054" s="4">
        <f>70.549 * CHOOSE(CONTROL!$C$9, $C$13, 100%, $E$13) + CHOOSE(CONTROL!$C$28, 0.0226, 0)</f>
        <v>70.571600000000004</v>
      </c>
      <c r="C1054" s="4">
        <f>70.1858 * CHOOSE(CONTROL!$C$9, $C$13, 100%, $E$13) + CHOOSE(CONTROL!$C$28, 0.0226, 0)</f>
        <v>70.208399999999997</v>
      </c>
      <c r="D1054" s="4">
        <f>105.6753 * CHOOSE(CONTROL!$C$9, $C$13, 100%, $E$13) + CHOOSE(CONTROL!$C$28, 0.0021, 0)</f>
        <v>105.67739999999999</v>
      </c>
      <c r="E1054" s="4">
        <f>517.596018139724 * CHOOSE(CONTROL!$C$9, $C$13, 100%, $E$13) + CHOOSE(CONTROL!$C$28, 0.0021, 0)</f>
        <v>517.59811813972408</v>
      </c>
    </row>
    <row r="1055" spans="1:5" ht="15">
      <c r="A1055" s="13">
        <v>73262</v>
      </c>
      <c r="B1055" s="4">
        <f>70.5268 * CHOOSE(CONTROL!$C$9, $C$13, 100%, $E$13) + CHOOSE(CONTROL!$C$28, 0.0226, 0)</f>
        <v>70.549399999999991</v>
      </c>
      <c r="C1055" s="4">
        <f>70.1636 * CHOOSE(CONTROL!$C$9, $C$13, 100%, $E$13) + CHOOSE(CONTROL!$C$28, 0.0226, 0)</f>
        <v>70.186199999999999</v>
      </c>
      <c r="D1055" s="4">
        <f>107.3884 * CHOOSE(CONTROL!$C$9, $C$13, 100%, $E$13) + CHOOSE(CONTROL!$C$28, 0.0021, 0)</f>
        <v>107.3905</v>
      </c>
      <c r="E1055" s="4">
        <f>517.431388362962 * CHOOSE(CONTROL!$C$9, $C$13, 100%, $E$13) + CHOOSE(CONTROL!$C$28, 0.0021, 0)</f>
        <v>517.43348836296207</v>
      </c>
    </row>
    <row r="1056" spans="1:5" ht="15">
      <c r="A1056" s="13">
        <v>73293</v>
      </c>
      <c r="B1056" s="4">
        <f>72.1969 * CHOOSE(CONTROL!$C$9, $C$13, 100%, $E$13) + CHOOSE(CONTROL!$C$28, 0.0226, 0)</f>
        <v>72.219499999999996</v>
      </c>
      <c r="C1056" s="4">
        <f>71.8336 * CHOOSE(CONTROL!$C$9, $C$13, 100%, $E$13) + CHOOSE(CONTROL!$C$28, 0.0226, 0)</f>
        <v>71.856200000000001</v>
      </c>
      <c r="D1056" s="4">
        <f>106.2571 * CHOOSE(CONTROL!$C$9, $C$13, 100%, $E$13) + CHOOSE(CONTROL!$C$28, 0.0021, 0)</f>
        <v>106.25919999999999</v>
      </c>
      <c r="E1056" s="4">
        <f>529.819779064303 * CHOOSE(CONTROL!$C$9, $C$13, 100%, $E$13) + CHOOSE(CONTROL!$C$28, 0.0021, 0)</f>
        <v>529.82187906430306</v>
      </c>
    </row>
    <row r="1057" spans="1:5" ht="15">
      <c r="A1057" s="13">
        <v>73323</v>
      </c>
      <c r="B1057" s="4">
        <f>69.3506 * CHOOSE(CONTROL!$C$9, $C$13, 100%, $E$13) + CHOOSE(CONTROL!$C$28, 0.0226, 0)</f>
        <v>69.373199999999997</v>
      </c>
      <c r="C1057" s="4">
        <f>68.9873 * CHOOSE(CONTROL!$C$9, $C$13, 100%, $E$13) + CHOOSE(CONTROL!$C$28, 0.0226, 0)</f>
        <v>69.009900000000002</v>
      </c>
      <c r="D1057" s="4">
        <f>105.7226 * CHOOSE(CONTROL!$C$9, $C$13, 100%, $E$13) + CHOOSE(CONTROL!$C$28, 0.0021, 0)</f>
        <v>105.7247</v>
      </c>
      <c r="E1057" s="4">
        <f>508.706010194577 * CHOOSE(CONTROL!$C$9, $C$13, 100%, $E$13) + CHOOSE(CONTROL!$C$28, 0.0021, 0)</f>
        <v>508.70811019457699</v>
      </c>
    </row>
    <row r="1058" spans="1:5" ht="15">
      <c r="A1058" s="13">
        <v>73354</v>
      </c>
      <c r="B1058" s="4">
        <f>67.0721 * CHOOSE(CONTROL!$C$9, $C$13, 100%, $E$13) + CHOOSE(CONTROL!$C$28, 0.0226, 0)</f>
        <v>67.094700000000003</v>
      </c>
      <c r="C1058" s="4">
        <f>66.7088 * CHOOSE(CONTROL!$C$9, $C$13, 100%, $E$13) + CHOOSE(CONTROL!$C$28, 0.0226, 0)</f>
        <v>66.731399999999994</v>
      </c>
      <c r="D1058" s="4">
        <f>104.2913 * CHOOSE(CONTROL!$C$9, $C$13, 100%, $E$13) + CHOOSE(CONTROL!$C$28, 0.0021, 0)</f>
        <v>104.29340000000001</v>
      </c>
      <c r="E1058" s="4">
        <f>491.804019780345 * CHOOSE(CONTROL!$C$9, $C$13, 100%, $E$13) + CHOOSE(CONTROL!$C$28, 0.0021, 0)</f>
        <v>491.806119780345</v>
      </c>
    </row>
    <row r="1059" spans="1:5" ht="15">
      <c r="A1059" s="13">
        <v>73384</v>
      </c>
      <c r="B1059" s="4">
        <f>65.6046 * CHOOSE(CONTROL!$C$9, $C$13, 100%, $E$13) + CHOOSE(CONTROL!$C$28, 0.0226, 0)</f>
        <v>65.627200000000002</v>
      </c>
      <c r="C1059" s="4">
        <f>65.2413 * CHOOSE(CONTROL!$C$9, $C$13, 100%, $E$13) + CHOOSE(CONTROL!$C$28, 0.0226, 0)</f>
        <v>65.263899999999992</v>
      </c>
      <c r="D1059" s="4">
        <f>103.7993 * CHOOSE(CONTROL!$C$9, $C$13, 100%, $E$13) + CHOOSE(CONTROL!$C$28, 0.0021, 0)</f>
        <v>103.8014</v>
      </c>
      <c r="E1059" s="4">
        <f>480.917875791957 * CHOOSE(CONTROL!$C$9, $C$13, 100%, $E$13) + CHOOSE(CONTROL!$C$28, 0.0021, 0)</f>
        <v>480.91997579195697</v>
      </c>
    </row>
    <row r="1060" spans="1:5" ht="15">
      <c r="A1060" s="13">
        <v>73415</v>
      </c>
      <c r="B1060" s="4">
        <f>64.5892 * CHOOSE(CONTROL!$C$9, $C$13, 100%, $E$13) + CHOOSE(CONTROL!$C$28, 0.0226, 0)</f>
        <v>64.611800000000002</v>
      </c>
      <c r="C1060" s="4">
        <f>64.2259 * CHOOSE(CONTROL!$C$9, $C$13, 100%, $E$13) + CHOOSE(CONTROL!$C$28, 0.0226, 0)</f>
        <v>64.248499999999993</v>
      </c>
      <c r="D1060" s="4">
        <f>100.1767 * CHOOSE(CONTROL!$C$9, $C$13, 100%, $E$13) + CHOOSE(CONTROL!$C$28, 0.0021, 0)</f>
        <v>100.1788</v>
      </c>
      <c r="E1060" s="4">
        <f>473.386063505096 * CHOOSE(CONTROL!$C$9, $C$13, 100%, $E$13) + CHOOSE(CONTROL!$C$28, 0.0021, 0)</f>
        <v>473.38816350509597</v>
      </c>
    </row>
    <row r="1061" spans="1:5" ht="15">
      <c r="A1061" s="10"/>
      <c r="B1061" s="4"/>
      <c r="C1061" s="4"/>
      <c r="D1061" s="4"/>
      <c r="E1061" s="4"/>
    </row>
    <row r="1062" spans="1:5" ht="15">
      <c r="A1062" s="3">
        <v>2014</v>
      </c>
      <c r="B1062" s="4">
        <f>AVERAGE(B17:B28)</f>
        <v>15.051612101082005</v>
      </c>
      <c r="C1062" s="4">
        <f>AVERAGE(C17:C28)</f>
        <v>14.796357766446599</v>
      </c>
      <c r="D1062" s="4">
        <f>AVERAGE(D17:D28)</f>
        <v>22.440652086906805</v>
      </c>
      <c r="E1062" s="4">
        <f>AVERAGE(E17:E28)</f>
        <v>96.524383333333347</v>
      </c>
    </row>
    <row r="1063" spans="1:5" ht="15">
      <c r="A1063" s="3">
        <v>2015</v>
      </c>
      <c r="B1063" s="4">
        <f>AVERAGE(B29:B40)</f>
        <v>8.3007749999999998</v>
      </c>
      <c r="C1063" s="4">
        <f>AVERAGE(C29:C40)</f>
        <v>7.9374916666666655</v>
      </c>
      <c r="D1063" s="4">
        <f>AVERAGE(D29:D40)</f>
        <v>14.614066666666666</v>
      </c>
      <c r="E1063" s="4">
        <f>AVERAGE(E29:E40)</f>
        <v>53.707099999999997</v>
      </c>
    </row>
    <row r="1064" spans="1:5" ht="15">
      <c r="A1064" s="3">
        <v>2016</v>
      </c>
      <c r="B1064" s="4">
        <f>AVERAGE(B41:B52)</f>
        <v>9.2530666666666654</v>
      </c>
      <c r="C1064" s="4">
        <f>AVERAGE(C41:C52)</f>
        <v>8.8897833333333338</v>
      </c>
      <c r="D1064" s="4">
        <f>AVERAGE(D41:D52)</f>
        <v>15.580783333333335</v>
      </c>
      <c r="E1064" s="4">
        <f>AVERAGE(E41:E52)</f>
        <v>60.514599999999994</v>
      </c>
    </row>
    <row r="1065" spans="1:5" ht="15">
      <c r="A1065" s="3">
        <v>2017</v>
      </c>
      <c r="B1065" s="4">
        <f>AVERAGE(B53:B64)</f>
        <v>9.8998250000000017</v>
      </c>
      <c r="C1065" s="4">
        <f>AVERAGE(C53:C64)</f>
        <v>9.5365249999999993</v>
      </c>
      <c r="D1065" s="4">
        <f>AVERAGE(D53:D64)</f>
        <v>16.330358333333333</v>
      </c>
      <c r="E1065" s="4">
        <f>AVERAGE(E53:E64)</f>
        <v>64.653766666666669</v>
      </c>
    </row>
    <row r="1066" spans="1:5" ht="15">
      <c r="A1066" s="3">
        <v>2018</v>
      </c>
      <c r="B1066" s="4">
        <f>AVERAGE(B65:B76)</f>
        <v>11.417450000000001</v>
      </c>
      <c r="C1066" s="4">
        <f>AVERAGE(C65:C76)</f>
        <v>11.054158333333335</v>
      </c>
      <c r="D1066" s="4">
        <f>AVERAGE(D65:D76)</f>
        <v>17.886924999999994</v>
      </c>
      <c r="E1066" s="4">
        <f>AVERAGE(E65:E76)</f>
        <v>73.327933333333348</v>
      </c>
    </row>
    <row r="1067" spans="1:5" ht="15">
      <c r="A1067" s="3">
        <v>2019</v>
      </c>
      <c r="B1067" s="4">
        <f>AVERAGE(B77:B88)</f>
        <v>11.807641666666669</v>
      </c>
      <c r="C1067" s="4">
        <f>AVERAGE(C77:C88)</f>
        <v>11.44435</v>
      </c>
      <c r="D1067" s="4">
        <f>AVERAGE(D77:D88)</f>
        <v>18.490291666666664</v>
      </c>
      <c r="E1067" s="4">
        <f>AVERAGE(E77:E88)</f>
        <v>76.415851831054695</v>
      </c>
    </row>
    <row r="1068" spans="1:5" ht="15">
      <c r="A1068" s="3">
        <v>2020</v>
      </c>
      <c r="B1068" s="4">
        <f>AVERAGE(B89:B100)</f>
        <v>13.967233333333333</v>
      </c>
      <c r="C1068" s="4">
        <f>AVERAGE(C89:C100)</f>
        <v>13.603941666666666</v>
      </c>
      <c r="D1068" s="4">
        <f>AVERAGE(D89:D100)</f>
        <v>21.135008333333335</v>
      </c>
      <c r="E1068" s="4">
        <f>AVERAGE(E89:E100)</f>
        <v>89.820581445312499</v>
      </c>
    </row>
    <row r="1069" spans="1:5" ht="15">
      <c r="A1069" s="3">
        <v>2021</v>
      </c>
      <c r="B1069" s="4">
        <f>AVERAGE(B101:B112)</f>
        <v>14.613175</v>
      </c>
      <c r="C1069" s="4">
        <f>AVERAGE(C101:C112)</f>
        <v>14.24989166666667</v>
      </c>
      <c r="D1069" s="4">
        <f>AVERAGE(D101:D112)</f>
        <v>22.069949999999995</v>
      </c>
      <c r="E1069" s="4">
        <f>AVERAGE(E101:E112)</f>
        <v>93.630319604492158</v>
      </c>
    </row>
    <row r="1070" spans="1:5" ht="15">
      <c r="A1070" s="3">
        <v>2022</v>
      </c>
      <c r="B1070" s="4">
        <f>AVERAGE(B113:B124)</f>
        <v>15.123691666666668</v>
      </c>
      <c r="C1070" s="4">
        <f>AVERAGE(C113:C124)</f>
        <v>14.760408333333332</v>
      </c>
      <c r="D1070" s="4">
        <f>AVERAGE(D113:D124)</f>
        <v>23.398241666666664</v>
      </c>
      <c r="E1070" s="4">
        <f>AVERAGE(E113:E124)</f>
        <v>98.532991418457016</v>
      </c>
    </row>
    <row r="1071" spans="1:5" ht="15">
      <c r="A1071" s="3">
        <v>2023</v>
      </c>
      <c r="B1071" s="4">
        <f>AVERAGE(B125:B136)</f>
        <v>15.898866666666668</v>
      </c>
      <c r="C1071" s="4">
        <f>AVERAGE(C125:C136)</f>
        <v>15.535575</v>
      </c>
      <c r="D1071" s="4">
        <f>AVERAGE(D125:D136)</f>
        <v>24.528233333333329</v>
      </c>
      <c r="E1071" s="4">
        <f>AVERAGE(E125:E136)</f>
        <v>103.42910958251962</v>
      </c>
    </row>
    <row r="1072" spans="1:5" ht="15">
      <c r="A1072" s="3">
        <v>2024</v>
      </c>
      <c r="B1072" s="4">
        <f>AVERAGE(B137:B148)</f>
        <v>16.786224999999998</v>
      </c>
      <c r="C1072" s="4">
        <f>AVERAGE(C137:C148)</f>
        <v>16.42294166666667</v>
      </c>
      <c r="D1072" s="4">
        <f>AVERAGE(D137:D148)</f>
        <v>25.558366666666661</v>
      </c>
      <c r="E1072" s="4">
        <f>AVERAGE(E137:E148)</f>
        <v>108.29261971435545</v>
      </c>
    </row>
    <row r="1073" spans="1:5" ht="15">
      <c r="A1073" s="3">
        <v>2025</v>
      </c>
      <c r="B1073" s="4">
        <f>AVERAGE(B149:B160)</f>
        <v>18.200575000000004</v>
      </c>
      <c r="C1073" s="4">
        <f>AVERAGE(C149:C160)</f>
        <v>17.837291666666669</v>
      </c>
      <c r="D1073" s="4">
        <f>AVERAGE(D149:D160)</f>
        <v>26.725074999999993</v>
      </c>
      <c r="E1073" s="4">
        <f>AVERAGE(E149:E160)</f>
        <v>114.15194130859383</v>
      </c>
    </row>
    <row r="1074" spans="1:5" ht="15">
      <c r="A1074" s="3">
        <v>2026</v>
      </c>
      <c r="B1074" s="4">
        <f>AVERAGE(B161:B172)</f>
        <v>18.779950000000003</v>
      </c>
      <c r="C1074" s="4">
        <f>AVERAGE(C161:C172)</f>
        <v>18.416650000000001</v>
      </c>
      <c r="D1074" s="4">
        <f>AVERAGE(D161:D172)</f>
        <v>27.476024999999993</v>
      </c>
      <c r="E1074" s="4">
        <f>AVERAGE(E161:E172)</f>
        <v>118.00690651855483</v>
      </c>
    </row>
    <row r="1075" spans="1:5" ht="15">
      <c r="A1075" s="3">
        <v>2027</v>
      </c>
      <c r="B1075" s="4">
        <f>AVERAGE(B173:B184)</f>
        <v>19.372733333333333</v>
      </c>
      <c r="C1075" s="4">
        <f>AVERAGE(C173:C184)</f>
        <v>19.009458333333335</v>
      </c>
      <c r="D1075" s="4">
        <f>AVERAGE(D173:D184)</f>
        <v>28.22453333333333</v>
      </c>
      <c r="E1075" s="4">
        <f>AVERAGE(E173:E184)</f>
        <v>121.85736275634775</v>
      </c>
    </row>
    <row r="1076" spans="1:5" ht="15">
      <c r="A1076" s="3">
        <v>2028</v>
      </c>
      <c r="B1076" s="4">
        <f>AVERAGE(B185:B196)</f>
        <v>19.925799999999999</v>
      </c>
      <c r="C1076" s="4">
        <f>AVERAGE(C185:C196)</f>
        <v>19.562524999999997</v>
      </c>
      <c r="D1076" s="4">
        <f>AVERAGE(D185:D196)</f>
        <v>28.913991666666671</v>
      </c>
      <c r="E1076" s="4">
        <f>AVERAGE(E185:E196)</f>
        <v>125.703142175293</v>
      </c>
    </row>
    <row r="1077" spans="1:5" ht="15">
      <c r="A1077" s="3">
        <v>2029</v>
      </c>
      <c r="B1077" s="4">
        <f>AVERAGE(B197:B208)</f>
        <v>20.52504166666667</v>
      </c>
      <c r="C1077" s="4">
        <f>AVERAGE(C197:C208)</f>
        <v>20.161766666666665</v>
      </c>
      <c r="D1077" s="4">
        <f>AVERAGE(D197:D208)</f>
        <v>29.552975</v>
      </c>
      <c r="E1077" s="4">
        <f>AVERAGE(E197:E208)</f>
        <v>129.54406166992194</v>
      </c>
    </row>
    <row r="1078" spans="1:5" ht="15">
      <c r="A1078" s="3">
        <v>2030</v>
      </c>
      <c r="B1078" s="4">
        <f>AVERAGE(B209:B220)</f>
        <v>21.123533333333338</v>
      </c>
      <c r="C1078" s="4">
        <f>AVERAGE(C209:C220)</f>
        <v>20.760266666666666</v>
      </c>
      <c r="D1078" s="4">
        <f>AVERAGE(D209:D220)</f>
        <v>30.199691666666666</v>
      </c>
      <c r="E1078" s="4">
        <f>AVERAGE(E209:E220)</f>
        <v>133.37967873535166</v>
      </c>
    </row>
    <row r="1079" spans="1:5" ht="15">
      <c r="A1079" s="3">
        <v>2031</v>
      </c>
      <c r="B1079" s="4">
        <f>AVERAGE(B221:B232)</f>
        <v>21.874575000000004</v>
      </c>
      <c r="C1079" s="4">
        <f>AVERAGE(C221:C232)</f>
        <v>21.511283333333335</v>
      </c>
      <c r="D1079" s="4">
        <f>AVERAGE(D221:D232)</f>
        <v>31.022441666666662</v>
      </c>
      <c r="E1079" s="4">
        <f>AVERAGE(E221:E232)</f>
        <v>138.24114418945308</v>
      </c>
    </row>
    <row r="1080" spans="1:5" ht="15">
      <c r="A1080" s="3">
        <v>2032</v>
      </c>
      <c r="B1080" s="4">
        <f>AVERAGE(B233:B244)</f>
        <v>22.641250000000003</v>
      </c>
      <c r="C1080" s="4">
        <f>AVERAGE(C233:C244)</f>
        <v>22.277966666666668</v>
      </c>
      <c r="D1080" s="4">
        <f>AVERAGE(D233:D244)</f>
        <v>31.845200000000002</v>
      </c>
      <c r="E1080" s="4">
        <f>AVERAGE(E233:E244)</f>
        <v>143.10216713867192</v>
      </c>
    </row>
    <row r="1081" spans="1:5" ht="15">
      <c r="A1081" s="3">
        <v>2033</v>
      </c>
      <c r="B1081" s="4">
        <f>AVERAGE(B245:B256)</f>
        <v>23.407899999999998</v>
      </c>
      <c r="C1081" s="4">
        <f>AVERAGE(C245:C256)</f>
        <v>23.044633333333337</v>
      </c>
      <c r="D1081" s="4">
        <f>AVERAGE(D245:D256)</f>
        <v>32.667949999999998</v>
      </c>
      <c r="E1081" s="4">
        <f>AVERAGE(E245:E256)</f>
        <v>147.96273232421876</v>
      </c>
    </row>
    <row r="1082" spans="1:5" ht="15">
      <c r="A1082" s="3">
        <v>2034</v>
      </c>
      <c r="B1082" s="4">
        <f>AVERAGE(B257:B268)</f>
        <v>24.174583333333331</v>
      </c>
      <c r="C1082" s="4">
        <f>AVERAGE(C257:C268)</f>
        <v>23.811291666666673</v>
      </c>
      <c r="D1082" s="4">
        <f>AVERAGE(D257:D268)</f>
        <v>33.490716666666664</v>
      </c>
      <c r="E1082" s="4">
        <f>AVERAGE(E257:E268)</f>
        <v>152.82282448730467</v>
      </c>
    </row>
    <row r="1083" spans="1:5" ht="15">
      <c r="A1083" s="3">
        <v>2035</v>
      </c>
      <c r="B1083" s="4">
        <f>AVERAGE(B269:B280)</f>
        <v>24.94125</v>
      </c>
      <c r="C1083" s="4">
        <f>AVERAGE(C269:C280)</f>
        <v>24.577966666666669</v>
      </c>
      <c r="D1083" s="4">
        <f>AVERAGE(D269:D280)</f>
        <v>34.340899999999998</v>
      </c>
      <c r="E1083" s="4">
        <f>AVERAGE(E269:E280)</f>
        <v>157.68245888671885</v>
      </c>
    </row>
    <row r="1084" spans="1:5" ht="15">
      <c r="A1084" s="3">
        <v>2036</v>
      </c>
      <c r="B1084" s="4">
        <f>AVERAGE(B281:B292)</f>
        <v>25.320908333333335</v>
      </c>
      <c r="C1084" s="4">
        <f>AVERAGE(C281:C292)</f>
        <v>24.957633333333334</v>
      </c>
      <c r="D1084" s="4">
        <f>AVERAGE(D281:D292)</f>
        <v>34.914891666666669</v>
      </c>
      <c r="E1084" s="4">
        <f>AVERAGE(E281:E292)</f>
        <v>160.47625695564747</v>
      </c>
    </row>
    <row r="1085" spans="1:5" ht="15">
      <c r="A1085" s="3">
        <v>2037</v>
      </c>
      <c r="B1085" s="4">
        <f>AVERAGE(B293:B304)</f>
        <v>25.706575000000001</v>
      </c>
      <c r="C1085" s="4">
        <f>AVERAGE(C293:C304)</f>
        <v>25.343291666666673</v>
      </c>
      <c r="D1085" s="4">
        <f>AVERAGE(D293:D304)</f>
        <v>35.499024999999996</v>
      </c>
      <c r="E1085" s="4">
        <f>AVERAGE(E293:E304)</f>
        <v>163.3195558482997</v>
      </c>
    </row>
    <row r="1086" spans="1:5" ht="15">
      <c r="A1086" s="3">
        <f t="shared" ref="A1086:A1117" si="0">A1085+1</f>
        <v>2038</v>
      </c>
      <c r="B1086" s="4">
        <f>AVERAGE(B305:B316)</f>
        <v>26.098291666666668</v>
      </c>
      <c r="C1086" s="4">
        <f>AVERAGE(C305:C316)</f>
        <v>25.735008333333337</v>
      </c>
      <c r="D1086" s="4">
        <f>AVERAGE(D305:D316)</f>
        <v>36.093458333333324</v>
      </c>
      <c r="E1086" s="4">
        <f>AVERAGE(E305:E316)</f>
        <v>166.21323262575518</v>
      </c>
    </row>
    <row r="1087" spans="1:5" ht="15">
      <c r="A1087" s="3">
        <f t="shared" si="0"/>
        <v>2039</v>
      </c>
      <c r="B1087" s="4">
        <f>AVERAGE(B317:B328)</f>
        <v>26.496158333333337</v>
      </c>
      <c r="C1087" s="4">
        <f>AVERAGE(C317:C328)</f>
        <v>26.132891666666666</v>
      </c>
      <c r="D1087" s="4">
        <f>AVERAGE(D317:D328)</f>
        <v>36.698433333333327</v>
      </c>
      <c r="E1087" s="4">
        <f>AVERAGE(E317:E328)</f>
        <v>169.15817988895793</v>
      </c>
    </row>
    <row r="1088" spans="1:5" ht="15">
      <c r="A1088" s="3">
        <f t="shared" si="0"/>
        <v>2040</v>
      </c>
      <c r="B1088" s="4">
        <f>AVERAGE(B329:B340)</f>
        <v>26.900299999999998</v>
      </c>
      <c r="C1088" s="4">
        <f>AVERAGE(C329:C340)</f>
        <v>26.537033333333337</v>
      </c>
      <c r="D1088" s="4">
        <f>AVERAGE(D329:D340)</f>
        <v>37.314074999999995</v>
      </c>
      <c r="E1088" s="4">
        <f>AVERAGE(E329:E340)</f>
        <v>172.15530605405527</v>
      </c>
    </row>
    <row r="1089" spans="1:5" ht="15">
      <c r="A1089" s="3">
        <f t="shared" si="0"/>
        <v>2041</v>
      </c>
      <c r="B1089" s="4">
        <f>AVERAGE(B341:B352)</f>
        <v>27.310783333333333</v>
      </c>
      <c r="C1089" s="4">
        <f>AVERAGE(C341:C352)</f>
        <v>26.947500000000002</v>
      </c>
      <c r="D1089" s="4">
        <f>AVERAGE(D341:D352)</f>
        <v>37.940599999999996</v>
      </c>
      <c r="E1089" s="4">
        <f>AVERAGE(E341:E352)</f>
        <v>175.20553563261174</v>
      </c>
    </row>
    <row r="1090" spans="1:5" ht="15">
      <c r="A1090" s="3">
        <f t="shared" si="0"/>
        <v>2042</v>
      </c>
      <c r="B1090" s="4">
        <f>AVERAGE(B353:B364)</f>
        <v>27.727733333333333</v>
      </c>
      <c r="C1090" s="4">
        <f>AVERAGE(C353:C364)</f>
        <v>27.364450000000001</v>
      </c>
      <c r="D1090" s="4">
        <f>AVERAGE(D353:D364)</f>
        <v>38.578183333333335</v>
      </c>
      <c r="E1090" s="4">
        <f>AVERAGE(E353:E364)</f>
        <v>178.30980951679103</v>
      </c>
    </row>
    <row r="1091" spans="1:5" ht="15">
      <c r="A1091" s="3">
        <f t="shared" si="0"/>
        <v>2043</v>
      </c>
      <c r="B1091" s="4">
        <f>AVERAGE(B365:B376)</f>
        <v>28.151241666666664</v>
      </c>
      <c r="C1091" s="4">
        <f>AVERAGE(C365:C376)</f>
        <v>27.787941666666665</v>
      </c>
      <c r="D1091" s="4">
        <f>AVERAGE(D365:D376)</f>
        <v>39.227033333333331</v>
      </c>
      <c r="E1091" s="4">
        <f>AVERAGE(E365:E376)</f>
        <v>181.46908526958774</v>
      </c>
    </row>
    <row r="1092" spans="1:5" ht="15">
      <c r="A1092" s="3">
        <f t="shared" si="0"/>
        <v>2044</v>
      </c>
      <c r="B1092" s="4">
        <f>AVERAGE(B377:B388)</f>
        <v>28.581383333333335</v>
      </c>
      <c r="C1092" s="4">
        <f>AVERAGE(C377:C388)</f>
        <v>28.218116666666663</v>
      </c>
      <c r="D1092" s="4">
        <f>AVERAGE(D377:D388)</f>
        <v>39.887358333333331</v>
      </c>
      <c r="E1092" s="4">
        <f>AVERAGE(E377:E388)</f>
        <v>184.68433742020389</v>
      </c>
    </row>
    <row r="1093" spans="1:5" ht="15">
      <c r="A1093" s="3">
        <f t="shared" si="0"/>
        <v>2045</v>
      </c>
      <c r="B1093" s="4">
        <f>AVERAGE(B389:B400)</f>
        <v>29.018333333333334</v>
      </c>
      <c r="C1093" s="4">
        <f>AVERAGE(C389:C400)</f>
        <v>28.655033333333332</v>
      </c>
      <c r="D1093" s="4">
        <f>AVERAGE(D389:D400)</f>
        <v>40.559350000000002</v>
      </c>
      <c r="E1093" s="4">
        <f>AVERAGE(E389:E400)</f>
        <v>187.95655776465844</v>
      </c>
    </row>
    <row r="1094" spans="1:5" ht="15">
      <c r="A1094" s="3">
        <f t="shared" si="0"/>
        <v>2046</v>
      </c>
      <c r="B1094" s="4">
        <f>AVERAGE(B401:B412)</f>
        <v>29.462108333333333</v>
      </c>
      <c r="C1094" s="4">
        <f>AVERAGE(C401:C412)</f>
        <v>29.098816666666661</v>
      </c>
      <c r="D1094" s="4">
        <f>AVERAGE(D401:D412)</f>
        <v>41.243199999999995</v>
      </c>
      <c r="E1094" s="4">
        <f>AVERAGE(E401:E412)</f>
        <v>191.28675567172095</v>
      </c>
    </row>
    <row r="1095" spans="1:5" ht="15">
      <c r="A1095" s="3">
        <f t="shared" si="0"/>
        <v>2047</v>
      </c>
      <c r="B1095" s="4">
        <f>AVERAGE(B413:B424)</f>
        <v>29.91288333333333</v>
      </c>
      <c r="C1095" s="4">
        <f>AVERAGE(C413:C424)</f>
        <v>29.549591666666668</v>
      </c>
      <c r="D1095" s="4">
        <f>AVERAGE(D413:D424)</f>
        <v>41.939141666666664</v>
      </c>
      <c r="E1095" s="4">
        <f>AVERAGE(E413:E424)</f>
        <v>194.67595839426966</v>
      </c>
    </row>
    <row r="1096" spans="1:5" ht="15">
      <c r="A1096" s="3">
        <f t="shared" si="0"/>
        <v>2048</v>
      </c>
      <c r="B1096" s="4">
        <f>AVERAGE(B425:B436)</f>
        <v>30.370733333333334</v>
      </c>
      <c r="C1096" s="4">
        <f>AVERAGE(C425:C436)</f>
        <v>30.007450000000002</v>
      </c>
      <c r="D1096" s="4">
        <f>AVERAGE(D425:D436)</f>
        <v>42.647366666666663</v>
      </c>
      <c r="E1096" s="4">
        <f>AVERAGE(E425:E436)</f>
        <v>198.12521138616293</v>
      </c>
    </row>
    <row r="1097" spans="1:5" ht="15">
      <c r="A1097" s="3">
        <f t="shared" si="0"/>
        <v>2049</v>
      </c>
      <c r="B1097" s="4">
        <f>AVERAGE(B437:B448)</f>
        <v>30.83581666666667</v>
      </c>
      <c r="C1097" s="4">
        <f>AVERAGE(C437:C448)</f>
        <v>30.472516666666667</v>
      </c>
      <c r="D1097" s="4">
        <f>AVERAGE(D437:D448)</f>
        <v>43.368116666666651</v>
      </c>
      <c r="E1097" s="4">
        <f>AVERAGE(E437:E448)</f>
        <v>201.63557862472589</v>
      </c>
    </row>
    <row r="1098" spans="1:5" ht="15">
      <c r="A1098" s="3">
        <f t="shared" si="0"/>
        <v>2050</v>
      </c>
      <c r="B1098" s="4">
        <f>AVERAGE(B449:B460)</f>
        <v>31.308158333333335</v>
      </c>
      <c r="C1098" s="4">
        <f>AVERAGE(C449:C460)</f>
        <v>30.944875</v>
      </c>
      <c r="D1098" s="4">
        <f>AVERAGE(D449:D460)</f>
        <v>44.101616666666672</v>
      </c>
      <c r="E1098" s="4">
        <f>AVERAGE(E449:E460)</f>
        <v>205.20814293895251</v>
      </c>
    </row>
    <row r="1099" spans="1:5" ht="15">
      <c r="A1099" s="3">
        <f t="shared" si="0"/>
        <v>2051</v>
      </c>
      <c r="B1099" s="4">
        <f>AVERAGE(B461:B472)</f>
        <v>31.787975000000003</v>
      </c>
      <c r="C1099" s="4">
        <f>AVERAGE(C461:C472)</f>
        <v>31.424691666666671</v>
      </c>
      <c r="D1099" s="4">
        <f>AVERAGE(D461:D472)</f>
        <v>44.848050000000001</v>
      </c>
      <c r="E1099" s="4">
        <f>AVERAGE(E461:E472)</f>
        <v>208.84400634352019</v>
      </c>
    </row>
    <row r="1100" spans="1:5" ht="15">
      <c r="A1100" s="3">
        <f t="shared" si="0"/>
        <v>2052</v>
      </c>
      <c r="B1100" s="4">
        <f>AVERAGE(B473:B484)</f>
        <v>32.275308333333335</v>
      </c>
      <c r="C1100" s="4">
        <f>AVERAGE(C473:C484)</f>
        <v>31.912041666666667</v>
      </c>
      <c r="D1100" s="4">
        <f>AVERAGE(D473:D484)</f>
        <v>45.607691666666661</v>
      </c>
      <c r="E1100" s="4">
        <f>AVERAGE(E473:E484)</f>
        <v>212.54429037872512</v>
      </c>
    </row>
    <row r="1101" spans="1:5" ht="15">
      <c r="A1101" s="3">
        <f t="shared" si="0"/>
        <v>2053</v>
      </c>
      <c r="B1101" s="4">
        <f>AVERAGE(B485:B496)</f>
        <v>32.770325</v>
      </c>
      <c r="C1101" s="4">
        <f>AVERAGE(C485:C496)</f>
        <v>32.407049999999998</v>
      </c>
      <c r="D1101" s="4">
        <f>AVERAGE(D485:D496)</f>
        <v>46.380750000000006</v>
      </c>
      <c r="E1101" s="4">
        <f>AVERAGE(E485:E496)</f>
        <v>216.31013645643824</v>
      </c>
    </row>
    <row r="1102" spans="1:5" ht="15">
      <c r="A1102" s="3">
        <f t="shared" si="0"/>
        <v>2054</v>
      </c>
      <c r="B1102" s="4">
        <f>AVERAGE(B497:B508)</f>
        <v>33.273116666666667</v>
      </c>
      <c r="C1102" s="4">
        <f>AVERAGE(C497:C508)</f>
        <v>32.909824999999991</v>
      </c>
      <c r="D1102" s="4">
        <f>AVERAGE(D497:D508)</f>
        <v>47.167466666666662</v>
      </c>
      <c r="E1102" s="4">
        <f>AVERAGE(E497:E508)</f>
        <v>220.14270621219268</v>
      </c>
    </row>
    <row r="1103" spans="1:5" ht="15">
      <c r="A1103" s="3">
        <f t="shared" si="0"/>
        <v>2055</v>
      </c>
      <c r="B1103" s="4">
        <f>AVERAGE(B509:B520)</f>
        <v>33.783816666666667</v>
      </c>
      <c r="C1103" s="4">
        <f>AVERAGE(C509:C520)</f>
        <v>33.420533333333324</v>
      </c>
      <c r="D1103" s="4">
        <f>AVERAGE(D509:D520)</f>
        <v>47.968066666666665</v>
      </c>
      <c r="E1103" s="4">
        <f>AVERAGE(E509:E520)</f>
        <v>224.04318186350864</v>
      </c>
    </row>
    <row r="1104" spans="1:5" ht="15">
      <c r="A1104" s="3">
        <f t="shared" si="0"/>
        <v>2056</v>
      </c>
      <c r="B1104" s="4">
        <f>AVERAGE(B521:B532)</f>
        <v>34.30255833333333</v>
      </c>
      <c r="C1104" s="4">
        <f>AVERAGE(C521:C532)</f>
        <v>33.939266666666661</v>
      </c>
      <c r="D1104" s="4">
        <f>AVERAGE(D521:D532)</f>
        <v>48.782841666666663</v>
      </c>
      <c r="E1104" s="4">
        <f>AVERAGE(E521:E532)</f>
        <v>228.01276657456717</v>
      </c>
    </row>
    <row r="1105" spans="1:5" ht="15">
      <c r="A1105" s="3">
        <f t="shared" si="0"/>
        <v>2057</v>
      </c>
      <c r="B1105" s="4">
        <f>AVERAGE(B533:B544)</f>
        <v>34.829441666666661</v>
      </c>
      <c r="C1105" s="4">
        <f>AVERAGE(C533:C544)</f>
        <v>34.466141666666665</v>
      </c>
      <c r="D1105" s="4">
        <f>AVERAGE(D533:D544)</f>
        <v>49.611983333333335</v>
      </c>
      <c r="E1105" s="4">
        <f>AVERAGE(E533:E544)</f>
        <v>232.0526848273461</v>
      </c>
    </row>
    <row r="1106" spans="1:5" ht="15">
      <c r="A1106" s="3">
        <f t="shared" si="0"/>
        <v>2058</v>
      </c>
      <c r="B1106" s="4">
        <f>AVERAGE(B545:B556)</f>
        <v>35.364600000000003</v>
      </c>
      <c r="C1106" s="4">
        <f>AVERAGE(C545:C556)</f>
        <v>35.001333333333328</v>
      </c>
      <c r="D1106" s="4">
        <f>AVERAGE(D545:D556)</f>
        <v>50.455783333333329</v>
      </c>
      <c r="E1106" s="4">
        <f>AVERAGE(E545:E556)</f>
        <v>236.16418279932972</v>
      </c>
    </row>
    <row r="1107" spans="1:5" ht="15">
      <c r="A1107" s="3">
        <f t="shared" si="0"/>
        <v>2059</v>
      </c>
      <c r="B1107" s="4">
        <f>AVERAGE(B557:B568)</f>
        <v>35.908183333333334</v>
      </c>
      <c r="C1107" s="4">
        <f>AVERAGE(C557:C568)</f>
        <v>35.544899999999991</v>
      </c>
      <c r="D1107" s="4">
        <f>AVERAGE(D557:D568)</f>
        <v>51.314499999999988</v>
      </c>
      <c r="E1107" s="4">
        <f>AVERAGE(E557:E568)</f>
        <v>240.34852874791352</v>
      </c>
    </row>
    <row r="1108" spans="1:5" ht="15">
      <c r="A1108" s="3">
        <f t="shared" si="0"/>
        <v>2060</v>
      </c>
      <c r="B1108" s="4">
        <f>AVERAGE(B569:B580)</f>
        <v>36.460324999999997</v>
      </c>
      <c r="C1108" s="4">
        <f>AVERAGE(C569:C580)</f>
        <v>36.097033333333322</v>
      </c>
      <c r="D1108" s="4">
        <f>AVERAGE(D569:D580)</f>
        <v>52.188383333333327</v>
      </c>
      <c r="E1108" s="4">
        <f>AVERAGE(E569:E580)</f>
        <v>244.60701340161904</v>
      </c>
    </row>
    <row r="1109" spans="1:5" ht="15">
      <c r="A1109" s="3">
        <f t="shared" si="0"/>
        <v>2061</v>
      </c>
      <c r="B1109" s="4">
        <f>AVERAGE(B581:B592)</f>
        <v>37.021149999999999</v>
      </c>
      <c r="C1109" s="4">
        <f>AVERAGE(C581:C592)</f>
        <v>36.657866666666656</v>
      </c>
      <c r="D1109" s="4">
        <f>AVERAGE(D581:D592)</f>
        <v>53.0777</v>
      </c>
      <c r="E1109" s="4">
        <f>AVERAGE(E581:E592)</f>
        <v>248.94095035823668</v>
      </c>
    </row>
    <row r="1110" spans="1:5" ht="15">
      <c r="A1110" s="3">
        <f t="shared" si="0"/>
        <v>2062</v>
      </c>
      <c r="B1110" s="4">
        <f t="shared" ref="B1110:E1129" ca="1" si="1">AVERAGE(OFFSET(B$593,($A1110-$A$1110)*12,0,12,1))</f>
        <v>37.590775000000001</v>
      </c>
      <c r="C1110" s="4">
        <f t="shared" ca="1" si="1"/>
        <v>37.227508333333326</v>
      </c>
      <c r="D1110" s="4">
        <f t="shared" ca="1" si="1"/>
        <v>53.982758333333344</v>
      </c>
      <c r="E1110" s="4">
        <f t="shared" ca="1" si="1"/>
        <v>253.35167649002975</v>
      </c>
    </row>
    <row r="1111" spans="1:5" ht="15">
      <c r="A1111" s="3">
        <f t="shared" si="0"/>
        <v>2063</v>
      </c>
      <c r="B1111" s="4">
        <f t="shared" ca="1" si="1"/>
        <v>38.169374999999995</v>
      </c>
      <c r="C1111" s="4">
        <f t="shared" ca="1" si="1"/>
        <v>37.80609166666666</v>
      </c>
      <c r="D1111" s="4">
        <f t="shared" ca="1" si="1"/>
        <v>54.903766666666662</v>
      </c>
      <c r="E1111" s="4">
        <f t="shared" ca="1" si="1"/>
        <v>257.84055235611157</v>
      </c>
    </row>
    <row r="1112" spans="1:5" ht="15">
      <c r="A1112" s="3">
        <f t="shared" si="0"/>
        <v>2064</v>
      </c>
      <c r="B1112" s="4">
        <f t="shared" ca="1" si="1"/>
        <v>38.757066666666667</v>
      </c>
      <c r="C1112" s="4">
        <f t="shared" ca="1" si="1"/>
        <v>38.393791666666665</v>
      </c>
      <c r="D1112" s="4">
        <f t="shared" ca="1" si="1"/>
        <v>55.841074999999989</v>
      </c>
      <c r="E1112" s="4">
        <f t="shared" ca="1" si="1"/>
        <v>262.40896262213323</v>
      </c>
    </row>
    <row r="1113" spans="1:5" ht="15">
      <c r="A1113" s="3">
        <f t="shared" si="0"/>
        <v>2065</v>
      </c>
      <c r="B1113" s="4">
        <f t="shared" ca="1" si="1"/>
        <v>39.354008333333333</v>
      </c>
      <c r="C1113" s="4">
        <f t="shared" ca="1" si="1"/>
        <v>38.990716666666657</v>
      </c>
      <c r="D1113" s="4">
        <f t="shared" ca="1" si="1"/>
        <v>56.794924999999999</v>
      </c>
      <c r="E1113" s="4">
        <f t="shared" ca="1" si="1"/>
        <v>267.05831648740462</v>
      </c>
    </row>
    <row r="1114" spans="1:5" ht="15">
      <c r="A1114" s="3">
        <f t="shared" si="0"/>
        <v>2066</v>
      </c>
      <c r="B1114" s="4">
        <f t="shared" ca="1" si="1"/>
        <v>39.960324999999997</v>
      </c>
      <c r="C1114" s="4">
        <f t="shared" ca="1" si="1"/>
        <v>39.597049999999996</v>
      </c>
      <c r="D1114" s="4">
        <f t="shared" ca="1" si="1"/>
        <v>57.765649999999994</v>
      </c>
      <c r="E1114" s="4">
        <f t="shared" ca="1" si="1"/>
        <v>271.79004811958538</v>
      </c>
    </row>
    <row r="1115" spans="1:5" ht="15">
      <c r="A1115" s="3">
        <f t="shared" si="0"/>
        <v>2067</v>
      </c>
      <c r="B1115" s="4">
        <f t="shared" ca="1" si="1"/>
        <v>40.576174999999999</v>
      </c>
      <c r="C1115" s="4">
        <f t="shared" ca="1" si="1"/>
        <v>40.212899999999998</v>
      </c>
      <c r="D1115" s="4">
        <f t="shared" ca="1" si="1"/>
        <v>58.753516666666677</v>
      </c>
      <c r="E1115" s="4">
        <f t="shared" ca="1" si="1"/>
        <v>276.60561709707656</v>
      </c>
    </row>
    <row r="1116" spans="1:5" ht="15">
      <c r="A1116" s="3">
        <f t="shared" si="0"/>
        <v>2068</v>
      </c>
      <c r="B1116" s="4">
        <f t="shared" ca="1" si="1"/>
        <v>41.20173333333333</v>
      </c>
      <c r="C1116" s="4">
        <f t="shared" ca="1" si="1"/>
        <v>40.838441666666661</v>
      </c>
      <c r="D1116" s="4">
        <f t="shared" ca="1" si="1"/>
        <v>59.758825000000002</v>
      </c>
      <c r="E1116" s="4">
        <f t="shared" ca="1" si="1"/>
        <v>281.50650885925126</v>
      </c>
    </row>
    <row r="1117" spans="1:5" ht="15">
      <c r="A1117" s="3">
        <f t="shared" si="0"/>
        <v>2069</v>
      </c>
      <c r="B1117" s="4">
        <f t="shared" ca="1" si="1"/>
        <v>41.837108333333333</v>
      </c>
      <c r="C1117" s="4">
        <f t="shared" ca="1" si="1"/>
        <v>41.473833333333324</v>
      </c>
      <c r="D1117" s="4">
        <f t="shared" ca="1" si="1"/>
        <v>60.781908333333341</v>
      </c>
      <c r="E1117" s="4">
        <f t="shared" ca="1" si="1"/>
        <v>286.49423516466192</v>
      </c>
    </row>
    <row r="1118" spans="1:5" ht="15">
      <c r="A1118" s="3">
        <f t="shared" ref="A1118:A1148" si="2">A1117+1</f>
        <v>2070</v>
      </c>
      <c r="B1118" s="4">
        <f t="shared" ca="1" si="1"/>
        <v>42.48246666666666</v>
      </c>
      <c r="C1118" s="4">
        <f t="shared" ca="1" si="1"/>
        <v>42.119174999999998</v>
      </c>
      <c r="D1118" s="4">
        <f t="shared" ca="1" si="1"/>
        <v>61.823066666666676</v>
      </c>
      <c r="E1118" s="4">
        <f t="shared" ca="1" si="1"/>
        <v>291.57033455736632</v>
      </c>
    </row>
    <row r="1119" spans="1:5" ht="15">
      <c r="A1119" s="3">
        <f t="shared" si="2"/>
        <v>2071</v>
      </c>
      <c r="B1119" s="4">
        <f t="shared" ca="1" si="1"/>
        <v>43.137991666666665</v>
      </c>
      <c r="C1119" s="4">
        <f t="shared" ca="1" si="1"/>
        <v>42.774699999999996</v>
      </c>
      <c r="D1119" s="4">
        <f t="shared" ca="1" si="1"/>
        <v>62.882624999999997</v>
      </c>
      <c r="E1119" s="4">
        <f t="shared" ca="1" si="1"/>
        <v>296.73637284151647</v>
      </c>
    </row>
    <row r="1120" spans="1:5" ht="15">
      <c r="A1120" s="3">
        <f t="shared" si="2"/>
        <v>2072</v>
      </c>
      <c r="B1120" s="4">
        <f t="shared" ca="1" si="1"/>
        <v>43.80381666666667</v>
      </c>
      <c r="C1120" s="4">
        <f t="shared" ca="1" si="1"/>
        <v>43.440525000000001</v>
      </c>
      <c r="D1120" s="4">
        <f t="shared" ca="1" si="1"/>
        <v>63.960891666666662</v>
      </c>
      <c r="E1120" s="4">
        <f t="shared" ca="1" si="1"/>
        <v>301.99394356435533</v>
      </c>
    </row>
    <row r="1121" spans="1:5" ht="15">
      <c r="A1121" s="3">
        <f t="shared" si="2"/>
        <v>2073</v>
      </c>
      <c r="B1121" s="4">
        <f t="shared" ca="1" si="1"/>
        <v>44.480108333333334</v>
      </c>
      <c r="C1121" s="4">
        <f t="shared" ca="1" si="1"/>
        <v>44.116808333333331</v>
      </c>
      <c r="D1121" s="4">
        <f t="shared" ca="1" si="1"/>
        <v>65.058224999999993</v>
      </c>
      <c r="E1121" s="4">
        <f t="shared" ca="1" si="1"/>
        <v>307.34466850777346</v>
      </c>
    </row>
    <row r="1122" spans="1:5" ht="15">
      <c r="A1122" s="3">
        <f t="shared" si="2"/>
        <v>2074</v>
      </c>
      <c r="B1122" s="4">
        <f t="shared" ca="1" si="1"/>
        <v>45.167025000000002</v>
      </c>
      <c r="C1122" s="4">
        <f t="shared" ca="1" si="1"/>
        <v>44.80374166666666</v>
      </c>
      <c r="D1122" s="4">
        <f t="shared" ca="1" si="1"/>
        <v>66.174941666666669</v>
      </c>
      <c r="E1122" s="4">
        <f t="shared" ca="1" si="1"/>
        <v>312.79019818857188</v>
      </c>
    </row>
    <row r="1123" spans="1:5" ht="15">
      <c r="A1123" s="3">
        <f t="shared" si="2"/>
        <v>2075</v>
      </c>
      <c r="B1123" s="4">
        <f t="shared" ca="1" si="1"/>
        <v>45.864758333333327</v>
      </c>
      <c r="C1123" s="4">
        <f t="shared" ca="1" si="1"/>
        <v>45.501474999999999</v>
      </c>
      <c r="D1123" s="4">
        <f t="shared" ca="1" si="1"/>
        <v>67.311383333333325</v>
      </c>
      <c r="E1123" s="4">
        <f t="shared" ca="1" si="1"/>
        <v>318.33221236759164</v>
      </c>
    </row>
    <row r="1124" spans="1:5" ht="15">
      <c r="A1124" s="3">
        <f t="shared" si="2"/>
        <v>2076</v>
      </c>
      <c r="B1124" s="4">
        <f t="shared" ca="1" si="1"/>
        <v>46.573458333333328</v>
      </c>
      <c r="C1124" s="4">
        <f t="shared" ca="1" si="1"/>
        <v>46.210183333333326</v>
      </c>
      <c r="D1124" s="4">
        <f t="shared" ca="1" si="1"/>
        <v>68.467899999999986</v>
      </c>
      <c r="E1124" s="4">
        <f t="shared" ca="1" si="1"/>
        <v>323.97242056786166</v>
      </c>
    </row>
    <row r="1125" spans="1:5" ht="15">
      <c r="A1125" s="3">
        <f t="shared" si="2"/>
        <v>2077</v>
      </c>
      <c r="B1125" s="4">
        <f t="shared" ca="1" si="1"/>
        <v>47.293308333333329</v>
      </c>
      <c r="C1125" s="4">
        <f t="shared" ca="1" si="1"/>
        <v>46.930016666666667</v>
      </c>
      <c r="D1125" s="4">
        <f t="shared" ca="1" si="1"/>
        <v>69.644841666666665</v>
      </c>
      <c r="E1125" s="4">
        <f t="shared" ca="1" si="1"/>
        <v>329.7125626019303</v>
      </c>
    </row>
    <row r="1126" spans="1:5" ht="15">
      <c r="A1126" s="3">
        <f t="shared" si="2"/>
        <v>2078</v>
      </c>
      <c r="B1126" s="4">
        <f t="shared" ca="1" si="1"/>
        <v>48.024458333333335</v>
      </c>
      <c r="C1126" s="4">
        <f t="shared" ca="1" si="1"/>
        <v>47.661191666666674</v>
      </c>
      <c r="D1126" s="4">
        <f t="shared" ca="1" si="1"/>
        <v>70.842600000000019</v>
      </c>
      <c r="E1126" s="4">
        <f t="shared" ca="1" si="1"/>
        <v>335.55440910853707</v>
      </c>
    </row>
    <row r="1127" spans="1:5" ht="15">
      <c r="A1127" s="3">
        <f t="shared" si="2"/>
        <v>2079</v>
      </c>
      <c r="B1127" s="4">
        <f t="shared" ca="1" si="1"/>
        <v>48.767141666666667</v>
      </c>
      <c r="C1127" s="4">
        <f t="shared" ca="1" si="1"/>
        <v>48.403850000000006</v>
      </c>
      <c r="D1127" s="4">
        <f t="shared" ca="1" si="1"/>
        <v>72.061508333333336</v>
      </c>
      <c r="E1127" s="4">
        <f t="shared" ca="1" si="1"/>
        <v>341.49976209879401</v>
      </c>
    </row>
    <row r="1128" spans="1:5" ht="15">
      <c r="A1128" s="3">
        <f t="shared" si="2"/>
        <v>2080</v>
      </c>
      <c r="B1128" s="4">
        <f t="shared" ca="1" si="1"/>
        <v>49.521475000000002</v>
      </c>
      <c r="C1128" s="4">
        <f t="shared" ca="1" si="1"/>
        <v>49.158191666666653</v>
      </c>
      <c r="D1128" s="4">
        <f t="shared" ca="1" si="1"/>
        <v>73.301966666666672</v>
      </c>
      <c r="E1128" s="4">
        <f t="shared" ca="1" si="1"/>
        <v>347.55045551204722</v>
      </c>
    </row>
    <row r="1129" spans="1:5" ht="15">
      <c r="A1129" s="3">
        <f t="shared" si="2"/>
        <v>2081</v>
      </c>
      <c r="B1129" s="4">
        <f t="shared" ca="1" si="1"/>
        <v>50.28769166666666</v>
      </c>
      <c r="C1129" s="4">
        <f t="shared" ca="1" si="1"/>
        <v>49.924399999999999</v>
      </c>
      <c r="D1129" s="4">
        <f t="shared" ca="1" si="1"/>
        <v>74.564333333333323</v>
      </c>
      <c r="E1129" s="4">
        <f t="shared" ca="1" si="1"/>
        <v>353.70835578158216</v>
      </c>
    </row>
    <row r="1130" spans="1:5" ht="15">
      <c r="A1130" s="3">
        <f t="shared" si="2"/>
        <v>2082</v>
      </c>
      <c r="B1130" s="4">
        <f t="shared" ref="B1130:E1148" ca="1" si="3">AVERAGE(OFFSET(B$593,($A1130-$A$1110)*12,0,12,1))</f>
        <v>51.065933333333327</v>
      </c>
      <c r="C1130" s="4">
        <f t="shared" ca="1" si="3"/>
        <v>50.702649999999984</v>
      </c>
      <c r="D1130" s="4">
        <f t="shared" ca="1" si="3"/>
        <v>75.848991666666663</v>
      </c>
      <c r="E1130" s="4">
        <f t="shared" ca="1" si="3"/>
        <v>359.97536241035641</v>
      </c>
    </row>
    <row r="1131" spans="1:5" ht="15">
      <c r="A1131" s="3">
        <f t="shared" si="2"/>
        <v>2083</v>
      </c>
      <c r="B1131" s="4">
        <f t="shared" ca="1" si="3"/>
        <v>51.856416666666668</v>
      </c>
      <c r="C1131" s="4">
        <f t="shared" ca="1" si="3"/>
        <v>51.493133333333333</v>
      </c>
      <c r="D1131" s="4">
        <f t="shared" ca="1" si="3"/>
        <v>77.156366666666656</v>
      </c>
      <c r="E1131" s="4">
        <f t="shared" ca="1" si="3"/>
        <v>366.35340855693124</v>
      </c>
    </row>
    <row r="1132" spans="1:5" ht="15">
      <c r="A1132" s="3">
        <f t="shared" si="2"/>
        <v>2084</v>
      </c>
      <c r="B1132" s="4">
        <f t="shared" ca="1" si="3"/>
        <v>52.659333333333336</v>
      </c>
      <c r="C1132" s="4">
        <f t="shared" ca="1" si="3"/>
        <v>52.296075000000002</v>
      </c>
      <c r="D1132" s="4">
        <f t="shared" ca="1" si="3"/>
        <v>78.486824999999996</v>
      </c>
      <c r="E1132" s="4">
        <f t="shared" ca="1" si="3"/>
        <v>372.84446163178592</v>
      </c>
    </row>
    <row r="1133" spans="1:5" ht="15">
      <c r="A1133" s="3">
        <f t="shared" si="2"/>
        <v>2085</v>
      </c>
      <c r="B1133" s="4">
        <f t="shared" ca="1" si="3"/>
        <v>53.474891666666657</v>
      </c>
      <c r="C1133" s="4">
        <f t="shared" ca="1" si="3"/>
        <v>53.111616666666656</v>
      </c>
      <c r="D1133" s="4">
        <f t="shared" ca="1" si="3"/>
        <v>79.840800000000002</v>
      </c>
      <c r="E1133" s="4">
        <f t="shared" ca="1" si="3"/>
        <v>379.45052390419625</v>
      </c>
    </row>
    <row r="1134" spans="1:5" ht="15">
      <c r="A1134" s="3">
        <f t="shared" si="2"/>
        <v>2086</v>
      </c>
      <c r="B1134" s="4">
        <f t="shared" ca="1" si="3"/>
        <v>54.303258333333339</v>
      </c>
      <c r="C1134" s="4">
        <f t="shared" ca="1" si="3"/>
        <v>53.939983333333345</v>
      </c>
      <c r="D1134" s="4">
        <f t="shared" ca="1" si="3"/>
        <v>81.218708333333339</v>
      </c>
      <c r="E1134" s="4">
        <f t="shared" ca="1" si="3"/>
        <v>386.17363311986696</v>
      </c>
    </row>
    <row r="1135" spans="1:5" ht="15">
      <c r="A1135" s="3">
        <f t="shared" si="2"/>
        <v>2087</v>
      </c>
      <c r="B1135" s="4">
        <f t="shared" ca="1" si="3"/>
        <v>55.144666666666659</v>
      </c>
      <c r="C1135" s="4">
        <f t="shared" ca="1" si="3"/>
        <v>54.781375000000004</v>
      </c>
      <c r="D1135" s="4">
        <f t="shared" ca="1" si="3"/>
        <v>82.620941666666667</v>
      </c>
      <c r="E1135" s="4">
        <f t="shared" ca="1" si="3"/>
        <v>393.01586312950673</v>
      </c>
    </row>
    <row r="1136" spans="1:5" ht="15">
      <c r="A1136" s="3">
        <f t="shared" si="2"/>
        <v>2088</v>
      </c>
      <c r="B1136" s="4">
        <f t="shared" ca="1" si="3"/>
        <v>55.999291666666672</v>
      </c>
      <c r="C1136" s="4">
        <f t="shared" ca="1" si="3"/>
        <v>55.635991666666662</v>
      </c>
      <c r="D1136" s="4">
        <f t="shared" ca="1" si="3"/>
        <v>84.04795</v>
      </c>
      <c r="E1136" s="4">
        <f t="shared" ca="1" si="3"/>
        <v>399.97932452854161</v>
      </c>
    </row>
    <row r="1137" spans="1:5" ht="15">
      <c r="A1137" s="3">
        <f t="shared" si="2"/>
        <v>2089</v>
      </c>
      <c r="B1137" s="4">
        <f t="shared" ca="1" si="3"/>
        <v>56.867358333333328</v>
      </c>
      <c r="C1137" s="4">
        <f t="shared" ca="1" si="3"/>
        <v>56.504075</v>
      </c>
      <c r="D1137" s="4">
        <f t="shared" ca="1" si="3"/>
        <v>85.500183333333339</v>
      </c>
      <c r="E1137" s="4">
        <f t="shared" ca="1" si="3"/>
        <v>407.06616530816001</v>
      </c>
    </row>
    <row r="1138" spans="1:5" ht="15">
      <c r="A1138" s="3">
        <f t="shared" si="2"/>
        <v>2090</v>
      </c>
      <c r="B1138" s="4">
        <f t="shared" ca="1" si="3"/>
        <v>57.749083333333317</v>
      </c>
      <c r="C1138" s="4">
        <f t="shared" ca="1" si="3"/>
        <v>57.385791666666655</v>
      </c>
      <c r="D1138" s="4">
        <f t="shared" ca="1" si="3"/>
        <v>86.978066666666663</v>
      </c>
      <c r="E1138" s="4">
        <f t="shared" ca="1" si="3"/>
        <v>414.27857151789749</v>
      </c>
    </row>
    <row r="1139" spans="1:5" ht="15">
      <c r="A1139" s="3">
        <f t="shared" si="2"/>
        <v>2091</v>
      </c>
      <c r="B1139" s="4">
        <f t="shared" ca="1" si="3"/>
        <v>58.644650000000006</v>
      </c>
      <c r="C1139" s="4">
        <f t="shared" ca="1" si="3"/>
        <v>58.281391666666657</v>
      </c>
      <c r="D1139" s="4">
        <f t="shared" ca="1" si="3"/>
        <v>88.482066666666654</v>
      </c>
      <c r="E1139" s="4">
        <f t="shared" ca="1" si="3"/>
        <v>421.61876793995611</v>
      </c>
    </row>
    <row r="1140" spans="1:5" ht="15">
      <c r="A1140" s="3">
        <f t="shared" si="2"/>
        <v>2092</v>
      </c>
      <c r="B1140" s="4">
        <f t="shared" ca="1" si="3"/>
        <v>59.554308333333324</v>
      </c>
      <c r="C1140" s="4">
        <f t="shared" ca="1" si="3"/>
        <v>59.191041666666656</v>
      </c>
      <c r="D1140" s="4">
        <f t="shared" ca="1" si="3"/>
        <v>90.012625</v>
      </c>
      <c r="E1140" s="4">
        <f t="shared" ca="1" si="3"/>
        <v>429.0890187754772</v>
      </c>
    </row>
    <row r="1141" spans="1:5" ht="15">
      <c r="A1141" s="3">
        <f t="shared" si="2"/>
        <v>2093</v>
      </c>
      <c r="B1141" s="4">
        <f t="shared" ca="1" si="3"/>
        <v>60.478291666666671</v>
      </c>
      <c r="C1141" s="4">
        <f t="shared" ca="1" si="3"/>
        <v>60.114991666666661</v>
      </c>
      <c r="D1141" s="4">
        <f t="shared" ca="1" si="3"/>
        <v>91.570258333333342</v>
      </c>
      <c r="E1141" s="4">
        <f t="shared" ca="1" si="3"/>
        <v>436.69162834296759</v>
      </c>
    </row>
    <row r="1142" spans="1:5" ht="15">
      <c r="A1142" s="3">
        <f t="shared" si="2"/>
        <v>2094</v>
      </c>
      <c r="B1142" s="4">
        <f t="shared" ca="1" si="3"/>
        <v>61.416799999999995</v>
      </c>
      <c r="C1142" s="4">
        <f t="shared" ca="1" si="3"/>
        <v>61.053499999999993</v>
      </c>
      <c r="D1142" s="4">
        <f t="shared" ca="1" si="3"/>
        <v>93.155383333333319</v>
      </c>
      <c r="E1142" s="4">
        <f t="shared" ca="1" si="3"/>
        <v>444.42894178910461</v>
      </c>
    </row>
    <row r="1143" spans="1:5" ht="15">
      <c r="A1143" s="3">
        <f t="shared" si="2"/>
        <v>2095</v>
      </c>
      <c r="B1143" s="4">
        <f t="shared" ca="1" si="3"/>
        <v>62.370041666666651</v>
      </c>
      <c r="C1143" s="4">
        <f t="shared" ca="1" si="3"/>
        <v>62.006766666666664</v>
      </c>
      <c r="D1143" s="4">
        <f t="shared" ca="1" si="3"/>
        <v>94.768533333333323</v>
      </c>
      <c r="E1143" s="4">
        <f t="shared" ca="1" si="3"/>
        <v>452.30334581213515</v>
      </c>
    </row>
    <row r="1144" spans="1:5" ht="15">
      <c r="A1144" s="3">
        <f t="shared" si="2"/>
        <v>2096</v>
      </c>
      <c r="B1144" s="4">
        <f t="shared" ca="1" si="3"/>
        <v>63.338283333333329</v>
      </c>
      <c r="C1144" s="4">
        <f t="shared" ca="1" si="3"/>
        <v>62.975000000000001</v>
      </c>
      <c r="D1144" s="4">
        <f t="shared" ca="1" si="3"/>
        <v>96.410174999999995</v>
      </c>
      <c r="E1144" s="4">
        <f t="shared" ca="1" si="3"/>
        <v>460.31726939808897</v>
      </c>
    </row>
    <row r="1145" spans="1:5" ht="15">
      <c r="A1145" s="3">
        <f t="shared" si="2"/>
        <v>2097</v>
      </c>
      <c r="B1145" s="4">
        <f t="shared" ca="1" si="3"/>
        <v>64.321758333333335</v>
      </c>
      <c r="C1145" s="4">
        <f t="shared" ca="1" si="3"/>
        <v>63.958474999999993</v>
      </c>
      <c r="D1145" s="4">
        <f t="shared" ca="1" si="3"/>
        <v>98.080816666666649</v>
      </c>
      <c r="E1145" s="4">
        <f t="shared" ca="1" si="3"/>
        <v>468.47318457004053</v>
      </c>
    </row>
    <row r="1146" spans="1:5" ht="15">
      <c r="A1146" s="3">
        <f t="shared" si="2"/>
        <v>2098</v>
      </c>
      <c r="B1146" s="4">
        <f t="shared" ca="1" si="3"/>
        <v>65.320708333333329</v>
      </c>
      <c r="C1146" s="4">
        <f t="shared" ca="1" si="3"/>
        <v>64.95741666666666</v>
      </c>
      <c r="D1146" s="4">
        <f t="shared" ca="1" si="3"/>
        <v>99.780983333333324</v>
      </c>
      <c r="E1146" s="4">
        <f t="shared" ca="1" si="3"/>
        <v>476.77360715064202</v>
      </c>
    </row>
    <row r="1147" spans="1:5" ht="15">
      <c r="A1147" s="3">
        <f t="shared" si="2"/>
        <v>2099</v>
      </c>
      <c r="B1147" s="4">
        <f t="shared" ca="1" si="3"/>
        <v>66.335341666666679</v>
      </c>
      <c r="C1147" s="4">
        <f t="shared" ca="1" si="3"/>
        <v>65.972066666666663</v>
      </c>
      <c r="D1147" s="4">
        <f t="shared" ca="1" si="3"/>
        <v>101.51119166666666</v>
      </c>
      <c r="E1147" s="4">
        <f t="shared" ca="1" si="3"/>
        <v>485.22109753817091</v>
      </c>
    </row>
    <row r="1148" spans="1:5" ht="15">
      <c r="A1148" s="3">
        <f t="shared" si="2"/>
        <v>2100</v>
      </c>
      <c r="B1148" s="4">
        <f t="shared" ca="1" si="3"/>
        <v>67.365941666666671</v>
      </c>
      <c r="C1148" s="4">
        <f t="shared" ca="1" si="3"/>
        <v>67.00266666666667</v>
      </c>
      <c r="D1148" s="4">
        <f t="shared" ca="1" si="3"/>
        <v>103.27194999999999</v>
      </c>
      <c r="E1148" s="4">
        <f t="shared" ca="1" si="3"/>
        <v>493.81826149632474</v>
      </c>
    </row>
    <row r="1149" spans="1:5">
      <c r="A1149" s="36"/>
    </row>
    <row r="1150" spans="1:5">
      <c r="A1150" s="36"/>
    </row>
    <row r="1151" spans="1:5">
      <c r="A1151" s="36"/>
    </row>
    <row r="1152" spans="1:5">
      <c r="A1152" s="36"/>
    </row>
    <row r="1153" spans="1:1">
      <c r="A1153" s="36"/>
    </row>
    <row r="1154" spans="1:1">
      <c r="A1154" s="36"/>
    </row>
    <row r="1155" spans="1:1">
      <c r="A1155" s="36"/>
    </row>
    <row r="1156" spans="1:1">
      <c r="A1156" s="36"/>
    </row>
    <row r="1157" spans="1:1">
      <c r="A1157" s="36"/>
    </row>
    <row r="1158" spans="1:1">
      <c r="A1158" s="36"/>
    </row>
    <row r="1159" spans="1:1">
      <c r="A1159" s="36"/>
    </row>
    <row r="1160" spans="1:1">
      <c r="A1160" s="36"/>
    </row>
    <row r="1161" spans="1:1">
      <c r="A1161" s="36"/>
    </row>
    <row r="1162" spans="1:1">
      <c r="A1162" s="36"/>
    </row>
    <row r="1163" spans="1:1">
      <c r="A1163" s="36"/>
    </row>
    <row r="1164" spans="1:1">
      <c r="A1164" s="36"/>
    </row>
    <row r="1165" spans="1:1">
      <c r="A1165" s="36"/>
    </row>
    <row r="1166" spans="1:1">
      <c r="A1166" s="36"/>
    </row>
    <row r="1167" spans="1:1">
      <c r="A1167" s="36"/>
    </row>
    <row r="1168" spans="1:1">
      <c r="A1168" s="36"/>
    </row>
  </sheetData>
  <mergeCells count="1">
    <mergeCell ref="B14:C14"/>
  </mergeCells>
  <pageMargins left="0.25" right="0.25" top="0.5" bottom="0.5" header="0.25" footer="0.25"/>
  <pageSetup orientation="portrait" horizontalDpi="1200" verticalDpi="1200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133350</xdr:colOff>
                    <xdr:row>9</xdr:row>
                    <xdr:rowOff>171450</xdr:rowOff>
                  </from>
                  <to>
                    <xdr:col>2</xdr:col>
                    <xdr:colOff>666750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3</xdr:col>
                    <xdr:colOff>19050</xdr:colOff>
                    <xdr:row>9</xdr:row>
                    <xdr:rowOff>171450</xdr:rowOff>
                  </from>
                  <to>
                    <xdr:col>4</xdr:col>
                    <xdr:colOff>371475</xdr:colOff>
                    <xdr:row>11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O1148"/>
  <sheetViews>
    <sheetView zoomScale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7.109375" defaultRowHeight="12.75"/>
  <cols>
    <col min="1" max="1" width="14.5546875" style="36" customWidth="1"/>
    <col min="2" max="2" width="19" style="36" customWidth="1"/>
    <col min="3" max="3" width="16.109375" style="36" customWidth="1"/>
    <col min="4" max="4" width="20.21875" style="36" customWidth="1"/>
    <col min="5" max="5" width="20.6640625" style="36" customWidth="1"/>
    <col min="6" max="6" width="16.109375" style="36" customWidth="1"/>
    <col min="7" max="9" width="20" style="36" customWidth="1"/>
    <col min="10" max="11" width="19.109375" style="36" customWidth="1"/>
    <col min="12" max="12" width="16.109375" style="36" customWidth="1"/>
    <col min="13" max="15" width="17.6640625" style="36" customWidth="1"/>
    <col min="16" max="16384" width="7.109375" style="36"/>
  </cols>
  <sheetData>
    <row r="1" spans="1:15" ht="15.75">
      <c r="A1" s="88" t="s">
        <v>64</v>
      </c>
    </row>
    <row r="2" spans="1:15" ht="15.75">
      <c r="A2" s="88" t="s">
        <v>65</v>
      </c>
    </row>
    <row r="3" spans="1:15" ht="15.75">
      <c r="A3" s="88" t="s">
        <v>66</v>
      </c>
    </row>
    <row r="4" spans="1:15" ht="15.75">
      <c r="A4" s="88" t="s">
        <v>67</v>
      </c>
    </row>
    <row r="5" spans="1:15" ht="15.75">
      <c r="A5" s="88" t="s">
        <v>69</v>
      </c>
    </row>
    <row r="6" spans="1:15" ht="15.75">
      <c r="A6" s="88" t="s">
        <v>72</v>
      </c>
    </row>
    <row r="9" spans="1:15" ht="15" customHeight="1">
      <c r="A9" s="78" t="s">
        <v>25</v>
      </c>
    </row>
    <row r="10" spans="1:15" ht="15" customHeight="1">
      <c r="A10" s="79"/>
    </row>
    <row r="11" spans="1:15" ht="15" customHeight="1">
      <c r="A11" s="79"/>
    </row>
    <row r="12" spans="1:15" ht="15" customHeight="1">
      <c r="B12" s="78"/>
      <c r="H12" s="75" t="s">
        <v>51</v>
      </c>
    </row>
    <row r="13" spans="1:15" ht="15" customHeight="1">
      <c r="A13" s="78"/>
      <c r="B13" s="77" t="s">
        <v>24</v>
      </c>
      <c r="C13" s="76">
        <f>1-0.149</f>
        <v>0.85099999999999998</v>
      </c>
      <c r="D13" s="77" t="s">
        <v>23</v>
      </c>
      <c r="E13" s="76">
        <f>1+0.149</f>
        <v>1.149</v>
      </c>
      <c r="H13" s="75"/>
      <c r="L13" s="93"/>
      <c r="M13" s="93"/>
      <c r="N13" s="93"/>
      <c r="O13" s="93"/>
    </row>
    <row r="14" spans="1:15" ht="15" customHeight="1">
      <c r="B14" s="92" t="s">
        <v>50</v>
      </c>
      <c r="C14" s="92"/>
      <c r="D14" s="92"/>
      <c r="E14" s="94" t="s">
        <v>49</v>
      </c>
      <c r="F14" s="94"/>
      <c r="G14" s="95"/>
      <c r="H14" s="96" t="s">
        <v>48</v>
      </c>
      <c r="I14" s="96"/>
      <c r="J14" s="95" t="s">
        <v>47</v>
      </c>
      <c r="K14" s="95"/>
      <c r="L14" s="93"/>
      <c r="M14" s="93"/>
      <c r="N14" s="93"/>
      <c r="O14" s="93"/>
    </row>
    <row r="15" spans="1:15" ht="63">
      <c r="B15" s="74" t="s">
        <v>46</v>
      </c>
      <c r="C15" s="73" t="s">
        <v>45</v>
      </c>
      <c r="D15" s="72" t="s">
        <v>44</v>
      </c>
      <c r="E15" s="74" t="s">
        <v>46</v>
      </c>
      <c r="F15" s="73" t="s">
        <v>45</v>
      </c>
      <c r="G15" s="72" t="s">
        <v>44</v>
      </c>
      <c r="H15" s="73" t="s">
        <v>45</v>
      </c>
      <c r="I15" s="72" t="s">
        <v>44</v>
      </c>
      <c r="J15" s="73" t="s">
        <v>45</v>
      </c>
      <c r="K15" s="72" t="s">
        <v>44</v>
      </c>
      <c r="L15" s="64"/>
      <c r="M15" s="71"/>
      <c r="N15" s="71"/>
      <c r="O15" s="71"/>
    </row>
    <row r="16" spans="1:15" ht="20.25">
      <c r="A16" s="28" t="s">
        <v>2</v>
      </c>
      <c r="B16" s="70" t="s">
        <v>1</v>
      </c>
      <c r="C16" s="70" t="s">
        <v>1</v>
      </c>
      <c r="D16" s="70" t="s">
        <v>1</v>
      </c>
      <c r="E16" s="70" t="s">
        <v>1</v>
      </c>
      <c r="F16" s="70" t="s">
        <v>1</v>
      </c>
      <c r="G16" s="70" t="s">
        <v>1</v>
      </c>
      <c r="H16" s="70" t="s">
        <v>1</v>
      </c>
      <c r="I16" s="70" t="s">
        <v>1</v>
      </c>
      <c r="J16" s="70" t="s">
        <v>1</v>
      </c>
      <c r="K16" s="70" t="s">
        <v>1</v>
      </c>
      <c r="L16" s="69"/>
      <c r="M16" s="69"/>
      <c r="N16" s="69"/>
      <c r="O16" s="69"/>
    </row>
    <row r="17" spans="1:14" ht="15">
      <c r="A17" s="13">
        <v>41640</v>
      </c>
      <c r="B17" s="67">
        <f>2.3642 * CHOOSE(CONTROL!$C$22, $C$13, 100%, $E$13)</f>
        <v>2.3641999999999999</v>
      </c>
      <c r="C17" s="67">
        <f>2.3216 * CHOOSE(CONTROL!$C$22, $C$13, 100%, $E$13)</f>
        <v>2.3216000000000001</v>
      </c>
      <c r="D17" s="67">
        <f>2.3226 * CHOOSE(CONTROL!$C$22, $C$13, 100%, $E$13)</f>
        <v>2.3226</v>
      </c>
      <c r="E17" s="68">
        <f>3.382 * CHOOSE(CONTROL!$C$22, $C$13, 100%, $E$13)</f>
        <v>3.3820000000000001</v>
      </c>
      <c r="F17" s="68">
        <f>3.561 * CHOOSE(CONTROL!$C$22, $C$13, 100%, $E$13)</f>
        <v>3.5609999999999999</v>
      </c>
      <c r="G17" s="68">
        <f>3.5639 * CHOOSE(CONTROL!$C$22, $C$13, 100%, $E$13)</f>
        <v>3.5638999999999998</v>
      </c>
      <c r="H17" s="68">
        <f>5.9* CHOOSE(CONTROL!$C$22, $C$13, 100%, $E$13)</f>
        <v>5.9</v>
      </c>
      <c r="I17" s="68">
        <f>5.9029 * CHOOSE(CONTROL!$C$22, $C$13, 100%, $E$13)</f>
        <v>5.9028999999999998</v>
      </c>
      <c r="J17" s="68">
        <f>3.382 * CHOOSE(CONTROL!$C$22, $C$13, 100%, $E$13)</f>
        <v>3.3820000000000001</v>
      </c>
      <c r="K17" s="68">
        <f>3.3849 * CHOOSE(CONTROL!$C$22, $C$13, 100%, $E$13)</f>
        <v>3.3849</v>
      </c>
      <c r="L17" s="4"/>
      <c r="M17" s="68"/>
      <c r="N17" s="68"/>
    </row>
    <row r="18" spans="1:14" ht="15">
      <c r="A18" s="13">
        <v>41671</v>
      </c>
      <c r="B18" s="67">
        <f>2.3685 * CHOOSE(CONTROL!$C$22, $C$13, 100%, $E$13)</f>
        <v>2.3685</v>
      </c>
      <c r="C18" s="67">
        <f>2.329 * CHOOSE(CONTROL!$C$22, $C$13, 100%, $E$13)</f>
        <v>2.3290000000000002</v>
      </c>
      <c r="D18" s="67">
        <f>2.33 * CHOOSE(CONTROL!$C$22, $C$13, 100%, $E$13)</f>
        <v>2.33</v>
      </c>
      <c r="E18" s="68">
        <f>3.3397 * CHOOSE(CONTROL!$C$22, $C$13, 100%, $E$13)</f>
        <v>3.3397000000000001</v>
      </c>
      <c r="F18" s="68">
        <f>3.561 * CHOOSE(CONTROL!$C$22, $C$13, 100%, $E$13)</f>
        <v>3.5609999999999999</v>
      </c>
      <c r="G18" s="68">
        <f>3.5639 * CHOOSE(CONTROL!$C$22, $C$13, 100%, $E$13)</f>
        <v>3.5638999999999998</v>
      </c>
      <c r="H18" s="68">
        <f>5.9123* CHOOSE(CONTROL!$C$22, $C$13, 100%, $E$13)</f>
        <v>5.9123000000000001</v>
      </c>
      <c r="I18" s="68">
        <f>5.9151 * CHOOSE(CONTROL!$C$22, $C$13, 100%, $E$13)</f>
        <v>5.9150999999999998</v>
      </c>
      <c r="J18" s="68">
        <f>3.3397 * CHOOSE(CONTROL!$C$22, $C$13, 100%, $E$13)</f>
        <v>3.3397000000000001</v>
      </c>
      <c r="K18" s="68">
        <f>3.3425 * CHOOSE(CONTROL!$C$22, $C$13, 100%, $E$13)</f>
        <v>3.3424999999999998</v>
      </c>
      <c r="L18" s="4"/>
      <c r="M18" s="68"/>
      <c r="N18" s="68"/>
    </row>
    <row r="19" spans="1:14" ht="15">
      <c r="A19" s="13">
        <v>41699</v>
      </c>
      <c r="B19" s="67">
        <f>2.3683 * CHOOSE(CONTROL!$C$22, $C$13, 100%, $E$13)</f>
        <v>2.3683000000000001</v>
      </c>
      <c r="C19" s="67">
        <f>2.3227 * CHOOSE(CONTROL!$C$22, $C$13, 100%, $E$13)</f>
        <v>2.3227000000000002</v>
      </c>
      <c r="D19" s="67">
        <f>2.3237 * CHOOSE(CONTROL!$C$22, $C$13, 100%, $E$13)</f>
        <v>2.3237000000000001</v>
      </c>
      <c r="E19" s="68">
        <f>3.3703 * CHOOSE(CONTROL!$C$22, $C$13, 100%, $E$13)</f>
        <v>3.3702999999999999</v>
      </c>
      <c r="F19" s="68">
        <f>3.561 * CHOOSE(CONTROL!$C$22, $C$13, 100%, $E$13)</f>
        <v>3.5609999999999999</v>
      </c>
      <c r="G19" s="68">
        <f>3.5639 * CHOOSE(CONTROL!$C$22, $C$13, 100%, $E$13)</f>
        <v>3.5638999999999998</v>
      </c>
      <c r="H19" s="68">
        <f>5.9246* CHOOSE(CONTROL!$C$22, $C$13, 100%, $E$13)</f>
        <v>5.9245999999999999</v>
      </c>
      <c r="I19" s="68">
        <f>5.9275 * CHOOSE(CONTROL!$C$22, $C$13, 100%, $E$13)</f>
        <v>5.9275000000000002</v>
      </c>
      <c r="J19" s="68">
        <f>3.3703 * CHOOSE(CONTROL!$C$22, $C$13, 100%, $E$13)</f>
        <v>3.3702999999999999</v>
      </c>
      <c r="K19" s="68">
        <f>3.3732 * CHOOSE(CONTROL!$C$22, $C$13, 100%, $E$13)</f>
        <v>3.3732000000000002</v>
      </c>
      <c r="L19" s="4"/>
      <c r="M19" s="68"/>
      <c r="N19" s="68"/>
    </row>
    <row r="20" spans="1:14" ht="15">
      <c r="A20" s="13">
        <v>41730</v>
      </c>
      <c r="B20" s="67">
        <f>2.4658 * CHOOSE(CONTROL!$C$22, $C$13, 100%, $E$13)</f>
        <v>2.4658000000000002</v>
      </c>
      <c r="C20" s="67">
        <f>2.4194 * CHOOSE(CONTROL!$C$22, $C$13, 100%, $E$13)</f>
        <v>2.4194</v>
      </c>
      <c r="D20" s="67">
        <f>2.4204 * CHOOSE(CONTROL!$C$22, $C$13, 100%, $E$13)</f>
        <v>2.4203999999999999</v>
      </c>
      <c r="E20" s="68">
        <f>3.3266 * CHOOSE(CONTROL!$C$22, $C$13, 100%, $E$13)</f>
        <v>3.3266</v>
      </c>
      <c r="F20" s="68">
        <f>3.561 * CHOOSE(CONTROL!$C$22, $C$13, 100%, $E$13)</f>
        <v>3.5609999999999999</v>
      </c>
      <c r="G20" s="68">
        <f>3.5639 * CHOOSE(CONTROL!$C$22, $C$13, 100%, $E$13)</f>
        <v>3.5638999999999998</v>
      </c>
      <c r="H20" s="68">
        <f>5.937* CHOOSE(CONTROL!$C$22, $C$13, 100%, $E$13)</f>
        <v>5.9370000000000003</v>
      </c>
      <c r="I20" s="68">
        <f>5.9398 * CHOOSE(CONTROL!$C$22, $C$13, 100%, $E$13)</f>
        <v>5.9398</v>
      </c>
      <c r="J20" s="68">
        <f>3.3266 * CHOOSE(CONTROL!$C$22, $C$13, 100%, $E$13)</f>
        <v>3.3266</v>
      </c>
      <c r="K20" s="68">
        <f>3.3294 * CHOOSE(CONTROL!$C$22, $C$13, 100%, $E$13)</f>
        <v>3.3294000000000001</v>
      </c>
      <c r="L20" s="4"/>
      <c r="M20" s="68"/>
      <c r="N20" s="68"/>
    </row>
    <row r="21" spans="1:14" ht="15">
      <c r="A21" s="13">
        <v>41760</v>
      </c>
      <c r="B21" s="67">
        <f>2.4818 * CHOOSE(CONTROL!$C$22, $C$13, 100%, $E$13)</f>
        <v>2.4817999999999998</v>
      </c>
      <c r="C21" s="67">
        <f>2.4328 * CHOOSE(CONTROL!$C$22, $C$13, 100%, $E$13)</f>
        <v>2.4327999999999999</v>
      </c>
      <c r="D21" s="67">
        <f>2.4354 * CHOOSE(CONTROL!$C$22, $C$13, 100%, $E$13)</f>
        <v>2.4354</v>
      </c>
      <c r="E21" s="68">
        <f>3.2669 * CHOOSE(CONTROL!$C$22, $C$13, 100%, $E$13)</f>
        <v>3.2669000000000001</v>
      </c>
      <c r="F21" s="68">
        <f>3.282 * CHOOSE(CONTROL!$C$22, $C$13, 100%, $E$13)</f>
        <v>3.282</v>
      </c>
      <c r="G21" s="68">
        <f>3.2892 * CHOOSE(CONTROL!$C$22, $C$13, 100%, $E$13)</f>
        <v>3.2892000000000001</v>
      </c>
      <c r="H21" s="68">
        <f>5.9493* CHOOSE(CONTROL!$C$22, $C$13, 100%, $E$13)</f>
        <v>5.9493</v>
      </c>
      <c r="I21" s="68">
        <f>5.9565 * CHOOSE(CONTROL!$C$22, $C$13, 100%, $E$13)</f>
        <v>5.9565000000000001</v>
      </c>
      <c r="J21" s="68">
        <f>3.2669 * CHOOSE(CONTROL!$C$22, $C$13, 100%, $E$13)</f>
        <v>3.2669000000000001</v>
      </c>
      <c r="K21" s="68">
        <f>3.2741 * CHOOSE(CONTROL!$C$22, $C$13, 100%, $E$13)</f>
        <v>3.2740999999999998</v>
      </c>
      <c r="L21" s="4"/>
      <c r="M21" s="68"/>
      <c r="N21" s="68"/>
    </row>
    <row r="22" spans="1:14" ht="15">
      <c r="A22" s="13">
        <v>41791</v>
      </c>
      <c r="B22" s="67">
        <f>2.4881 * CHOOSE(CONTROL!$C$22, $C$13, 100%, $E$13)</f>
        <v>2.4881000000000002</v>
      </c>
      <c r="C22" s="67">
        <f>2.4485 * CHOOSE(CONTROL!$C$22, $C$13, 100%, $E$13)</f>
        <v>2.4485000000000001</v>
      </c>
      <c r="D22" s="67">
        <f>2.4511 * CHOOSE(CONTROL!$C$22, $C$13, 100%, $E$13)</f>
        <v>2.4510999999999998</v>
      </c>
      <c r="E22" s="68">
        <f>3.2472 * CHOOSE(CONTROL!$C$22, $C$13, 100%, $E$13)</f>
        <v>3.2471999999999999</v>
      </c>
      <c r="F22" s="68">
        <f>3.561 * CHOOSE(CONTROL!$C$22, $C$13, 100%, $E$13)</f>
        <v>3.5609999999999999</v>
      </c>
      <c r="G22" s="68">
        <f>3.5682 * CHOOSE(CONTROL!$C$22, $C$13, 100%, $E$13)</f>
        <v>3.5682</v>
      </c>
      <c r="H22" s="68">
        <f>5.9617* CHOOSE(CONTROL!$C$22, $C$13, 100%, $E$13)</f>
        <v>5.9617000000000004</v>
      </c>
      <c r="I22" s="68">
        <f>5.9689 * CHOOSE(CONTROL!$C$22, $C$13, 100%, $E$13)</f>
        <v>5.9688999999999997</v>
      </c>
      <c r="J22" s="68">
        <f>3.2472 * CHOOSE(CONTROL!$C$22, $C$13, 100%, $E$13)</f>
        <v>3.2471999999999999</v>
      </c>
      <c r="K22" s="68">
        <f>3.2544 * CHOOSE(CONTROL!$C$22, $C$13, 100%, $E$13)</f>
        <v>3.2544</v>
      </c>
      <c r="L22" s="4"/>
      <c r="M22" s="68"/>
      <c r="N22" s="68"/>
    </row>
    <row r="23" spans="1:14" ht="15">
      <c r="A23" s="13">
        <v>41821</v>
      </c>
      <c r="B23" s="67">
        <f>2.4092 * CHOOSE(CONTROL!$C$22, $C$13, 100%, $E$13)</f>
        <v>2.4091999999999998</v>
      </c>
      <c r="C23" s="67">
        <f>2.4023 * CHOOSE(CONTROL!$C$22, $C$13, 100%, $E$13)</f>
        <v>2.4022999999999999</v>
      </c>
      <c r="D23" s="67">
        <f>2.4049 * CHOOSE(CONTROL!$C$22, $C$13, 100%, $E$13)</f>
        <v>2.4049</v>
      </c>
      <c r="E23" s="68">
        <f>3.2484 * CHOOSE(CONTROL!$C$22, $C$13, 100%, $E$13)</f>
        <v>3.2484000000000002</v>
      </c>
      <c r="F23" s="68">
        <f>3.321 * CHOOSE(CONTROL!$C$22, $C$13, 100%, $E$13)</f>
        <v>3.3210000000000002</v>
      </c>
      <c r="G23" s="68">
        <f>3.3282 * CHOOSE(CONTROL!$C$22, $C$13, 100%, $E$13)</f>
        <v>3.3281999999999998</v>
      </c>
      <c r="H23" s="68">
        <f>5.018* CHOOSE(CONTROL!$C$22, $C$13, 100%, $E$13)</f>
        <v>5.0179999999999998</v>
      </c>
      <c r="I23" s="68">
        <f>5.0252 * CHOOSE(CONTROL!$C$22, $C$13, 100%, $E$13)</f>
        <v>5.0251999999999999</v>
      </c>
      <c r="J23" s="68">
        <f>3.2484 * CHOOSE(CONTROL!$C$22, $C$13, 100%, $E$13)</f>
        <v>3.2484000000000002</v>
      </c>
      <c r="K23" s="68">
        <f>3.2556 * CHOOSE(CONTROL!$C$22, $C$13, 100%, $E$13)</f>
        <v>3.2555999999999998</v>
      </c>
      <c r="L23" s="4"/>
      <c r="M23" s="68"/>
      <c r="N23" s="68"/>
    </row>
    <row r="24" spans="1:14" ht="15">
      <c r="A24" s="13">
        <v>41852</v>
      </c>
      <c r="B24" s="67">
        <f>2.4115 * CHOOSE(CONTROL!$C$22, $C$13, 100%, $E$13)</f>
        <v>2.4115000000000002</v>
      </c>
      <c r="C24" s="67">
        <f>2.438 * CHOOSE(CONTROL!$C$22, $C$13, 100%, $E$13)</f>
        <v>2.4380000000000002</v>
      </c>
      <c r="D24" s="67">
        <f>2.4406 * CHOOSE(CONTROL!$C$22, $C$13, 100%, $E$13)</f>
        <v>2.4405999999999999</v>
      </c>
      <c r="E24" s="68">
        <f>3.2025 * CHOOSE(CONTROL!$C$22, $C$13, 100%, $E$13)</f>
        <v>3.2025000000000001</v>
      </c>
      <c r="F24" s="68">
        <f>3.282 * CHOOSE(CONTROL!$C$22, $C$13, 100%, $E$13)</f>
        <v>3.282</v>
      </c>
      <c r="G24" s="68">
        <f>3.2892 * CHOOSE(CONTROL!$C$22, $C$13, 100%, $E$13)</f>
        <v>3.2892000000000001</v>
      </c>
      <c r="H24" s="68">
        <f>5.018* CHOOSE(CONTROL!$C$22, $C$13, 100%, $E$13)</f>
        <v>5.0179999999999998</v>
      </c>
      <c r="I24" s="68">
        <f>5.0252 * CHOOSE(CONTROL!$C$22, $C$13, 100%, $E$13)</f>
        <v>5.0251999999999999</v>
      </c>
      <c r="J24" s="68">
        <f>3.2025 * CHOOSE(CONTROL!$C$22, $C$13, 100%, $E$13)</f>
        <v>3.2025000000000001</v>
      </c>
      <c r="K24" s="68">
        <f>3.2097 * CHOOSE(CONTROL!$C$22, $C$13, 100%, $E$13)</f>
        <v>3.2097000000000002</v>
      </c>
      <c r="L24" s="4"/>
      <c r="M24" s="68"/>
      <c r="N24" s="68"/>
    </row>
    <row r="25" spans="1:14" ht="15">
      <c r="A25" s="13">
        <v>41883</v>
      </c>
      <c r="B25" s="67">
        <f>2.4098 * CHOOSE(CONTROL!$C$22, $C$13, 100%, $E$13)</f>
        <v>2.4098000000000002</v>
      </c>
      <c r="C25" s="67">
        <f>2.435 * CHOOSE(CONTROL!$C$22, $C$13, 100%, $E$13)</f>
        <v>2.4350000000000001</v>
      </c>
      <c r="D25" s="67">
        <f>2.4376 * CHOOSE(CONTROL!$C$22, $C$13, 100%, $E$13)</f>
        <v>2.4376000000000002</v>
      </c>
      <c r="E25" s="68">
        <f>3.2621 * CHOOSE(CONTROL!$C$22, $C$13, 100%, $E$13)</f>
        <v>3.2621000000000002</v>
      </c>
      <c r="F25" s="68">
        <f>3.4 * CHOOSE(CONTROL!$C$22, $C$13, 100%, $E$13)</f>
        <v>3.4</v>
      </c>
      <c r="G25" s="68">
        <f>3.4072 * CHOOSE(CONTROL!$C$22, $C$13, 100%, $E$13)</f>
        <v>3.4072</v>
      </c>
      <c r="H25" s="68">
        <f>5.018* CHOOSE(CONTROL!$C$22, $C$13, 100%, $E$13)</f>
        <v>5.0179999999999998</v>
      </c>
      <c r="I25" s="68">
        <f>5.0252 * CHOOSE(CONTROL!$C$22, $C$13, 100%, $E$13)</f>
        <v>5.0251999999999999</v>
      </c>
      <c r="J25" s="68">
        <f>3.2621 * CHOOSE(CONTROL!$C$22, $C$13, 100%, $E$13)</f>
        <v>3.2621000000000002</v>
      </c>
      <c r="K25" s="68">
        <f>3.2693 * CHOOSE(CONTROL!$C$22, $C$13, 100%, $E$13)</f>
        <v>3.2692999999999999</v>
      </c>
      <c r="L25" s="4"/>
      <c r="M25" s="68"/>
      <c r="N25" s="68"/>
    </row>
    <row r="26" spans="1:14" ht="15">
      <c r="A26" s="13">
        <v>41913</v>
      </c>
      <c r="B26" s="67">
        <f>2.4178 * CHOOSE(CONTROL!$C$22, $C$13, 100%, $E$13)</f>
        <v>2.4178000000000002</v>
      </c>
      <c r="C26" s="67">
        <f>2.4347 * CHOOSE(CONTROL!$C$22, $C$13, 100%, $E$13)</f>
        <v>2.4346999999999999</v>
      </c>
      <c r="D26" s="67">
        <f>2.4357 * CHOOSE(CONTROL!$C$22, $C$13, 100%, $E$13)</f>
        <v>2.4357000000000002</v>
      </c>
      <c r="E26" s="68">
        <f>3.2947 * CHOOSE(CONTROL!$C$22, $C$13, 100%, $E$13)</f>
        <v>3.2947000000000002</v>
      </c>
      <c r="F26" s="68">
        <f>3.561 * CHOOSE(CONTROL!$C$22, $C$13, 100%, $E$13)</f>
        <v>3.5609999999999999</v>
      </c>
      <c r="G26" s="68">
        <f>3.5639 * CHOOSE(CONTROL!$C$22, $C$13, 100%, $E$13)</f>
        <v>3.5638999999999998</v>
      </c>
      <c r="H26" s="68">
        <f>5.342* CHOOSE(CONTROL!$C$22, $C$13, 100%, $E$13)</f>
        <v>5.3419999999999996</v>
      </c>
      <c r="I26" s="68">
        <f>5.3449 * CHOOSE(CONTROL!$C$22, $C$13, 100%, $E$13)</f>
        <v>5.3449</v>
      </c>
      <c r="J26" s="68">
        <f>3.2947 * CHOOSE(CONTROL!$C$22, $C$13, 100%, $E$13)</f>
        <v>3.2947000000000002</v>
      </c>
      <c r="K26" s="68">
        <f>3.2975 * CHOOSE(CONTROL!$C$22, $C$13, 100%, $E$13)</f>
        <v>3.2974999999999999</v>
      </c>
      <c r="L26" s="4"/>
      <c r="M26" s="68"/>
      <c r="N26" s="68"/>
    </row>
    <row r="27" spans="1:14" ht="15">
      <c r="A27" s="13">
        <v>41944</v>
      </c>
      <c r="B27" s="67">
        <f>2.4171 * CHOOSE(CONTROL!$C$22, $C$13, 100%, $E$13)</f>
        <v>2.4171</v>
      </c>
      <c r="C27" s="67">
        <f>2.4431 * CHOOSE(CONTROL!$C$22, $C$13, 100%, $E$13)</f>
        <v>2.4430999999999998</v>
      </c>
      <c r="D27" s="67">
        <f>2.444 * CHOOSE(CONTROL!$C$22, $C$13, 100%, $E$13)</f>
        <v>2.444</v>
      </c>
      <c r="E27" s="68">
        <f>3.3121 * CHOOSE(CONTROL!$C$22, $C$13, 100%, $E$13)</f>
        <v>3.3121</v>
      </c>
      <c r="F27" s="68">
        <f>3.348 * CHOOSE(CONTROL!$C$22, $C$13, 100%, $E$13)</f>
        <v>3.3479999999999999</v>
      </c>
      <c r="G27" s="68">
        <f>3.3509 * CHOOSE(CONTROL!$C$22, $C$13, 100%, $E$13)</f>
        <v>3.3509000000000002</v>
      </c>
      <c r="H27" s="68">
        <f>5.342* CHOOSE(CONTROL!$C$22, $C$13, 100%, $E$13)</f>
        <v>5.3419999999999996</v>
      </c>
      <c r="I27" s="68">
        <f>5.3449 * CHOOSE(CONTROL!$C$22, $C$13, 100%, $E$13)</f>
        <v>5.3449</v>
      </c>
      <c r="J27" s="68">
        <f>3.3121 * CHOOSE(CONTROL!$C$22, $C$13, 100%, $E$13)</f>
        <v>3.3121</v>
      </c>
      <c r="K27" s="68">
        <f>3.3149 * CHOOSE(CONTROL!$C$22, $C$13, 100%, $E$13)</f>
        <v>3.3149000000000002</v>
      </c>
      <c r="L27" s="4"/>
      <c r="M27" s="68"/>
      <c r="N27" s="68"/>
    </row>
    <row r="28" spans="1:14" ht="15">
      <c r="A28" s="13">
        <v>41974</v>
      </c>
      <c r="B28" s="67">
        <f>2.4197 * CHOOSE(CONTROL!$C$22, $C$13, 100%, $E$13)</f>
        <v>2.4197000000000002</v>
      </c>
      <c r="C28" s="67">
        <f>2.4491 * CHOOSE(CONTROL!$C$22, $C$13, 100%, $E$13)</f>
        <v>2.4491000000000001</v>
      </c>
      <c r="D28" s="67">
        <f>2.4501 * CHOOSE(CONTROL!$C$22, $C$13, 100%, $E$13)</f>
        <v>2.4500999999999999</v>
      </c>
      <c r="E28" s="68">
        <f>3.3287 * CHOOSE(CONTROL!$C$22, $C$13, 100%, $E$13)</f>
        <v>3.3287</v>
      </c>
      <c r="F28" s="68">
        <f>3.385 * CHOOSE(CONTROL!$C$22, $C$13, 100%, $E$13)</f>
        <v>3.3849999999999998</v>
      </c>
      <c r="G28" s="68">
        <f>3.3879 * CHOOSE(CONTROL!$C$22, $C$13, 100%, $E$13)</f>
        <v>3.3879000000000001</v>
      </c>
      <c r="H28" s="68">
        <f>5.342* CHOOSE(CONTROL!$C$22, $C$13, 100%, $E$13)</f>
        <v>5.3419999999999996</v>
      </c>
      <c r="I28" s="68">
        <f>5.3449 * CHOOSE(CONTROL!$C$22, $C$13, 100%, $E$13)</f>
        <v>5.3449</v>
      </c>
      <c r="J28" s="68">
        <f>3.3287 * CHOOSE(CONTROL!$C$22, $C$13, 100%, $E$13)</f>
        <v>3.3287</v>
      </c>
      <c r="K28" s="68">
        <f>3.3316 * CHOOSE(CONTROL!$C$22, $C$13, 100%, $E$13)</f>
        <v>3.3315999999999999</v>
      </c>
      <c r="L28" s="4"/>
      <c r="M28" s="68"/>
      <c r="N28" s="68"/>
    </row>
    <row r="29" spans="1:14" ht="15">
      <c r="A29" s="13">
        <v>42005</v>
      </c>
      <c r="B29" s="67">
        <f>2.4907 * CHOOSE(CONTROL!$C$22, $C$13, 100%, $E$13)</f>
        <v>2.4906999999999999</v>
      </c>
      <c r="C29" s="67">
        <f>2.5129 * CHOOSE(CONTROL!$C$22, $C$13, 100%, $E$13)</f>
        <v>2.5129000000000001</v>
      </c>
      <c r="D29" s="67">
        <f>2.5139 * CHOOSE(CONTROL!$C$22, $C$13, 100%, $E$13)</f>
        <v>2.5139</v>
      </c>
      <c r="E29" s="68">
        <f>3.1876 * CHOOSE(CONTROL!$C$22, $C$13, 100%, $E$13)</f>
        <v>3.1876000000000002</v>
      </c>
      <c r="F29" s="68">
        <f>3.254 * CHOOSE(CONTROL!$C$22, $C$13, 100%, $E$13)</f>
        <v>3.254</v>
      </c>
      <c r="G29" s="68">
        <f>3.2553 * CHOOSE(CONTROL!$C$22, $C$13, 100%, $E$13)</f>
        <v>3.2553000000000001</v>
      </c>
      <c r="H29" s="68">
        <f>5.3531* CHOOSE(CONTROL!$C$22, $C$13, 100%, $E$13)</f>
        <v>5.3531000000000004</v>
      </c>
      <c r="I29" s="68">
        <f>5.3544 * CHOOSE(CONTROL!$C$22, $C$13, 100%, $E$13)</f>
        <v>5.3544</v>
      </c>
      <c r="J29" s="68">
        <f>3.1876 * CHOOSE(CONTROL!$C$22, $C$13, 100%, $E$13)</f>
        <v>3.1876000000000002</v>
      </c>
      <c r="K29" s="68">
        <f>3.1889 * CHOOSE(CONTROL!$C$22, $C$13, 100%, $E$13)</f>
        <v>3.1888999999999998</v>
      </c>
      <c r="L29" s="4"/>
      <c r="M29" s="68"/>
      <c r="N29" s="68"/>
    </row>
    <row r="30" spans="1:14" ht="15">
      <c r="A30" s="13">
        <v>42036</v>
      </c>
      <c r="B30" s="67">
        <f>2.4906 * CHOOSE(CONTROL!$C$22, $C$13, 100%, $E$13)</f>
        <v>2.4906000000000001</v>
      </c>
      <c r="C30" s="67">
        <f>2.5152 * CHOOSE(CONTROL!$C$22, $C$13, 100%, $E$13)</f>
        <v>2.5152000000000001</v>
      </c>
      <c r="D30" s="67">
        <f>2.5162 * CHOOSE(CONTROL!$C$22, $C$13, 100%, $E$13)</f>
        <v>2.5162</v>
      </c>
      <c r="E30" s="68">
        <f>3.1987 * CHOOSE(CONTROL!$C$22, $C$13, 100%, $E$13)</f>
        <v>3.1987000000000001</v>
      </c>
      <c r="F30" s="68">
        <f>3.254 * CHOOSE(CONTROL!$C$22, $C$13, 100%, $E$13)</f>
        <v>3.254</v>
      </c>
      <c r="G30" s="68">
        <f>3.2553 * CHOOSE(CONTROL!$C$22, $C$13, 100%, $E$13)</f>
        <v>3.2553000000000001</v>
      </c>
      <c r="H30" s="68">
        <f>5.3643* CHOOSE(CONTROL!$C$22, $C$13, 100%, $E$13)</f>
        <v>5.3643000000000001</v>
      </c>
      <c r="I30" s="68">
        <f>5.3656 * CHOOSE(CONTROL!$C$22, $C$13, 100%, $E$13)</f>
        <v>5.3655999999999997</v>
      </c>
      <c r="J30" s="68">
        <f>3.1987 * CHOOSE(CONTROL!$C$22, $C$13, 100%, $E$13)</f>
        <v>3.1987000000000001</v>
      </c>
      <c r="K30" s="68">
        <f>3.2 * CHOOSE(CONTROL!$C$22, $C$13, 100%, $E$13)</f>
        <v>3.2</v>
      </c>
      <c r="L30" s="4"/>
      <c r="M30" s="68"/>
      <c r="N30" s="68"/>
    </row>
    <row r="31" spans="1:14" ht="15">
      <c r="A31" s="13">
        <v>42064</v>
      </c>
      <c r="B31" s="67">
        <f>2.4913 * CHOOSE(CONTROL!$C$22, $C$13, 100%, $E$13)</f>
        <v>2.4912999999999998</v>
      </c>
      <c r="C31" s="67">
        <f>2.5122 * CHOOSE(CONTROL!$C$22, $C$13, 100%, $E$13)</f>
        <v>2.5122</v>
      </c>
      <c r="D31" s="67">
        <f>2.5132 * CHOOSE(CONTROL!$C$22, $C$13, 100%, $E$13)</f>
        <v>2.5131999999999999</v>
      </c>
      <c r="E31" s="68">
        <f>3.1433 * CHOOSE(CONTROL!$C$22, $C$13, 100%, $E$13)</f>
        <v>3.1433</v>
      </c>
      <c r="F31" s="68">
        <f>3.254 * CHOOSE(CONTROL!$C$22, $C$13, 100%, $E$13)</f>
        <v>3.254</v>
      </c>
      <c r="G31" s="68">
        <f>3.2553 * CHOOSE(CONTROL!$C$22, $C$13, 100%, $E$13)</f>
        <v>3.2553000000000001</v>
      </c>
      <c r="H31" s="68">
        <f>5.3755* CHOOSE(CONTROL!$C$22, $C$13, 100%, $E$13)</f>
        <v>5.3754999999999997</v>
      </c>
      <c r="I31" s="68">
        <f>5.3767 * CHOOSE(CONTROL!$C$22, $C$13, 100%, $E$13)</f>
        <v>5.3766999999999996</v>
      </c>
      <c r="J31" s="68">
        <f>3.1433 * CHOOSE(CONTROL!$C$22, $C$13, 100%, $E$13)</f>
        <v>3.1433</v>
      </c>
      <c r="K31" s="68">
        <f>3.1446 * CHOOSE(CONTROL!$C$22, $C$13, 100%, $E$13)</f>
        <v>3.1446000000000001</v>
      </c>
      <c r="L31" s="4"/>
      <c r="M31" s="68"/>
      <c r="N31" s="68"/>
    </row>
    <row r="32" spans="1:14" ht="15">
      <c r="A32" s="13">
        <v>42095</v>
      </c>
      <c r="B32" s="67">
        <f>2.489 * CHOOSE(CONTROL!$C$22, $C$13, 100%, $E$13)</f>
        <v>2.4889999999999999</v>
      </c>
      <c r="C32" s="67">
        <f>2.5091 * CHOOSE(CONTROL!$C$22, $C$13, 100%, $E$13)</f>
        <v>2.5091000000000001</v>
      </c>
      <c r="D32" s="67">
        <f>2.5101 * CHOOSE(CONTROL!$C$22, $C$13, 100%, $E$13)</f>
        <v>2.5101</v>
      </c>
      <c r="E32" s="68">
        <f>3.186 * CHOOSE(CONTROL!$C$22, $C$13, 100%, $E$13)</f>
        <v>3.1859999999999999</v>
      </c>
      <c r="F32" s="68">
        <f>3.254 * CHOOSE(CONTROL!$C$22, $C$13, 100%, $E$13)</f>
        <v>3.254</v>
      </c>
      <c r="G32" s="68">
        <f>3.2553 * CHOOSE(CONTROL!$C$22, $C$13, 100%, $E$13)</f>
        <v>3.2553000000000001</v>
      </c>
      <c r="H32" s="68">
        <f>5.3867* CHOOSE(CONTROL!$C$22, $C$13, 100%, $E$13)</f>
        <v>5.3867000000000003</v>
      </c>
      <c r="I32" s="68">
        <f>5.3879 * CHOOSE(CONTROL!$C$22, $C$13, 100%, $E$13)</f>
        <v>5.3879000000000001</v>
      </c>
      <c r="J32" s="68">
        <f>3.186 * CHOOSE(CONTROL!$C$22, $C$13, 100%, $E$13)</f>
        <v>3.1859999999999999</v>
      </c>
      <c r="K32" s="68">
        <f>3.1873 * CHOOSE(CONTROL!$C$22, $C$13, 100%, $E$13)</f>
        <v>3.1873</v>
      </c>
      <c r="L32" s="4"/>
      <c r="M32" s="68"/>
      <c r="N32" s="68"/>
    </row>
    <row r="33" spans="1:14" ht="15">
      <c r="A33" s="13">
        <v>42125</v>
      </c>
      <c r="B33" s="67">
        <f>2.4919 * CHOOSE(CONTROL!$C$22, $C$13, 100%, $E$13)</f>
        <v>2.4918999999999998</v>
      </c>
      <c r="C33" s="67">
        <f>2.5114 * CHOOSE(CONTROL!$C$22, $C$13, 100%, $E$13)</f>
        <v>2.5114000000000001</v>
      </c>
      <c r="D33" s="67">
        <f>2.514 * CHOOSE(CONTROL!$C$22, $C$13, 100%, $E$13)</f>
        <v>2.5139999999999998</v>
      </c>
      <c r="E33" s="68">
        <f>3.186 * CHOOSE(CONTROL!$C$22, $C$13, 100%, $E$13)</f>
        <v>3.1859999999999999</v>
      </c>
      <c r="F33" s="68">
        <f>3.254 * CHOOSE(CONTROL!$C$22, $C$13, 100%, $E$13)</f>
        <v>3.254</v>
      </c>
      <c r="G33" s="68">
        <f>3.2573 * CHOOSE(CONTROL!$C$22, $C$13, 100%, $E$13)</f>
        <v>3.2572999999999999</v>
      </c>
      <c r="H33" s="68">
        <f>5.3979* CHOOSE(CONTROL!$C$22, $C$13, 100%, $E$13)</f>
        <v>5.3978999999999999</v>
      </c>
      <c r="I33" s="68">
        <f>5.4011 * CHOOSE(CONTROL!$C$22, $C$13, 100%, $E$13)</f>
        <v>5.4010999999999996</v>
      </c>
      <c r="J33" s="68">
        <f>3.186 * CHOOSE(CONTROL!$C$22, $C$13, 100%, $E$13)</f>
        <v>3.1859999999999999</v>
      </c>
      <c r="K33" s="68">
        <f>3.1893 * CHOOSE(CONTROL!$C$22, $C$13, 100%, $E$13)</f>
        <v>3.1892999999999998</v>
      </c>
      <c r="L33" s="4"/>
      <c r="M33" s="68"/>
      <c r="N33" s="68"/>
    </row>
    <row r="34" spans="1:14" ht="15">
      <c r="A34" s="13">
        <v>42156</v>
      </c>
      <c r="B34" s="67">
        <f>2.4945 * CHOOSE(CONTROL!$C$22, $C$13, 100%, $E$13)</f>
        <v>2.4944999999999999</v>
      </c>
      <c r="C34" s="67">
        <f>2.5175 * CHOOSE(CONTROL!$C$22, $C$13, 100%, $E$13)</f>
        <v>2.5175000000000001</v>
      </c>
      <c r="D34" s="67">
        <f>2.5201 * CHOOSE(CONTROL!$C$22, $C$13, 100%, $E$13)</f>
        <v>2.5200999999999998</v>
      </c>
      <c r="E34" s="68">
        <f>3.2268 * CHOOSE(CONTROL!$C$22, $C$13, 100%, $E$13)</f>
        <v>3.2267999999999999</v>
      </c>
      <c r="F34" s="68">
        <f>3.254 * CHOOSE(CONTROL!$C$22, $C$13, 100%, $E$13)</f>
        <v>3.254</v>
      </c>
      <c r="G34" s="68">
        <f>3.2573 * CHOOSE(CONTROL!$C$22, $C$13, 100%, $E$13)</f>
        <v>3.2572999999999999</v>
      </c>
      <c r="H34" s="68">
        <f>5.4091* CHOOSE(CONTROL!$C$22, $C$13, 100%, $E$13)</f>
        <v>5.4090999999999996</v>
      </c>
      <c r="I34" s="68">
        <f>5.4124 * CHOOSE(CONTROL!$C$22, $C$13, 100%, $E$13)</f>
        <v>5.4123999999999999</v>
      </c>
      <c r="J34" s="68">
        <f>3.2268 * CHOOSE(CONTROL!$C$22, $C$13, 100%, $E$13)</f>
        <v>3.2267999999999999</v>
      </c>
      <c r="K34" s="68">
        <f>3.2301 * CHOOSE(CONTROL!$C$22, $C$13, 100%, $E$13)</f>
        <v>3.2301000000000002</v>
      </c>
      <c r="L34" s="4"/>
      <c r="M34" s="68"/>
      <c r="N34" s="68"/>
    </row>
    <row r="35" spans="1:14" ht="15">
      <c r="A35" s="13">
        <v>42186</v>
      </c>
      <c r="B35" s="67">
        <f>2.5054 * CHOOSE(CONTROL!$C$22, $C$13, 100%, $E$13)</f>
        <v>2.5053999999999998</v>
      </c>
      <c r="C35" s="67">
        <f>2.5357 * CHOOSE(CONTROL!$C$22, $C$13, 100%, $E$13)</f>
        <v>2.5356999999999998</v>
      </c>
      <c r="D35" s="67">
        <f>2.5383 * CHOOSE(CONTROL!$C$22, $C$13, 100%, $E$13)</f>
        <v>2.5383</v>
      </c>
      <c r="E35" s="68">
        <f>3.2136 * CHOOSE(CONTROL!$C$22, $C$13, 100%, $E$13)</f>
        <v>3.2136</v>
      </c>
      <c r="F35" s="68">
        <f>3.254 * CHOOSE(CONTROL!$C$22, $C$13, 100%, $E$13)</f>
        <v>3.254</v>
      </c>
      <c r="G35" s="68">
        <f>3.2573 * CHOOSE(CONTROL!$C$22, $C$13, 100%, $E$13)</f>
        <v>3.2572999999999999</v>
      </c>
      <c r="H35" s="68">
        <f>5.4204* CHOOSE(CONTROL!$C$22, $C$13, 100%, $E$13)</f>
        <v>5.4203999999999999</v>
      </c>
      <c r="I35" s="68">
        <f>5.4236 * CHOOSE(CONTROL!$C$22, $C$13, 100%, $E$13)</f>
        <v>5.4236000000000004</v>
      </c>
      <c r="J35" s="68">
        <f>3.2136 * CHOOSE(CONTROL!$C$22, $C$13, 100%, $E$13)</f>
        <v>3.2136</v>
      </c>
      <c r="K35" s="68">
        <f>3.2169 * CHOOSE(CONTROL!$C$22, $C$13, 100%, $E$13)</f>
        <v>3.2168999999999999</v>
      </c>
      <c r="L35" s="4"/>
      <c r="M35" s="68"/>
      <c r="N35" s="68"/>
    </row>
    <row r="36" spans="1:14" ht="15">
      <c r="A36" s="13">
        <v>42217</v>
      </c>
      <c r="B36" s="67">
        <f>2.5144 * CHOOSE(CONTROL!$C$22, $C$13, 100%, $E$13)</f>
        <v>2.5144000000000002</v>
      </c>
      <c r="C36" s="67">
        <f>2.5502 * CHOOSE(CONTROL!$C$22, $C$13, 100%, $E$13)</f>
        <v>2.5501999999999998</v>
      </c>
      <c r="D36" s="67">
        <f>2.5528 * CHOOSE(CONTROL!$C$22, $C$13, 100%, $E$13)</f>
        <v>2.5528</v>
      </c>
      <c r="E36" s="68">
        <f>3.2338 * CHOOSE(CONTROL!$C$22, $C$13, 100%, $E$13)</f>
        <v>3.2338</v>
      </c>
      <c r="F36" s="68">
        <f>3.254 * CHOOSE(CONTROL!$C$22, $C$13, 100%, $E$13)</f>
        <v>3.254</v>
      </c>
      <c r="G36" s="68">
        <f>3.2573 * CHOOSE(CONTROL!$C$22, $C$13, 100%, $E$13)</f>
        <v>3.2572999999999999</v>
      </c>
      <c r="H36" s="68">
        <f>5.4317* CHOOSE(CONTROL!$C$22, $C$13, 100%, $E$13)</f>
        <v>5.4317000000000002</v>
      </c>
      <c r="I36" s="68">
        <f>5.4349 * CHOOSE(CONTROL!$C$22, $C$13, 100%, $E$13)</f>
        <v>5.4348999999999998</v>
      </c>
      <c r="J36" s="68">
        <f>3.2338 * CHOOSE(CONTROL!$C$22, $C$13, 100%, $E$13)</f>
        <v>3.2338</v>
      </c>
      <c r="K36" s="68">
        <f>3.2371 * CHOOSE(CONTROL!$C$22, $C$13, 100%, $E$13)</f>
        <v>3.2370999999999999</v>
      </c>
      <c r="L36" s="4"/>
      <c r="M36" s="68"/>
      <c r="N36" s="68"/>
    </row>
    <row r="37" spans="1:14" ht="15">
      <c r="A37" s="13">
        <v>42248</v>
      </c>
      <c r="B37" s="67">
        <f>2.5116 * CHOOSE(CONTROL!$C$22, $C$13, 100%, $E$13)</f>
        <v>2.5116000000000001</v>
      </c>
      <c r="C37" s="67">
        <f>2.5471 * CHOOSE(CONTROL!$C$22, $C$13, 100%, $E$13)</f>
        <v>2.5470999999999999</v>
      </c>
      <c r="D37" s="67">
        <f>2.5497 * CHOOSE(CONTROL!$C$22, $C$13, 100%, $E$13)</f>
        <v>2.5497000000000001</v>
      </c>
      <c r="E37" s="68">
        <f>3.2287 * CHOOSE(CONTROL!$C$22, $C$13, 100%, $E$13)</f>
        <v>3.2286999999999999</v>
      </c>
      <c r="F37" s="68">
        <f>3.254 * CHOOSE(CONTROL!$C$22, $C$13, 100%, $E$13)</f>
        <v>3.254</v>
      </c>
      <c r="G37" s="68">
        <f>3.2573 * CHOOSE(CONTROL!$C$22, $C$13, 100%, $E$13)</f>
        <v>3.2572999999999999</v>
      </c>
      <c r="H37" s="68">
        <f>5.443* CHOOSE(CONTROL!$C$22, $C$13, 100%, $E$13)</f>
        <v>5.4429999999999996</v>
      </c>
      <c r="I37" s="68">
        <f>5.4463 * CHOOSE(CONTROL!$C$22, $C$13, 100%, $E$13)</f>
        <v>5.4462999999999999</v>
      </c>
      <c r="J37" s="68">
        <f>3.2287 * CHOOSE(CONTROL!$C$22, $C$13, 100%, $E$13)</f>
        <v>3.2286999999999999</v>
      </c>
      <c r="K37" s="68">
        <f>3.232 * CHOOSE(CONTROL!$C$22, $C$13, 100%, $E$13)</f>
        <v>3.2320000000000002</v>
      </c>
      <c r="L37" s="4"/>
      <c r="M37" s="68"/>
      <c r="N37" s="68"/>
    </row>
    <row r="38" spans="1:14" ht="15">
      <c r="A38" s="13">
        <v>42278</v>
      </c>
      <c r="B38" s="67">
        <f>2.5077 * CHOOSE(CONTROL!$C$22, $C$13, 100%, $E$13)</f>
        <v>2.5076999999999998</v>
      </c>
      <c r="C38" s="67">
        <f>2.538 * CHOOSE(CONTROL!$C$22, $C$13, 100%, $E$13)</f>
        <v>2.5379999999999998</v>
      </c>
      <c r="D38" s="67">
        <f>2.539 * CHOOSE(CONTROL!$C$22, $C$13, 100%, $E$13)</f>
        <v>2.5390000000000001</v>
      </c>
      <c r="E38" s="68">
        <f>3.2365 * CHOOSE(CONTROL!$C$22, $C$13, 100%, $E$13)</f>
        <v>3.2364999999999999</v>
      </c>
      <c r="F38" s="68">
        <f>3.254 * CHOOSE(CONTROL!$C$22, $C$13, 100%, $E$13)</f>
        <v>3.254</v>
      </c>
      <c r="G38" s="68">
        <f>3.2553 * CHOOSE(CONTROL!$C$22, $C$13, 100%, $E$13)</f>
        <v>3.2553000000000001</v>
      </c>
      <c r="H38" s="68">
        <f>5.4543* CHOOSE(CONTROL!$C$22, $C$13, 100%, $E$13)</f>
        <v>5.4542999999999999</v>
      </c>
      <c r="I38" s="68">
        <f>5.4556 * CHOOSE(CONTROL!$C$22, $C$13, 100%, $E$13)</f>
        <v>5.4555999999999996</v>
      </c>
      <c r="J38" s="68">
        <f>3.2365 * CHOOSE(CONTROL!$C$22, $C$13, 100%, $E$13)</f>
        <v>3.2364999999999999</v>
      </c>
      <c r="K38" s="68">
        <f>3.2378 * CHOOSE(CONTROL!$C$22, $C$13, 100%, $E$13)</f>
        <v>3.2378</v>
      </c>
      <c r="L38" s="4"/>
      <c r="M38" s="68"/>
      <c r="N38" s="68"/>
    </row>
    <row r="39" spans="1:14" ht="15">
      <c r="A39" s="13">
        <v>42309</v>
      </c>
      <c r="B39" s="67">
        <f>2.5106 * CHOOSE(CONTROL!$C$22, $C$13, 100%, $E$13)</f>
        <v>2.5106000000000002</v>
      </c>
      <c r="C39" s="67">
        <f>2.5433 * CHOOSE(CONTROL!$C$22, $C$13, 100%, $E$13)</f>
        <v>2.5432999999999999</v>
      </c>
      <c r="D39" s="67">
        <f>2.5443 * CHOOSE(CONTROL!$C$22, $C$13, 100%, $E$13)</f>
        <v>2.5442999999999998</v>
      </c>
      <c r="E39" s="68">
        <f>3.2365 * CHOOSE(CONTROL!$C$22, $C$13, 100%, $E$13)</f>
        <v>3.2364999999999999</v>
      </c>
      <c r="F39" s="68">
        <f>3.254 * CHOOSE(CONTROL!$C$22, $C$13, 100%, $E$13)</f>
        <v>3.254</v>
      </c>
      <c r="G39" s="68">
        <f>3.2553 * CHOOSE(CONTROL!$C$22, $C$13, 100%, $E$13)</f>
        <v>3.2553000000000001</v>
      </c>
      <c r="H39" s="68">
        <f>5.4657* CHOOSE(CONTROL!$C$22, $C$13, 100%, $E$13)</f>
        <v>5.4657</v>
      </c>
      <c r="I39" s="68">
        <f>5.467 * CHOOSE(CONTROL!$C$22, $C$13, 100%, $E$13)</f>
        <v>5.4669999999999996</v>
      </c>
      <c r="J39" s="68">
        <f>3.2365 * CHOOSE(CONTROL!$C$22, $C$13, 100%, $E$13)</f>
        <v>3.2364999999999999</v>
      </c>
      <c r="K39" s="68">
        <f>3.2378 * CHOOSE(CONTROL!$C$22, $C$13, 100%, $E$13)</f>
        <v>3.2378</v>
      </c>
      <c r="L39" s="4"/>
      <c r="M39" s="68"/>
      <c r="N39" s="68"/>
    </row>
    <row r="40" spans="1:14" ht="15">
      <c r="A40" s="13">
        <v>42339</v>
      </c>
      <c r="B40" s="67">
        <f>2.5133 * CHOOSE(CONTROL!$C$22, $C$13, 100%, $E$13)</f>
        <v>2.5133000000000001</v>
      </c>
      <c r="C40" s="67">
        <f>2.5463 * CHOOSE(CONTROL!$C$22, $C$13, 100%, $E$13)</f>
        <v>2.5463</v>
      </c>
      <c r="D40" s="67">
        <f>2.5473 * CHOOSE(CONTROL!$C$22, $C$13, 100%, $E$13)</f>
        <v>2.5472999999999999</v>
      </c>
      <c r="E40" s="68">
        <f>3.2307 * CHOOSE(CONTROL!$C$22, $C$13, 100%, $E$13)</f>
        <v>3.2307000000000001</v>
      </c>
      <c r="F40" s="68">
        <f>3.254 * CHOOSE(CONTROL!$C$22, $C$13, 100%, $E$13)</f>
        <v>3.254</v>
      </c>
      <c r="G40" s="68">
        <f>3.2553 * CHOOSE(CONTROL!$C$22, $C$13, 100%, $E$13)</f>
        <v>3.2553000000000001</v>
      </c>
      <c r="H40" s="68">
        <f>5.4771* CHOOSE(CONTROL!$C$22, $C$13, 100%, $E$13)</f>
        <v>5.4771000000000001</v>
      </c>
      <c r="I40" s="68">
        <f>5.4784 * CHOOSE(CONTROL!$C$22, $C$13, 100%, $E$13)</f>
        <v>5.4783999999999997</v>
      </c>
      <c r="J40" s="68">
        <f>3.2307 * CHOOSE(CONTROL!$C$22, $C$13, 100%, $E$13)</f>
        <v>3.2307000000000001</v>
      </c>
      <c r="K40" s="68">
        <f>3.232 * CHOOSE(CONTROL!$C$22, $C$13, 100%, $E$13)</f>
        <v>3.2320000000000002</v>
      </c>
      <c r="L40" s="4"/>
      <c r="M40" s="68"/>
      <c r="N40" s="68"/>
    </row>
    <row r="41" spans="1:14" ht="15">
      <c r="A41" s="13">
        <v>42370</v>
      </c>
      <c r="B41" s="67">
        <f>2.8414 * CHOOSE(CONTROL!$C$22, $C$13, 100%, $E$13)</f>
        <v>2.8414000000000001</v>
      </c>
      <c r="C41" s="67">
        <f>2.8414 * CHOOSE(CONTROL!$C$22, $C$13, 100%, $E$13)</f>
        <v>2.8414000000000001</v>
      </c>
      <c r="D41" s="67">
        <f>2.8424 * CHOOSE(CONTROL!$C$22, $C$13, 100%, $E$13)</f>
        <v>2.8424</v>
      </c>
      <c r="E41" s="68">
        <f>3.358 * CHOOSE(CONTROL!$C$22, $C$13, 100%, $E$13)</f>
        <v>3.3580000000000001</v>
      </c>
      <c r="F41" s="68">
        <f>3.446 * CHOOSE(CONTROL!$C$22, $C$13, 100%, $E$13)</f>
        <v>3.4460000000000002</v>
      </c>
      <c r="G41" s="68">
        <f>3.4473 * CHOOSE(CONTROL!$C$22, $C$13, 100%, $E$13)</f>
        <v>3.4472999999999998</v>
      </c>
      <c r="H41" s="68">
        <f>5.4885* CHOOSE(CONTROL!$C$22, $C$13, 100%, $E$13)</f>
        <v>5.4885000000000002</v>
      </c>
      <c r="I41" s="68">
        <f>5.4898 * CHOOSE(CONTROL!$C$22, $C$13, 100%, $E$13)</f>
        <v>5.4897999999999998</v>
      </c>
      <c r="J41" s="68">
        <f>3.358 * CHOOSE(CONTROL!$C$22, $C$13, 100%, $E$13)</f>
        <v>3.3580000000000001</v>
      </c>
      <c r="K41" s="68">
        <f>3.3593 * CHOOSE(CONTROL!$C$22, $C$13, 100%, $E$13)</f>
        <v>3.3593000000000002</v>
      </c>
      <c r="L41" s="4"/>
      <c r="M41" s="68"/>
      <c r="N41" s="68"/>
    </row>
    <row r="42" spans="1:14" ht="15">
      <c r="A42" s="13">
        <v>42401</v>
      </c>
      <c r="B42" s="67">
        <f>2.8414 * CHOOSE(CONTROL!$C$22, $C$13, 100%, $E$13)</f>
        <v>2.8414000000000001</v>
      </c>
      <c r="C42" s="67">
        <f>2.8414 * CHOOSE(CONTROL!$C$22, $C$13, 100%, $E$13)</f>
        <v>2.8414000000000001</v>
      </c>
      <c r="D42" s="67">
        <f>2.8424 * CHOOSE(CONTROL!$C$22, $C$13, 100%, $E$13)</f>
        <v>2.8424</v>
      </c>
      <c r="E42" s="68">
        <f>3.402 * CHOOSE(CONTROL!$C$22, $C$13, 100%, $E$13)</f>
        <v>3.4020000000000001</v>
      </c>
      <c r="F42" s="68">
        <f>3.446 * CHOOSE(CONTROL!$C$22, $C$13, 100%, $E$13)</f>
        <v>3.4460000000000002</v>
      </c>
      <c r="G42" s="68">
        <f>3.4473 * CHOOSE(CONTROL!$C$22, $C$13, 100%, $E$13)</f>
        <v>3.4472999999999998</v>
      </c>
      <c r="H42" s="68">
        <f>5.4999* CHOOSE(CONTROL!$C$22, $C$13, 100%, $E$13)</f>
        <v>5.4999000000000002</v>
      </c>
      <c r="I42" s="68">
        <f>5.5012 * CHOOSE(CONTROL!$C$22, $C$13, 100%, $E$13)</f>
        <v>5.5011999999999999</v>
      </c>
      <c r="J42" s="68">
        <f>3.402 * CHOOSE(CONTROL!$C$22, $C$13, 100%, $E$13)</f>
        <v>3.4020000000000001</v>
      </c>
      <c r="K42" s="68">
        <f>3.4033 * CHOOSE(CONTROL!$C$22, $C$13, 100%, $E$13)</f>
        <v>3.4033000000000002</v>
      </c>
      <c r="L42" s="4"/>
      <c r="M42" s="68"/>
      <c r="N42" s="68"/>
    </row>
    <row r="43" spans="1:14" ht="15">
      <c r="A43" s="13">
        <v>42430</v>
      </c>
      <c r="B43" s="67">
        <f>2.8384 * CHOOSE(CONTROL!$C$22, $C$13, 100%, $E$13)</f>
        <v>2.8384</v>
      </c>
      <c r="C43" s="67">
        <f>2.8384 * CHOOSE(CONTROL!$C$22, $C$13, 100%, $E$13)</f>
        <v>2.8384</v>
      </c>
      <c r="D43" s="67">
        <f>2.8393 * CHOOSE(CONTROL!$C$22, $C$13, 100%, $E$13)</f>
        <v>2.8393000000000002</v>
      </c>
      <c r="E43" s="68">
        <f>3.358 * CHOOSE(CONTROL!$C$22, $C$13, 100%, $E$13)</f>
        <v>3.3580000000000001</v>
      </c>
      <c r="F43" s="68">
        <f>3.446 * CHOOSE(CONTROL!$C$22, $C$13, 100%, $E$13)</f>
        <v>3.4460000000000002</v>
      </c>
      <c r="G43" s="68">
        <f>3.4473 * CHOOSE(CONTROL!$C$22, $C$13, 100%, $E$13)</f>
        <v>3.4472999999999998</v>
      </c>
      <c r="H43" s="68">
        <f>5.5114* CHOOSE(CONTROL!$C$22, $C$13, 100%, $E$13)</f>
        <v>5.5114000000000001</v>
      </c>
      <c r="I43" s="68">
        <f>5.5127 * CHOOSE(CONTROL!$C$22, $C$13, 100%, $E$13)</f>
        <v>5.5126999999999997</v>
      </c>
      <c r="J43" s="68">
        <f>3.358 * CHOOSE(CONTROL!$C$22, $C$13, 100%, $E$13)</f>
        <v>3.3580000000000001</v>
      </c>
      <c r="K43" s="68">
        <f>3.3593 * CHOOSE(CONTROL!$C$22, $C$13, 100%, $E$13)</f>
        <v>3.3593000000000002</v>
      </c>
      <c r="L43" s="4"/>
      <c r="M43" s="68"/>
      <c r="N43" s="68"/>
    </row>
    <row r="44" spans="1:14" ht="15">
      <c r="A44" s="13">
        <v>42461</v>
      </c>
      <c r="B44" s="67">
        <f>2.8276 * CHOOSE(CONTROL!$C$22, $C$13, 100%, $E$13)</f>
        <v>2.8275999999999999</v>
      </c>
      <c r="C44" s="67">
        <f>2.8276 * CHOOSE(CONTROL!$C$22, $C$13, 100%, $E$13)</f>
        <v>2.8275999999999999</v>
      </c>
      <c r="D44" s="67">
        <f>2.8286 * CHOOSE(CONTROL!$C$22, $C$13, 100%, $E$13)</f>
        <v>2.8285999999999998</v>
      </c>
      <c r="E44" s="68">
        <f>3.402 * CHOOSE(CONTROL!$C$22, $C$13, 100%, $E$13)</f>
        <v>3.4020000000000001</v>
      </c>
      <c r="F44" s="68">
        <f>3.446 * CHOOSE(CONTROL!$C$22, $C$13, 100%, $E$13)</f>
        <v>3.4460000000000002</v>
      </c>
      <c r="G44" s="68">
        <f>3.4473 * CHOOSE(CONTROL!$C$22, $C$13, 100%, $E$13)</f>
        <v>3.4472999999999998</v>
      </c>
      <c r="H44" s="68">
        <f>5.5229* CHOOSE(CONTROL!$C$22, $C$13, 100%, $E$13)</f>
        <v>5.5228999999999999</v>
      </c>
      <c r="I44" s="68">
        <f>5.5242 * CHOOSE(CONTROL!$C$22, $C$13, 100%, $E$13)</f>
        <v>5.5242000000000004</v>
      </c>
      <c r="J44" s="68">
        <f>3.402 * CHOOSE(CONTROL!$C$22, $C$13, 100%, $E$13)</f>
        <v>3.4020000000000001</v>
      </c>
      <c r="K44" s="68">
        <f>3.4033 * CHOOSE(CONTROL!$C$22, $C$13, 100%, $E$13)</f>
        <v>3.4033000000000002</v>
      </c>
      <c r="L44" s="4"/>
      <c r="M44" s="68"/>
      <c r="N44" s="68"/>
    </row>
    <row r="45" spans="1:14" ht="15">
      <c r="A45" s="13">
        <v>42491</v>
      </c>
      <c r="B45" s="67">
        <f>2.8307 * CHOOSE(CONTROL!$C$22, $C$13, 100%, $E$13)</f>
        <v>2.8307000000000002</v>
      </c>
      <c r="C45" s="67">
        <f>2.8307 * CHOOSE(CONTROL!$C$22, $C$13, 100%, $E$13)</f>
        <v>2.8307000000000002</v>
      </c>
      <c r="D45" s="67">
        <f>2.8333 * CHOOSE(CONTROL!$C$22, $C$13, 100%, $E$13)</f>
        <v>2.8332999999999999</v>
      </c>
      <c r="E45" s="68">
        <f>3.358 * CHOOSE(CONTROL!$C$22, $C$13, 100%, $E$13)</f>
        <v>3.3580000000000001</v>
      </c>
      <c r="F45" s="68">
        <f>3.446 * CHOOSE(CONTROL!$C$22, $C$13, 100%, $E$13)</f>
        <v>3.4460000000000002</v>
      </c>
      <c r="G45" s="68">
        <f>3.4493 * CHOOSE(CONTROL!$C$22, $C$13, 100%, $E$13)</f>
        <v>3.4493</v>
      </c>
      <c r="H45" s="68">
        <f>5.5344* CHOOSE(CONTROL!$C$22, $C$13, 100%, $E$13)</f>
        <v>5.5343999999999998</v>
      </c>
      <c r="I45" s="68">
        <f>5.5376 * CHOOSE(CONTROL!$C$22, $C$13, 100%, $E$13)</f>
        <v>5.5376000000000003</v>
      </c>
      <c r="J45" s="68">
        <f>3.358 * CHOOSE(CONTROL!$C$22, $C$13, 100%, $E$13)</f>
        <v>3.3580000000000001</v>
      </c>
      <c r="K45" s="68">
        <f>3.3613 * CHOOSE(CONTROL!$C$22, $C$13, 100%, $E$13)</f>
        <v>3.3613</v>
      </c>
      <c r="L45" s="4"/>
      <c r="M45" s="68"/>
      <c r="N45" s="68"/>
    </row>
    <row r="46" spans="1:14" ht="15">
      <c r="A46" s="13">
        <v>42522</v>
      </c>
      <c r="B46" s="67">
        <f>2.8398 * CHOOSE(CONTROL!$C$22, $C$13, 100%, $E$13)</f>
        <v>2.8397999999999999</v>
      </c>
      <c r="C46" s="67">
        <f>2.8398 * CHOOSE(CONTROL!$C$22, $C$13, 100%, $E$13)</f>
        <v>2.8397999999999999</v>
      </c>
      <c r="D46" s="67">
        <f>2.8424 * CHOOSE(CONTROL!$C$22, $C$13, 100%, $E$13)</f>
        <v>2.8424</v>
      </c>
      <c r="E46" s="68">
        <f>3.402 * CHOOSE(CONTROL!$C$22, $C$13, 100%, $E$13)</f>
        <v>3.4020000000000001</v>
      </c>
      <c r="F46" s="68">
        <f>3.446 * CHOOSE(CONTROL!$C$22, $C$13, 100%, $E$13)</f>
        <v>3.4460000000000002</v>
      </c>
      <c r="G46" s="68">
        <f>3.4493 * CHOOSE(CONTROL!$C$22, $C$13, 100%, $E$13)</f>
        <v>3.4493</v>
      </c>
      <c r="H46" s="68">
        <f>5.5459* CHOOSE(CONTROL!$C$22, $C$13, 100%, $E$13)</f>
        <v>5.5458999999999996</v>
      </c>
      <c r="I46" s="68">
        <f>5.5492 * CHOOSE(CONTROL!$C$22, $C$13, 100%, $E$13)</f>
        <v>5.5491999999999999</v>
      </c>
      <c r="J46" s="68">
        <f>3.402 * CHOOSE(CONTROL!$C$22, $C$13, 100%, $E$13)</f>
        <v>3.4020000000000001</v>
      </c>
      <c r="K46" s="68">
        <f>3.4053 * CHOOSE(CONTROL!$C$22, $C$13, 100%, $E$13)</f>
        <v>3.4053</v>
      </c>
      <c r="L46" s="4"/>
      <c r="M46" s="68"/>
      <c r="N46" s="68"/>
    </row>
    <row r="47" spans="1:14" ht="15">
      <c r="A47" s="13">
        <v>42552</v>
      </c>
      <c r="B47" s="67">
        <f>2.8772 * CHOOSE(CONTROL!$C$22, $C$13, 100%, $E$13)</f>
        <v>2.8772000000000002</v>
      </c>
      <c r="C47" s="67">
        <f>2.8772 * CHOOSE(CONTROL!$C$22, $C$13, 100%, $E$13)</f>
        <v>2.8772000000000002</v>
      </c>
      <c r="D47" s="67">
        <f>2.8798 * CHOOSE(CONTROL!$C$22, $C$13, 100%, $E$13)</f>
        <v>2.8797999999999999</v>
      </c>
      <c r="E47" s="68">
        <f>3.3756 * CHOOSE(CONTROL!$C$22, $C$13, 100%, $E$13)</f>
        <v>3.3755999999999999</v>
      </c>
      <c r="F47" s="68">
        <f>3.446 * CHOOSE(CONTROL!$C$22, $C$13, 100%, $E$13)</f>
        <v>3.4460000000000002</v>
      </c>
      <c r="G47" s="68">
        <f>3.4493 * CHOOSE(CONTROL!$C$22, $C$13, 100%, $E$13)</f>
        <v>3.4493</v>
      </c>
      <c r="H47" s="68">
        <f>5.5575* CHOOSE(CONTROL!$C$22, $C$13, 100%, $E$13)</f>
        <v>5.5575000000000001</v>
      </c>
      <c r="I47" s="68">
        <f>5.5607 * CHOOSE(CONTROL!$C$22, $C$13, 100%, $E$13)</f>
        <v>5.5606999999999998</v>
      </c>
      <c r="J47" s="68">
        <f>3.3756 * CHOOSE(CONTROL!$C$22, $C$13, 100%, $E$13)</f>
        <v>3.3755999999999999</v>
      </c>
      <c r="K47" s="68">
        <f>3.3789 * CHOOSE(CONTROL!$C$22, $C$13, 100%, $E$13)</f>
        <v>3.3788999999999998</v>
      </c>
      <c r="L47" s="4"/>
      <c r="M47" s="4"/>
      <c r="N47" s="4"/>
    </row>
    <row r="48" spans="1:14" ht="15">
      <c r="A48" s="13">
        <v>42583</v>
      </c>
      <c r="B48" s="67">
        <f>2.9046 * CHOOSE(CONTROL!$C$22, $C$13, 100%, $E$13)</f>
        <v>2.9045999999999998</v>
      </c>
      <c r="C48" s="67">
        <f>2.9046 * CHOOSE(CONTROL!$C$22, $C$13, 100%, $E$13)</f>
        <v>2.9045999999999998</v>
      </c>
      <c r="D48" s="67">
        <f>2.9072 * CHOOSE(CONTROL!$C$22, $C$13, 100%, $E$13)</f>
        <v>2.9072</v>
      </c>
      <c r="E48" s="68">
        <f>3.4108 * CHOOSE(CONTROL!$C$22, $C$13, 100%, $E$13)</f>
        <v>3.4108000000000001</v>
      </c>
      <c r="F48" s="68">
        <f>3.446 * CHOOSE(CONTROL!$C$22, $C$13, 100%, $E$13)</f>
        <v>3.4460000000000002</v>
      </c>
      <c r="G48" s="68">
        <f>3.4493 * CHOOSE(CONTROL!$C$22, $C$13, 100%, $E$13)</f>
        <v>3.4493</v>
      </c>
      <c r="H48" s="68">
        <f>5.569* CHOOSE(CONTROL!$C$22, $C$13, 100%, $E$13)</f>
        <v>5.569</v>
      </c>
      <c r="I48" s="68">
        <f>5.5723 * CHOOSE(CONTROL!$C$22, $C$13, 100%, $E$13)</f>
        <v>5.5723000000000003</v>
      </c>
      <c r="J48" s="68">
        <f>3.4108 * CHOOSE(CONTROL!$C$22, $C$13, 100%, $E$13)</f>
        <v>3.4108000000000001</v>
      </c>
      <c r="K48" s="68">
        <f>3.4141 * CHOOSE(CONTROL!$C$22, $C$13, 100%, $E$13)</f>
        <v>3.4140999999999999</v>
      </c>
      <c r="L48" s="4"/>
      <c r="M48" s="4"/>
      <c r="N48" s="4"/>
    </row>
    <row r="49" spans="1:14" ht="15">
      <c r="A49" s="13">
        <v>42614</v>
      </c>
      <c r="B49" s="67">
        <f>2.8985 * CHOOSE(CONTROL!$C$22, $C$13, 100%, $E$13)</f>
        <v>2.8984999999999999</v>
      </c>
      <c r="C49" s="67">
        <f>2.8985 * CHOOSE(CONTROL!$C$22, $C$13, 100%, $E$13)</f>
        <v>2.8984999999999999</v>
      </c>
      <c r="D49" s="67">
        <f>2.9011 * CHOOSE(CONTROL!$C$22, $C$13, 100%, $E$13)</f>
        <v>2.9011</v>
      </c>
      <c r="E49" s="68">
        <f>3.358 * CHOOSE(CONTROL!$C$22, $C$13, 100%, $E$13)</f>
        <v>3.3580000000000001</v>
      </c>
      <c r="F49" s="68">
        <f>3.446 * CHOOSE(CONTROL!$C$22, $C$13, 100%, $E$13)</f>
        <v>3.4460000000000002</v>
      </c>
      <c r="G49" s="68">
        <f>3.4493 * CHOOSE(CONTROL!$C$22, $C$13, 100%, $E$13)</f>
        <v>3.4493</v>
      </c>
      <c r="H49" s="68">
        <f>5.5806* CHOOSE(CONTROL!$C$22, $C$13, 100%, $E$13)</f>
        <v>5.5805999999999996</v>
      </c>
      <c r="I49" s="68">
        <f>5.5839 * CHOOSE(CONTROL!$C$22, $C$13, 100%, $E$13)</f>
        <v>5.5838999999999999</v>
      </c>
      <c r="J49" s="68">
        <f>3.358 * CHOOSE(CONTROL!$C$22, $C$13, 100%, $E$13)</f>
        <v>3.3580000000000001</v>
      </c>
      <c r="K49" s="68">
        <f>3.3613 * CHOOSE(CONTROL!$C$22, $C$13, 100%, $E$13)</f>
        <v>3.3613</v>
      </c>
      <c r="L49" s="4"/>
      <c r="M49" s="4"/>
      <c r="N49" s="4"/>
    </row>
    <row r="50" spans="1:14" ht="15">
      <c r="A50" s="13">
        <v>42644</v>
      </c>
      <c r="B50" s="67">
        <f>2.9149 * CHOOSE(CONTROL!$C$22, $C$13, 100%, $E$13)</f>
        <v>2.9148999999999998</v>
      </c>
      <c r="C50" s="67">
        <f>2.9149 * CHOOSE(CONTROL!$C$22, $C$13, 100%, $E$13)</f>
        <v>2.9148999999999998</v>
      </c>
      <c r="D50" s="67">
        <f>2.9159 * CHOOSE(CONTROL!$C$22, $C$13, 100%, $E$13)</f>
        <v>2.9159000000000002</v>
      </c>
      <c r="E50" s="68">
        <f>3.3756 * CHOOSE(CONTROL!$C$22, $C$13, 100%, $E$13)</f>
        <v>3.3755999999999999</v>
      </c>
      <c r="F50" s="68">
        <f>3.446 * CHOOSE(CONTROL!$C$22, $C$13, 100%, $E$13)</f>
        <v>3.4460000000000002</v>
      </c>
      <c r="G50" s="68">
        <f>3.4473 * CHOOSE(CONTROL!$C$22, $C$13, 100%, $E$13)</f>
        <v>3.4472999999999998</v>
      </c>
      <c r="H50" s="68">
        <f>5.5923* CHOOSE(CONTROL!$C$22, $C$13, 100%, $E$13)</f>
        <v>5.5922999999999998</v>
      </c>
      <c r="I50" s="68">
        <f>5.5936 * CHOOSE(CONTROL!$C$22, $C$13, 100%, $E$13)</f>
        <v>5.5936000000000003</v>
      </c>
      <c r="J50" s="68">
        <f>3.3756 * CHOOSE(CONTROL!$C$22, $C$13, 100%, $E$13)</f>
        <v>3.3755999999999999</v>
      </c>
      <c r="K50" s="68">
        <f>3.3769 * CHOOSE(CONTROL!$C$22, $C$13, 100%, $E$13)</f>
        <v>3.3769</v>
      </c>
      <c r="L50" s="4"/>
      <c r="M50" s="4"/>
      <c r="N50" s="4"/>
    </row>
    <row r="51" spans="1:14" ht="15">
      <c r="A51" s="13">
        <v>42675</v>
      </c>
      <c r="B51" s="67">
        <f>2.918 * CHOOSE(CONTROL!$C$22, $C$13, 100%, $E$13)</f>
        <v>2.9180000000000001</v>
      </c>
      <c r="C51" s="67">
        <f>2.918 * CHOOSE(CONTROL!$C$22, $C$13, 100%, $E$13)</f>
        <v>2.9180000000000001</v>
      </c>
      <c r="D51" s="67">
        <f>2.919 * CHOOSE(CONTROL!$C$22, $C$13, 100%, $E$13)</f>
        <v>2.919</v>
      </c>
      <c r="E51" s="68">
        <f>3.402 * CHOOSE(CONTROL!$C$22, $C$13, 100%, $E$13)</f>
        <v>3.4020000000000001</v>
      </c>
      <c r="F51" s="68">
        <f>3.446 * CHOOSE(CONTROL!$C$22, $C$13, 100%, $E$13)</f>
        <v>3.4460000000000002</v>
      </c>
      <c r="G51" s="68">
        <f>3.4473 * CHOOSE(CONTROL!$C$22, $C$13, 100%, $E$13)</f>
        <v>3.4472999999999998</v>
      </c>
      <c r="H51" s="68">
        <f>5.6039* CHOOSE(CONTROL!$C$22, $C$13, 100%, $E$13)</f>
        <v>5.6039000000000003</v>
      </c>
      <c r="I51" s="68">
        <f>5.6052 * CHOOSE(CONTROL!$C$22, $C$13, 100%, $E$13)</f>
        <v>5.6052</v>
      </c>
      <c r="J51" s="68">
        <f>3.402 * CHOOSE(CONTROL!$C$22, $C$13, 100%, $E$13)</f>
        <v>3.4020000000000001</v>
      </c>
      <c r="K51" s="68">
        <f>3.4033 * CHOOSE(CONTROL!$C$22, $C$13, 100%, $E$13)</f>
        <v>3.4033000000000002</v>
      </c>
      <c r="L51" s="4"/>
      <c r="M51" s="4"/>
      <c r="N51" s="4"/>
    </row>
    <row r="52" spans="1:14" ht="15">
      <c r="A52" s="13">
        <v>42705</v>
      </c>
      <c r="B52" s="67">
        <f>2.921 * CHOOSE(CONTROL!$C$22, $C$13, 100%, $E$13)</f>
        <v>2.9209999999999998</v>
      </c>
      <c r="C52" s="67">
        <f>2.921 * CHOOSE(CONTROL!$C$22, $C$13, 100%, $E$13)</f>
        <v>2.9209999999999998</v>
      </c>
      <c r="D52" s="67">
        <f>2.922 * CHOOSE(CONTROL!$C$22, $C$13, 100%, $E$13)</f>
        <v>2.9220000000000002</v>
      </c>
      <c r="E52" s="68">
        <f>3.446 * CHOOSE(CONTROL!$C$22, $C$13, 100%, $E$13)</f>
        <v>3.4460000000000002</v>
      </c>
      <c r="F52" s="68">
        <f>3.446 * CHOOSE(CONTROL!$C$22, $C$13, 100%, $E$13)</f>
        <v>3.4460000000000002</v>
      </c>
      <c r="G52" s="68">
        <f>3.4473 * CHOOSE(CONTROL!$C$22, $C$13, 100%, $E$13)</f>
        <v>3.4472999999999998</v>
      </c>
      <c r="H52" s="68">
        <f>5.6156* CHOOSE(CONTROL!$C$22, $C$13, 100%, $E$13)</f>
        <v>5.6155999999999997</v>
      </c>
      <c r="I52" s="68">
        <f>5.6169 * CHOOSE(CONTROL!$C$22, $C$13, 100%, $E$13)</f>
        <v>5.6169000000000002</v>
      </c>
      <c r="J52" s="68">
        <f>3.446 * CHOOSE(CONTROL!$C$22, $C$13, 100%, $E$13)</f>
        <v>3.4460000000000002</v>
      </c>
      <c r="K52" s="68">
        <f>3.4473 * CHOOSE(CONTROL!$C$22, $C$13, 100%, $E$13)</f>
        <v>3.4472999999999998</v>
      </c>
      <c r="L52" s="4"/>
      <c r="M52" s="4"/>
      <c r="N52" s="4"/>
    </row>
    <row r="53" spans="1:14" ht="15">
      <c r="A53" s="13">
        <v>42736</v>
      </c>
      <c r="B53" s="67">
        <f>2.9632 * CHOOSE(CONTROL!$C$22, $C$13, 100%, $E$13)</f>
        <v>2.9632000000000001</v>
      </c>
      <c r="C53" s="67">
        <f>2.9632 * CHOOSE(CONTROL!$C$22, $C$13, 100%, $E$13)</f>
        <v>2.9632000000000001</v>
      </c>
      <c r="D53" s="67">
        <f>2.9642 * CHOOSE(CONTROL!$C$22, $C$13, 100%, $E$13)</f>
        <v>2.9641999999999999</v>
      </c>
      <c r="E53" s="68">
        <f>3.5517 * CHOOSE(CONTROL!$C$22, $C$13, 100%, $E$13)</f>
        <v>3.5516999999999999</v>
      </c>
      <c r="F53" s="68">
        <f>3.5517 * CHOOSE(CONTROL!$C$22, $C$13, 100%, $E$13)</f>
        <v>3.5516999999999999</v>
      </c>
      <c r="G53" s="68">
        <f>3.5529 * CHOOSE(CONTROL!$C$22, $C$13, 100%, $E$13)</f>
        <v>3.5529000000000002</v>
      </c>
      <c r="H53" s="68">
        <f>5.6273* CHOOSE(CONTROL!$C$22, $C$13, 100%, $E$13)</f>
        <v>5.6273</v>
      </c>
      <c r="I53" s="68">
        <f>5.6286 * CHOOSE(CONTROL!$C$22, $C$13, 100%, $E$13)</f>
        <v>5.6285999999999996</v>
      </c>
      <c r="J53" s="68">
        <f>3.5517 * CHOOSE(CONTROL!$C$22, $C$13, 100%, $E$13)</f>
        <v>3.5516999999999999</v>
      </c>
      <c r="K53" s="68">
        <f>3.5529 * CHOOSE(CONTROL!$C$22, $C$13, 100%, $E$13)</f>
        <v>3.5529000000000002</v>
      </c>
      <c r="L53" s="4"/>
      <c r="M53" s="4"/>
      <c r="N53" s="4"/>
    </row>
    <row r="54" spans="1:14" ht="15">
      <c r="A54" s="13">
        <v>42767</v>
      </c>
      <c r="B54" s="67">
        <f>2.9601 * CHOOSE(CONTROL!$C$22, $C$13, 100%, $E$13)</f>
        <v>2.9601000000000002</v>
      </c>
      <c r="C54" s="67">
        <f>2.9601 * CHOOSE(CONTROL!$C$22, $C$13, 100%, $E$13)</f>
        <v>2.9601000000000002</v>
      </c>
      <c r="D54" s="67">
        <f>2.9611 * CHOOSE(CONTROL!$C$22, $C$13, 100%, $E$13)</f>
        <v>2.9611000000000001</v>
      </c>
      <c r="E54" s="68">
        <f>3.521 * CHOOSE(CONTROL!$C$22, $C$13, 100%, $E$13)</f>
        <v>3.5209999999999999</v>
      </c>
      <c r="F54" s="68">
        <f>3.521 * CHOOSE(CONTROL!$C$22, $C$13, 100%, $E$13)</f>
        <v>3.5209999999999999</v>
      </c>
      <c r="G54" s="68">
        <f>3.5223 * CHOOSE(CONTROL!$C$22, $C$13, 100%, $E$13)</f>
        <v>3.5223</v>
      </c>
      <c r="H54" s="68">
        <f>5.639* CHOOSE(CONTROL!$C$22, $C$13, 100%, $E$13)</f>
        <v>5.6390000000000002</v>
      </c>
      <c r="I54" s="68">
        <f>5.6403 * CHOOSE(CONTROL!$C$22, $C$13, 100%, $E$13)</f>
        <v>5.6402999999999999</v>
      </c>
      <c r="J54" s="68">
        <f>3.521 * CHOOSE(CONTROL!$C$22, $C$13, 100%, $E$13)</f>
        <v>3.5209999999999999</v>
      </c>
      <c r="K54" s="68">
        <f>3.5223 * CHOOSE(CONTROL!$C$22, $C$13, 100%, $E$13)</f>
        <v>3.5223</v>
      </c>
      <c r="L54" s="4"/>
      <c r="M54" s="4"/>
      <c r="N54" s="4"/>
    </row>
    <row r="55" spans="1:14" ht="15">
      <c r="A55" s="13">
        <v>42795</v>
      </c>
      <c r="B55" s="67">
        <f>2.9571 * CHOOSE(CONTROL!$C$22, $C$13, 100%, $E$13)</f>
        <v>2.9571000000000001</v>
      </c>
      <c r="C55" s="67">
        <f>2.9571 * CHOOSE(CONTROL!$C$22, $C$13, 100%, $E$13)</f>
        <v>2.9571000000000001</v>
      </c>
      <c r="D55" s="67">
        <f>2.9581 * CHOOSE(CONTROL!$C$22, $C$13, 100%, $E$13)</f>
        <v>2.9581</v>
      </c>
      <c r="E55" s="68">
        <f>3.5414 * CHOOSE(CONTROL!$C$22, $C$13, 100%, $E$13)</f>
        <v>3.5413999999999999</v>
      </c>
      <c r="F55" s="68">
        <f>3.5414 * CHOOSE(CONTROL!$C$22, $C$13, 100%, $E$13)</f>
        <v>3.5413999999999999</v>
      </c>
      <c r="G55" s="68">
        <f>3.5427 * CHOOSE(CONTROL!$C$22, $C$13, 100%, $E$13)</f>
        <v>3.5427</v>
      </c>
      <c r="H55" s="68">
        <f>5.6508* CHOOSE(CONTROL!$C$22, $C$13, 100%, $E$13)</f>
        <v>5.6508000000000003</v>
      </c>
      <c r="I55" s="68">
        <f>5.6521 * CHOOSE(CONTROL!$C$22, $C$13, 100%, $E$13)</f>
        <v>5.6520999999999999</v>
      </c>
      <c r="J55" s="68">
        <f>3.5414 * CHOOSE(CONTROL!$C$22, $C$13, 100%, $E$13)</f>
        <v>3.5413999999999999</v>
      </c>
      <c r="K55" s="68">
        <f>3.5427 * CHOOSE(CONTROL!$C$22, $C$13, 100%, $E$13)</f>
        <v>3.5427</v>
      </c>
      <c r="L55" s="4"/>
      <c r="M55" s="4"/>
      <c r="N55" s="4"/>
    </row>
    <row r="56" spans="1:14" ht="15">
      <c r="A56" s="13">
        <v>42826</v>
      </c>
      <c r="B56" s="67">
        <f>2.9537 * CHOOSE(CONTROL!$C$22, $C$13, 100%, $E$13)</f>
        <v>2.9537</v>
      </c>
      <c r="C56" s="67">
        <f>2.9537 * CHOOSE(CONTROL!$C$22, $C$13, 100%, $E$13)</f>
        <v>2.9537</v>
      </c>
      <c r="D56" s="67">
        <f>2.9547 * CHOOSE(CONTROL!$C$22, $C$13, 100%, $E$13)</f>
        <v>2.9546999999999999</v>
      </c>
      <c r="E56" s="68">
        <f>3.5613 * CHOOSE(CONTROL!$C$22, $C$13, 100%, $E$13)</f>
        <v>3.5613000000000001</v>
      </c>
      <c r="F56" s="68">
        <f>3.5613 * CHOOSE(CONTROL!$C$22, $C$13, 100%, $E$13)</f>
        <v>3.5613000000000001</v>
      </c>
      <c r="G56" s="68">
        <f>3.5626 * CHOOSE(CONTROL!$C$22, $C$13, 100%, $E$13)</f>
        <v>3.5626000000000002</v>
      </c>
      <c r="H56" s="68">
        <f>5.6625* CHOOSE(CONTROL!$C$22, $C$13, 100%, $E$13)</f>
        <v>5.6624999999999996</v>
      </c>
      <c r="I56" s="68">
        <f>5.6638 * CHOOSE(CONTROL!$C$22, $C$13, 100%, $E$13)</f>
        <v>5.6638000000000002</v>
      </c>
      <c r="J56" s="68">
        <f>3.5613 * CHOOSE(CONTROL!$C$22, $C$13, 100%, $E$13)</f>
        <v>3.5613000000000001</v>
      </c>
      <c r="K56" s="68">
        <f>3.5626 * CHOOSE(CONTROL!$C$22, $C$13, 100%, $E$13)</f>
        <v>3.5626000000000002</v>
      </c>
      <c r="L56" s="4"/>
      <c r="M56" s="4"/>
      <c r="N56" s="4"/>
    </row>
    <row r="57" spans="1:14" ht="15">
      <c r="A57" s="13">
        <v>42856</v>
      </c>
      <c r="B57" s="67">
        <f>2.9537 * CHOOSE(CONTROL!$C$22, $C$13, 100%, $E$13)</f>
        <v>2.9537</v>
      </c>
      <c r="C57" s="67">
        <f>2.9537 * CHOOSE(CONTROL!$C$22, $C$13, 100%, $E$13)</f>
        <v>2.9537</v>
      </c>
      <c r="D57" s="67">
        <f>2.9563 * CHOOSE(CONTROL!$C$22, $C$13, 100%, $E$13)</f>
        <v>2.9563000000000001</v>
      </c>
      <c r="E57" s="68">
        <f>3.5704 * CHOOSE(CONTROL!$C$22, $C$13, 100%, $E$13)</f>
        <v>3.5703999999999998</v>
      </c>
      <c r="F57" s="68">
        <f>3.5704 * CHOOSE(CONTROL!$C$22, $C$13, 100%, $E$13)</f>
        <v>3.5703999999999998</v>
      </c>
      <c r="G57" s="68">
        <f>3.5736 * CHOOSE(CONTROL!$C$22, $C$13, 100%, $E$13)</f>
        <v>3.5735999999999999</v>
      </c>
      <c r="H57" s="68">
        <f>5.6743* CHOOSE(CONTROL!$C$22, $C$13, 100%, $E$13)</f>
        <v>5.6742999999999997</v>
      </c>
      <c r="I57" s="68">
        <f>5.6776 * CHOOSE(CONTROL!$C$22, $C$13, 100%, $E$13)</f>
        <v>5.6776</v>
      </c>
      <c r="J57" s="68">
        <f>3.5704 * CHOOSE(CONTROL!$C$22, $C$13, 100%, $E$13)</f>
        <v>3.5703999999999998</v>
      </c>
      <c r="K57" s="68">
        <f>3.5736 * CHOOSE(CONTROL!$C$22, $C$13, 100%, $E$13)</f>
        <v>3.5735999999999999</v>
      </c>
      <c r="L57" s="4"/>
      <c r="M57" s="4"/>
      <c r="N57" s="4"/>
    </row>
    <row r="58" spans="1:14" ht="15">
      <c r="A58" s="13">
        <v>42887</v>
      </c>
      <c r="B58" s="67">
        <f>2.9598 * CHOOSE(CONTROL!$C$22, $C$13, 100%, $E$13)</f>
        <v>2.9598</v>
      </c>
      <c r="C58" s="67">
        <f>2.9598 * CHOOSE(CONTROL!$C$22, $C$13, 100%, $E$13)</f>
        <v>2.9598</v>
      </c>
      <c r="D58" s="67">
        <f>2.9624 * CHOOSE(CONTROL!$C$22, $C$13, 100%, $E$13)</f>
        <v>2.9624000000000001</v>
      </c>
      <c r="E58" s="68">
        <f>3.5655 * CHOOSE(CONTROL!$C$22, $C$13, 100%, $E$13)</f>
        <v>3.5655000000000001</v>
      </c>
      <c r="F58" s="68">
        <f>3.5655 * CHOOSE(CONTROL!$C$22, $C$13, 100%, $E$13)</f>
        <v>3.5655000000000001</v>
      </c>
      <c r="G58" s="68">
        <f>3.5688 * CHOOSE(CONTROL!$C$22, $C$13, 100%, $E$13)</f>
        <v>3.5688</v>
      </c>
      <c r="H58" s="68">
        <f>5.6862* CHOOSE(CONTROL!$C$22, $C$13, 100%, $E$13)</f>
        <v>5.6862000000000004</v>
      </c>
      <c r="I58" s="68">
        <f>5.6894 * CHOOSE(CONTROL!$C$22, $C$13, 100%, $E$13)</f>
        <v>5.6894</v>
      </c>
      <c r="J58" s="68">
        <f>3.5655 * CHOOSE(CONTROL!$C$22, $C$13, 100%, $E$13)</f>
        <v>3.5655000000000001</v>
      </c>
      <c r="K58" s="68">
        <f>3.5688 * CHOOSE(CONTROL!$C$22, $C$13, 100%, $E$13)</f>
        <v>3.5688</v>
      </c>
      <c r="L58" s="4"/>
      <c r="M58" s="4"/>
      <c r="N58" s="4"/>
    </row>
    <row r="59" spans="1:14" ht="15">
      <c r="A59" s="13">
        <v>42917</v>
      </c>
      <c r="B59" s="67">
        <f>3.0475 * CHOOSE(CONTROL!$C$22, $C$13, 100%, $E$13)</f>
        <v>3.0474999999999999</v>
      </c>
      <c r="C59" s="67">
        <f>3.0475 * CHOOSE(CONTROL!$C$22, $C$13, 100%, $E$13)</f>
        <v>3.0474999999999999</v>
      </c>
      <c r="D59" s="67">
        <f>3.0502 * CHOOSE(CONTROL!$C$22, $C$13, 100%, $E$13)</f>
        <v>3.0501999999999998</v>
      </c>
      <c r="E59" s="68">
        <f>3.6468 * CHOOSE(CONTROL!$C$22, $C$13, 100%, $E$13)</f>
        <v>3.6467999999999998</v>
      </c>
      <c r="F59" s="68">
        <f>3.6468 * CHOOSE(CONTROL!$C$22, $C$13, 100%, $E$13)</f>
        <v>3.6467999999999998</v>
      </c>
      <c r="G59" s="68">
        <f>3.65 * CHOOSE(CONTROL!$C$22, $C$13, 100%, $E$13)</f>
        <v>3.65</v>
      </c>
      <c r="H59" s="68">
        <f>5.698* CHOOSE(CONTROL!$C$22, $C$13, 100%, $E$13)</f>
        <v>5.6980000000000004</v>
      </c>
      <c r="I59" s="68">
        <f>5.7013 * CHOOSE(CONTROL!$C$22, $C$13, 100%, $E$13)</f>
        <v>5.7012999999999998</v>
      </c>
      <c r="J59" s="68">
        <f>3.6468 * CHOOSE(CONTROL!$C$22, $C$13, 100%, $E$13)</f>
        <v>3.6467999999999998</v>
      </c>
      <c r="K59" s="68">
        <f>3.65 * CHOOSE(CONTROL!$C$22, $C$13, 100%, $E$13)</f>
        <v>3.65</v>
      </c>
      <c r="L59" s="4"/>
      <c r="M59" s="4"/>
      <c r="N59" s="4"/>
    </row>
    <row r="60" spans="1:14" ht="15">
      <c r="A60" s="13">
        <v>42948</v>
      </c>
      <c r="B60" s="67">
        <f>3.0542 * CHOOSE(CONTROL!$C$22, $C$13, 100%, $E$13)</f>
        <v>3.0541999999999998</v>
      </c>
      <c r="C60" s="67">
        <f>3.0542 * CHOOSE(CONTROL!$C$22, $C$13, 100%, $E$13)</f>
        <v>3.0541999999999998</v>
      </c>
      <c r="D60" s="67">
        <f>3.0568 * CHOOSE(CONTROL!$C$22, $C$13, 100%, $E$13)</f>
        <v>3.0568</v>
      </c>
      <c r="E60" s="68">
        <f>3.6242 * CHOOSE(CONTROL!$C$22, $C$13, 100%, $E$13)</f>
        <v>3.6242000000000001</v>
      </c>
      <c r="F60" s="68">
        <f>3.6242 * CHOOSE(CONTROL!$C$22, $C$13, 100%, $E$13)</f>
        <v>3.6242000000000001</v>
      </c>
      <c r="G60" s="68">
        <f>3.6275 * CHOOSE(CONTROL!$C$22, $C$13, 100%, $E$13)</f>
        <v>3.6274999999999999</v>
      </c>
      <c r="H60" s="68">
        <f>5.7099* CHOOSE(CONTROL!$C$22, $C$13, 100%, $E$13)</f>
        <v>5.7099000000000002</v>
      </c>
      <c r="I60" s="68">
        <f>5.7131 * CHOOSE(CONTROL!$C$22, $C$13, 100%, $E$13)</f>
        <v>5.7130999999999998</v>
      </c>
      <c r="J60" s="68">
        <f>3.6242 * CHOOSE(CONTROL!$C$22, $C$13, 100%, $E$13)</f>
        <v>3.6242000000000001</v>
      </c>
      <c r="K60" s="68">
        <f>3.6275 * CHOOSE(CONTROL!$C$22, $C$13, 100%, $E$13)</f>
        <v>3.6274999999999999</v>
      </c>
      <c r="L60" s="4"/>
      <c r="M60" s="4"/>
      <c r="N60" s="4"/>
    </row>
    <row r="61" spans="1:14" ht="15">
      <c r="A61" s="13">
        <v>42979</v>
      </c>
      <c r="B61" s="67">
        <f>3.0512 * CHOOSE(CONTROL!$C$22, $C$13, 100%, $E$13)</f>
        <v>3.0512000000000001</v>
      </c>
      <c r="C61" s="67">
        <f>3.0512 * CHOOSE(CONTROL!$C$22, $C$13, 100%, $E$13)</f>
        <v>3.0512000000000001</v>
      </c>
      <c r="D61" s="67">
        <f>3.0538 * CHOOSE(CONTROL!$C$22, $C$13, 100%, $E$13)</f>
        <v>3.0537999999999998</v>
      </c>
      <c r="E61" s="68">
        <f>3.6191 * CHOOSE(CONTROL!$C$22, $C$13, 100%, $E$13)</f>
        <v>3.6191</v>
      </c>
      <c r="F61" s="68">
        <f>3.6191 * CHOOSE(CONTROL!$C$22, $C$13, 100%, $E$13)</f>
        <v>3.6191</v>
      </c>
      <c r="G61" s="68">
        <f>3.6224 * CHOOSE(CONTROL!$C$22, $C$13, 100%, $E$13)</f>
        <v>3.6223999999999998</v>
      </c>
      <c r="H61" s="68">
        <f>5.7218* CHOOSE(CONTROL!$C$22, $C$13, 100%, $E$13)</f>
        <v>5.7218</v>
      </c>
      <c r="I61" s="68">
        <f>5.725 * CHOOSE(CONTROL!$C$22, $C$13, 100%, $E$13)</f>
        <v>5.7249999999999996</v>
      </c>
      <c r="J61" s="68">
        <f>3.6191 * CHOOSE(CONTROL!$C$22, $C$13, 100%, $E$13)</f>
        <v>3.6191</v>
      </c>
      <c r="K61" s="68">
        <f>3.6224 * CHOOSE(CONTROL!$C$22, $C$13, 100%, $E$13)</f>
        <v>3.6223999999999998</v>
      </c>
      <c r="L61" s="4"/>
      <c r="M61" s="4"/>
      <c r="N61" s="4"/>
    </row>
    <row r="62" spans="1:14" ht="15">
      <c r="A62" s="13">
        <v>43009</v>
      </c>
      <c r="B62" s="67">
        <f>3.0423 * CHOOSE(CONTROL!$C$22, $C$13, 100%, $E$13)</f>
        <v>3.0423</v>
      </c>
      <c r="C62" s="67">
        <f>3.0423 * CHOOSE(CONTROL!$C$22, $C$13, 100%, $E$13)</f>
        <v>3.0423</v>
      </c>
      <c r="D62" s="67">
        <f>3.0433 * CHOOSE(CONTROL!$C$22, $C$13, 100%, $E$13)</f>
        <v>3.0432999999999999</v>
      </c>
      <c r="E62" s="68">
        <f>3.6178 * CHOOSE(CONTROL!$C$22, $C$13, 100%, $E$13)</f>
        <v>3.6177999999999999</v>
      </c>
      <c r="F62" s="68">
        <f>3.6178 * CHOOSE(CONTROL!$C$22, $C$13, 100%, $E$13)</f>
        <v>3.6177999999999999</v>
      </c>
      <c r="G62" s="68">
        <f>3.619 * CHOOSE(CONTROL!$C$22, $C$13, 100%, $E$13)</f>
        <v>3.6190000000000002</v>
      </c>
      <c r="H62" s="68">
        <f>5.7337* CHOOSE(CONTROL!$C$22, $C$13, 100%, $E$13)</f>
        <v>5.7336999999999998</v>
      </c>
      <c r="I62" s="68">
        <f>5.735 * CHOOSE(CONTROL!$C$22, $C$13, 100%, $E$13)</f>
        <v>5.7350000000000003</v>
      </c>
      <c r="J62" s="68">
        <f>3.6178 * CHOOSE(CONTROL!$C$22, $C$13, 100%, $E$13)</f>
        <v>3.6177999999999999</v>
      </c>
      <c r="K62" s="68">
        <f>3.619 * CHOOSE(CONTROL!$C$22, $C$13, 100%, $E$13)</f>
        <v>3.6190000000000002</v>
      </c>
      <c r="L62" s="4"/>
      <c r="M62" s="4"/>
      <c r="N62" s="4"/>
    </row>
    <row r="63" spans="1:14" ht="15">
      <c r="A63" s="13">
        <v>43040</v>
      </c>
      <c r="B63" s="67">
        <f>3.0454 * CHOOSE(CONTROL!$C$22, $C$13, 100%, $E$13)</f>
        <v>3.0453999999999999</v>
      </c>
      <c r="C63" s="67">
        <f>3.0454 * CHOOSE(CONTROL!$C$22, $C$13, 100%, $E$13)</f>
        <v>3.0453999999999999</v>
      </c>
      <c r="D63" s="67">
        <f>3.0464 * CHOOSE(CONTROL!$C$22, $C$13, 100%, $E$13)</f>
        <v>3.0464000000000002</v>
      </c>
      <c r="E63" s="68">
        <f>3.6259 * CHOOSE(CONTROL!$C$22, $C$13, 100%, $E$13)</f>
        <v>3.6259000000000001</v>
      </c>
      <c r="F63" s="68">
        <f>3.6259 * CHOOSE(CONTROL!$C$22, $C$13, 100%, $E$13)</f>
        <v>3.6259000000000001</v>
      </c>
      <c r="G63" s="68">
        <f>3.6272 * CHOOSE(CONTROL!$C$22, $C$13, 100%, $E$13)</f>
        <v>3.6272000000000002</v>
      </c>
      <c r="H63" s="68">
        <f>5.7456* CHOOSE(CONTROL!$C$22, $C$13, 100%, $E$13)</f>
        <v>5.7455999999999996</v>
      </c>
      <c r="I63" s="68">
        <f>5.7469 * CHOOSE(CONTROL!$C$22, $C$13, 100%, $E$13)</f>
        <v>5.7469000000000001</v>
      </c>
      <c r="J63" s="68">
        <f>3.6259 * CHOOSE(CONTROL!$C$22, $C$13, 100%, $E$13)</f>
        <v>3.6259000000000001</v>
      </c>
      <c r="K63" s="68">
        <f>3.6272 * CHOOSE(CONTROL!$C$22, $C$13, 100%, $E$13)</f>
        <v>3.6272000000000002</v>
      </c>
      <c r="L63" s="4"/>
      <c r="M63" s="4"/>
      <c r="N63" s="4"/>
    </row>
    <row r="64" spans="1:14" ht="15">
      <c r="A64" s="13">
        <v>43070</v>
      </c>
      <c r="B64" s="67">
        <f>3.0454 * CHOOSE(CONTROL!$C$22, $C$13, 100%, $E$13)</f>
        <v>3.0453999999999999</v>
      </c>
      <c r="C64" s="67">
        <f>3.0454 * CHOOSE(CONTROL!$C$22, $C$13, 100%, $E$13)</f>
        <v>3.0453999999999999</v>
      </c>
      <c r="D64" s="67">
        <f>3.0464 * CHOOSE(CONTROL!$C$22, $C$13, 100%, $E$13)</f>
        <v>3.0464000000000002</v>
      </c>
      <c r="E64" s="68">
        <f>3.6108 * CHOOSE(CONTROL!$C$22, $C$13, 100%, $E$13)</f>
        <v>3.6107999999999998</v>
      </c>
      <c r="F64" s="68">
        <f>3.6108 * CHOOSE(CONTROL!$C$22, $C$13, 100%, $E$13)</f>
        <v>3.6107999999999998</v>
      </c>
      <c r="G64" s="68">
        <f>3.6121 * CHOOSE(CONTROL!$C$22, $C$13, 100%, $E$13)</f>
        <v>3.6120999999999999</v>
      </c>
      <c r="H64" s="68">
        <f>5.7576* CHOOSE(CONTROL!$C$22, $C$13, 100%, $E$13)</f>
        <v>5.7576000000000001</v>
      </c>
      <c r="I64" s="68">
        <f>5.7589 * CHOOSE(CONTROL!$C$22, $C$13, 100%, $E$13)</f>
        <v>5.7588999999999997</v>
      </c>
      <c r="J64" s="68">
        <f>3.6108 * CHOOSE(CONTROL!$C$22, $C$13, 100%, $E$13)</f>
        <v>3.6107999999999998</v>
      </c>
      <c r="K64" s="68">
        <f>3.6121 * CHOOSE(CONTROL!$C$22, $C$13, 100%, $E$13)</f>
        <v>3.6120999999999999</v>
      </c>
      <c r="L64" s="4"/>
      <c r="M64" s="4"/>
      <c r="N64" s="4"/>
    </row>
    <row r="65" spans="1:14" ht="15">
      <c r="A65" s="13">
        <v>43101</v>
      </c>
      <c r="B65" s="67">
        <f>3.0799 * CHOOSE(CONTROL!$C$22, $C$13, 100%, $E$13)</f>
        <v>3.0798999999999999</v>
      </c>
      <c r="C65" s="67">
        <f>3.0799 * CHOOSE(CONTROL!$C$22, $C$13, 100%, $E$13)</f>
        <v>3.0798999999999999</v>
      </c>
      <c r="D65" s="67">
        <f>3.0809 * CHOOSE(CONTROL!$C$22, $C$13, 100%, $E$13)</f>
        <v>3.0809000000000002</v>
      </c>
      <c r="E65" s="68">
        <f>3.7211 * CHOOSE(CONTROL!$C$22, $C$13, 100%, $E$13)</f>
        <v>3.7210999999999999</v>
      </c>
      <c r="F65" s="68">
        <f>3.7211 * CHOOSE(CONTROL!$C$22, $C$13, 100%, $E$13)</f>
        <v>3.7210999999999999</v>
      </c>
      <c r="G65" s="68">
        <f>3.7224 * CHOOSE(CONTROL!$C$22, $C$13, 100%, $E$13)</f>
        <v>3.7223999999999999</v>
      </c>
      <c r="H65" s="68">
        <f>5.7696* CHOOSE(CONTROL!$C$22, $C$13, 100%, $E$13)</f>
        <v>5.7695999999999996</v>
      </c>
      <c r="I65" s="68">
        <f>5.7709 * CHOOSE(CONTROL!$C$22, $C$13, 100%, $E$13)</f>
        <v>5.7709000000000001</v>
      </c>
      <c r="J65" s="68">
        <f>3.7211 * CHOOSE(CONTROL!$C$22, $C$13, 100%, $E$13)</f>
        <v>3.7210999999999999</v>
      </c>
      <c r="K65" s="68">
        <f>3.7224 * CHOOSE(CONTROL!$C$22, $C$13, 100%, $E$13)</f>
        <v>3.7223999999999999</v>
      </c>
      <c r="L65" s="4"/>
      <c r="M65" s="4"/>
      <c r="N65" s="4"/>
    </row>
    <row r="66" spans="1:14" ht="15">
      <c r="A66" s="13">
        <v>43132</v>
      </c>
      <c r="B66" s="67">
        <f>3.0769 * CHOOSE(CONTROL!$C$22, $C$13, 100%, $E$13)</f>
        <v>3.0769000000000002</v>
      </c>
      <c r="C66" s="67">
        <f>3.0769 * CHOOSE(CONTROL!$C$22, $C$13, 100%, $E$13)</f>
        <v>3.0769000000000002</v>
      </c>
      <c r="D66" s="67">
        <f>3.0779 * CHOOSE(CONTROL!$C$22, $C$13, 100%, $E$13)</f>
        <v>3.0779000000000001</v>
      </c>
      <c r="E66" s="68">
        <f>3.6823 * CHOOSE(CONTROL!$C$22, $C$13, 100%, $E$13)</f>
        <v>3.6823000000000001</v>
      </c>
      <c r="F66" s="68">
        <f>3.6823 * CHOOSE(CONTROL!$C$22, $C$13, 100%, $E$13)</f>
        <v>3.6823000000000001</v>
      </c>
      <c r="G66" s="68">
        <f>3.6836 * CHOOSE(CONTROL!$C$22, $C$13, 100%, $E$13)</f>
        <v>3.6836000000000002</v>
      </c>
      <c r="H66" s="68">
        <f>5.7816* CHOOSE(CONTROL!$C$22, $C$13, 100%, $E$13)</f>
        <v>5.7816000000000001</v>
      </c>
      <c r="I66" s="68">
        <f>5.7829 * CHOOSE(CONTROL!$C$22, $C$13, 100%, $E$13)</f>
        <v>5.7828999999999997</v>
      </c>
      <c r="J66" s="68">
        <f>3.6823 * CHOOSE(CONTROL!$C$22, $C$13, 100%, $E$13)</f>
        <v>3.6823000000000001</v>
      </c>
      <c r="K66" s="68">
        <f>3.6836 * CHOOSE(CONTROL!$C$22, $C$13, 100%, $E$13)</f>
        <v>3.6836000000000002</v>
      </c>
      <c r="L66" s="4"/>
      <c r="M66" s="4"/>
      <c r="N66" s="4"/>
    </row>
    <row r="67" spans="1:14" ht="15">
      <c r="A67" s="13">
        <v>43160</v>
      </c>
      <c r="B67" s="67">
        <f>3.0739 * CHOOSE(CONTROL!$C$22, $C$13, 100%, $E$13)</f>
        <v>3.0739000000000001</v>
      </c>
      <c r="C67" s="67">
        <f>3.0739 * CHOOSE(CONTROL!$C$22, $C$13, 100%, $E$13)</f>
        <v>3.0739000000000001</v>
      </c>
      <c r="D67" s="67">
        <f>3.0748 * CHOOSE(CONTROL!$C$22, $C$13, 100%, $E$13)</f>
        <v>3.0748000000000002</v>
      </c>
      <c r="E67" s="68">
        <f>3.7091 * CHOOSE(CONTROL!$C$22, $C$13, 100%, $E$13)</f>
        <v>3.7090999999999998</v>
      </c>
      <c r="F67" s="68">
        <f>3.7091 * CHOOSE(CONTROL!$C$22, $C$13, 100%, $E$13)</f>
        <v>3.7090999999999998</v>
      </c>
      <c r="G67" s="68">
        <f>3.7104 * CHOOSE(CONTROL!$C$22, $C$13, 100%, $E$13)</f>
        <v>3.7103999999999999</v>
      </c>
      <c r="H67" s="68">
        <f>5.7937* CHOOSE(CONTROL!$C$22, $C$13, 100%, $E$13)</f>
        <v>5.7937000000000003</v>
      </c>
      <c r="I67" s="68">
        <f>5.795 * CHOOSE(CONTROL!$C$22, $C$13, 100%, $E$13)</f>
        <v>5.7949999999999999</v>
      </c>
      <c r="J67" s="68">
        <f>3.7091 * CHOOSE(CONTROL!$C$22, $C$13, 100%, $E$13)</f>
        <v>3.7090999999999998</v>
      </c>
      <c r="K67" s="68">
        <f>3.7104 * CHOOSE(CONTROL!$C$22, $C$13, 100%, $E$13)</f>
        <v>3.7103999999999999</v>
      </c>
      <c r="L67" s="4"/>
      <c r="M67" s="4"/>
      <c r="N67" s="4"/>
    </row>
    <row r="68" spans="1:14" ht="15">
      <c r="A68" s="13">
        <v>43191</v>
      </c>
      <c r="B68" s="67">
        <f>3.0705 * CHOOSE(CONTROL!$C$22, $C$13, 100%, $E$13)</f>
        <v>3.0705</v>
      </c>
      <c r="C68" s="67">
        <f>3.0705 * CHOOSE(CONTROL!$C$22, $C$13, 100%, $E$13)</f>
        <v>3.0705</v>
      </c>
      <c r="D68" s="67">
        <f>3.0715 * CHOOSE(CONTROL!$C$22, $C$13, 100%, $E$13)</f>
        <v>3.0714999999999999</v>
      </c>
      <c r="E68" s="68">
        <f>3.7359 * CHOOSE(CONTROL!$C$22, $C$13, 100%, $E$13)</f>
        <v>3.7359</v>
      </c>
      <c r="F68" s="68">
        <f>3.7359 * CHOOSE(CONTROL!$C$22, $C$13, 100%, $E$13)</f>
        <v>3.7359</v>
      </c>
      <c r="G68" s="68">
        <f>3.7372 * CHOOSE(CONTROL!$C$22, $C$13, 100%, $E$13)</f>
        <v>3.7372000000000001</v>
      </c>
      <c r="H68" s="68">
        <f>5.8057* CHOOSE(CONTROL!$C$22, $C$13, 100%, $E$13)</f>
        <v>5.8056999999999999</v>
      </c>
      <c r="I68" s="68">
        <f>5.807 * CHOOSE(CONTROL!$C$22, $C$13, 100%, $E$13)</f>
        <v>5.8070000000000004</v>
      </c>
      <c r="J68" s="68">
        <f>3.7359 * CHOOSE(CONTROL!$C$22, $C$13, 100%, $E$13)</f>
        <v>3.7359</v>
      </c>
      <c r="K68" s="68">
        <f>3.7372 * CHOOSE(CONTROL!$C$22, $C$13, 100%, $E$13)</f>
        <v>3.7372000000000001</v>
      </c>
      <c r="L68" s="4"/>
      <c r="M68" s="4"/>
      <c r="N68" s="4"/>
    </row>
    <row r="69" spans="1:14" ht="15">
      <c r="A69" s="13">
        <v>43221</v>
      </c>
      <c r="B69" s="67">
        <f>3.0705 * CHOOSE(CONTROL!$C$22, $C$13, 100%, $E$13)</f>
        <v>3.0705</v>
      </c>
      <c r="C69" s="67">
        <f>3.0705 * CHOOSE(CONTROL!$C$22, $C$13, 100%, $E$13)</f>
        <v>3.0705</v>
      </c>
      <c r="D69" s="67">
        <f>3.0731 * CHOOSE(CONTROL!$C$22, $C$13, 100%, $E$13)</f>
        <v>3.0731000000000002</v>
      </c>
      <c r="E69" s="68">
        <f>3.7476 * CHOOSE(CONTROL!$C$22, $C$13, 100%, $E$13)</f>
        <v>3.7475999999999998</v>
      </c>
      <c r="F69" s="68">
        <f>3.7476 * CHOOSE(CONTROL!$C$22, $C$13, 100%, $E$13)</f>
        <v>3.7475999999999998</v>
      </c>
      <c r="G69" s="68">
        <f>3.7508 * CHOOSE(CONTROL!$C$22, $C$13, 100%, $E$13)</f>
        <v>3.7507999999999999</v>
      </c>
      <c r="H69" s="68">
        <f>5.8178* CHOOSE(CONTROL!$C$22, $C$13, 100%, $E$13)</f>
        <v>5.8178000000000001</v>
      </c>
      <c r="I69" s="68">
        <f>5.8211 * CHOOSE(CONTROL!$C$22, $C$13, 100%, $E$13)</f>
        <v>5.8211000000000004</v>
      </c>
      <c r="J69" s="68">
        <f>3.7476 * CHOOSE(CONTROL!$C$22, $C$13, 100%, $E$13)</f>
        <v>3.7475999999999998</v>
      </c>
      <c r="K69" s="68">
        <f>3.7508 * CHOOSE(CONTROL!$C$22, $C$13, 100%, $E$13)</f>
        <v>3.7507999999999999</v>
      </c>
      <c r="L69" s="4"/>
      <c r="M69" s="4"/>
      <c r="N69" s="4"/>
    </row>
    <row r="70" spans="1:14" ht="15">
      <c r="A70" s="13">
        <v>43252</v>
      </c>
      <c r="B70" s="67">
        <f>3.0766 * CHOOSE(CONTROL!$C$22, $C$13, 100%, $E$13)</f>
        <v>3.0766</v>
      </c>
      <c r="C70" s="67">
        <f>3.0766 * CHOOSE(CONTROL!$C$22, $C$13, 100%, $E$13)</f>
        <v>3.0766</v>
      </c>
      <c r="D70" s="67">
        <f>3.0792 * CHOOSE(CONTROL!$C$22, $C$13, 100%, $E$13)</f>
        <v>3.0792000000000002</v>
      </c>
      <c r="E70" s="68">
        <f>3.7402 * CHOOSE(CONTROL!$C$22, $C$13, 100%, $E$13)</f>
        <v>3.7402000000000002</v>
      </c>
      <c r="F70" s="68">
        <f>3.7402 * CHOOSE(CONTROL!$C$22, $C$13, 100%, $E$13)</f>
        <v>3.7402000000000002</v>
      </c>
      <c r="G70" s="68">
        <f>3.7434 * CHOOSE(CONTROL!$C$22, $C$13, 100%, $E$13)</f>
        <v>3.7433999999999998</v>
      </c>
      <c r="H70" s="68">
        <f>5.83* CHOOSE(CONTROL!$C$22, $C$13, 100%, $E$13)</f>
        <v>5.83</v>
      </c>
      <c r="I70" s="68">
        <f>5.8332 * CHOOSE(CONTROL!$C$22, $C$13, 100%, $E$13)</f>
        <v>5.8331999999999997</v>
      </c>
      <c r="J70" s="68">
        <f>3.7402 * CHOOSE(CONTROL!$C$22, $C$13, 100%, $E$13)</f>
        <v>3.7402000000000002</v>
      </c>
      <c r="K70" s="68">
        <f>3.7434 * CHOOSE(CONTROL!$C$22, $C$13, 100%, $E$13)</f>
        <v>3.7433999999999998</v>
      </c>
      <c r="L70" s="4"/>
      <c r="M70" s="4"/>
      <c r="N70" s="4"/>
    </row>
    <row r="71" spans="1:14" ht="15">
      <c r="A71" s="13">
        <v>43282</v>
      </c>
      <c r="B71" s="67">
        <f>3.1468 * CHOOSE(CONTROL!$C$22, $C$13, 100%, $E$13)</f>
        <v>3.1467999999999998</v>
      </c>
      <c r="C71" s="67">
        <f>3.1468 * CHOOSE(CONTROL!$C$22, $C$13, 100%, $E$13)</f>
        <v>3.1467999999999998</v>
      </c>
      <c r="D71" s="67">
        <f>3.1494 * CHOOSE(CONTROL!$C$22, $C$13, 100%, $E$13)</f>
        <v>3.1494</v>
      </c>
      <c r="E71" s="68">
        <f>3.7912 * CHOOSE(CONTROL!$C$22, $C$13, 100%, $E$13)</f>
        <v>3.7911999999999999</v>
      </c>
      <c r="F71" s="68">
        <f>3.7912 * CHOOSE(CONTROL!$C$22, $C$13, 100%, $E$13)</f>
        <v>3.7911999999999999</v>
      </c>
      <c r="G71" s="68">
        <f>3.7945 * CHOOSE(CONTROL!$C$22, $C$13, 100%, $E$13)</f>
        <v>3.7945000000000002</v>
      </c>
      <c r="H71" s="68">
        <f>5.8421* CHOOSE(CONTROL!$C$22, $C$13, 100%, $E$13)</f>
        <v>5.8421000000000003</v>
      </c>
      <c r="I71" s="68">
        <f>5.8454 * CHOOSE(CONTROL!$C$22, $C$13, 100%, $E$13)</f>
        <v>5.8453999999999997</v>
      </c>
      <c r="J71" s="68">
        <f>3.7912 * CHOOSE(CONTROL!$C$22, $C$13, 100%, $E$13)</f>
        <v>3.7911999999999999</v>
      </c>
      <c r="K71" s="68">
        <f>3.7945 * CHOOSE(CONTROL!$C$22, $C$13, 100%, $E$13)</f>
        <v>3.7945000000000002</v>
      </c>
      <c r="L71" s="4"/>
      <c r="M71" s="4"/>
      <c r="N71" s="4"/>
    </row>
    <row r="72" spans="1:14" ht="15">
      <c r="A72" s="13">
        <v>43313</v>
      </c>
      <c r="B72" s="67">
        <f>3.1535 * CHOOSE(CONTROL!$C$22, $C$13, 100%, $E$13)</f>
        <v>3.1535000000000002</v>
      </c>
      <c r="C72" s="67">
        <f>3.1535 * CHOOSE(CONTROL!$C$22, $C$13, 100%, $E$13)</f>
        <v>3.1535000000000002</v>
      </c>
      <c r="D72" s="67">
        <f>3.1561 * CHOOSE(CONTROL!$C$22, $C$13, 100%, $E$13)</f>
        <v>3.1560999999999999</v>
      </c>
      <c r="E72" s="68">
        <f>3.7609 * CHOOSE(CONTROL!$C$22, $C$13, 100%, $E$13)</f>
        <v>3.7608999999999999</v>
      </c>
      <c r="F72" s="68">
        <f>3.7609 * CHOOSE(CONTROL!$C$22, $C$13, 100%, $E$13)</f>
        <v>3.7608999999999999</v>
      </c>
      <c r="G72" s="68">
        <f>3.7642 * CHOOSE(CONTROL!$C$22, $C$13, 100%, $E$13)</f>
        <v>3.7642000000000002</v>
      </c>
      <c r="H72" s="68">
        <f>5.8543* CHOOSE(CONTROL!$C$22, $C$13, 100%, $E$13)</f>
        <v>5.8543000000000003</v>
      </c>
      <c r="I72" s="68">
        <f>5.8575 * CHOOSE(CONTROL!$C$22, $C$13, 100%, $E$13)</f>
        <v>5.8574999999999999</v>
      </c>
      <c r="J72" s="68">
        <f>3.7609 * CHOOSE(CONTROL!$C$22, $C$13, 100%, $E$13)</f>
        <v>3.7608999999999999</v>
      </c>
      <c r="K72" s="68">
        <f>3.7642 * CHOOSE(CONTROL!$C$22, $C$13, 100%, $E$13)</f>
        <v>3.7642000000000002</v>
      </c>
      <c r="L72" s="4"/>
      <c r="M72" s="4"/>
      <c r="N72" s="4"/>
    </row>
    <row r="73" spans="1:14" ht="15">
      <c r="A73" s="13">
        <v>43344</v>
      </c>
      <c r="B73" s="67">
        <f>3.1505 * CHOOSE(CONTROL!$C$22, $C$13, 100%, $E$13)</f>
        <v>3.1505000000000001</v>
      </c>
      <c r="C73" s="67">
        <f>3.1505 * CHOOSE(CONTROL!$C$22, $C$13, 100%, $E$13)</f>
        <v>3.1505000000000001</v>
      </c>
      <c r="D73" s="67">
        <f>3.1531 * CHOOSE(CONTROL!$C$22, $C$13, 100%, $E$13)</f>
        <v>3.1530999999999998</v>
      </c>
      <c r="E73" s="68">
        <f>3.7549 * CHOOSE(CONTROL!$C$22, $C$13, 100%, $E$13)</f>
        <v>3.7549000000000001</v>
      </c>
      <c r="F73" s="68">
        <f>3.7549 * CHOOSE(CONTROL!$C$22, $C$13, 100%, $E$13)</f>
        <v>3.7549000000000001</v>
      </c>
      <c r="G73" s="68">
        <f>3.7582 * CHOOSE(CONTROL!$C$22, $C$13, 100%, $E$13)</f>
        <v>3.7582</v>
      </c>
      <c r="H73" s="68">
        <f>5.8665* CHOOSE(CONTROL!$C$22, $C$13, 100%, $E$13)</f>
        <v>5.8665000000000003</v>
      </c>
      <c r="I73" s="68">
        <f>5.8697 * CHOOSE(CONTROL!$C$22, $C$13, 100%, $E$13)</f>
        <v>5.8696999999999999</v>
      </c>
      <c r="J73" s="68">
        <f>3.7549 * CHOOSE(CONTROL!$C$22, $C$13, 100%, $E$13)</f>
        <v>3.7549000000000001</v>
      </c>
      <c r="K73" s="68">
        <f>3.7582 * CHOOSE(CONTROL!$C$22, $C$13, 100%, $E$13)</f>
        <v>3.7582</v>
      </c>
      <c r="L73" s="4"/>
      <c r="M73" s="4"/>
      <c r="N73" s="4"/>
    </row>
    <row r="74" spans="1:14" ht="15">
      <c r="A74" s="13">
        <v>43374</v>
      </c>
      <c r="B74" s="67">
        <f>3.1419 * CHOOSE(CONTROL!$C$22, $C$13, 100%, $E$13)</f>
        <v>3.1419000000000001</v>
      </c>
      <c r="C74" s="67">
        <f>3.1419 * CHOOSE(CONTROL!$C$22, $C$13, 100%, $E$13)</f>
        <v>3.1419000000000001</v>
      </c>
      <c r="D74" s="67">
        <f>3.1429 * CHOOSE(CONTROL!$C$22, $C$13, 100%, $E$13)</f>
        <v>3.1429</v>
      </c>
      <c r="E74" s="68">
        <f>3.7571 * CHOOSE(CONTROL!$C$22, $C$13, 100%, $E$13)</f>
        <v>3.7570999999999999</v>
      </c>
      <c r="F74" s="68">
        <f>3.7571 * CHOOSE(CONTROL!$C$22, $C$13, 100%, $E$13)</f>
        <v>3.7570999999999999</v>
      </c>
      <c r="G74" s="68">
        <f>3.7583 * CHOOSE(CONTROL!$C$22, $C$13, 100%, $E$13)</f>
        <v>3.7583000000000002</v>
      </c>
      <c r="H74" s="68">
        <f>5.8787* CHOOSE(CONTROL!$C$22, $C$13, 100%, $E$13)</f>
        <v>5.8787000000000003</v>
      </c>
      <c r="I74" s="68">
        <f>5.88 * CHOOSE(CONTROL!$C$22, $C$13, 100%, $E$13)</f>
        <v>5.88</v>
      </c>
      <c r="J74" s="68">
        <f>3.7571 * CHOOSE(CONTROL!$C$22, $C$13, 100%, $E$13)</f>
        <v>3.7570999999999999</v>
      </c>
      <c r="K74" s="68">
        <f>3.7583 * CHOOSE(CONTROL!$C$22, $C$13, 100%, $E$13)</f>
        <v>3.7583000000000002</v>
      </c>
      <c r="L74" s="4"/>
      <c r="M74" s="4"/>
      <c r="N74" s="4"/>
    </row>
    <row r="75" spans="1:14" ht="15">
      <c r="A75" s="13">
        <v>43405</v>
      </c>
      <c r="B75" s="67">
        <f>3.1449 * CHOOSE(CONTROL!$C$22, $C$13, 100%, $E$13)</f>
        <v>3.1448999999999998</v>
      </c>
      <c r="C75" s="67">
        <f>3.1449 * CHOOSE(CONTROL!$C$22, $C$13, 100%, $E$13)</f>
        <v>3.1448999999999998</v>
      </c>
      <c r="D75" s="67">
        <f>3.1459 * CHOOSE(CONTROL!$C$22, $C$13, 100%, $E$13)</f>
        <v>3.1459000000000001</v>
      </c>
      <c r="E75" s="68">
        <f>3.767 * CHOOSE(CONTROL!$C$22, $C$13, 100%, $E$13)</f>
        <v>3.7669999999999999</v>
      </c>
      <c r="F75" s="68">
        <f>3.767 * CHOOSE(CONTROL!$C$22, $C$13, 100%, $E$13)</f>
        <v>3.7669999999999999</v>
      </c>
      <c r="G75" s="68">
        <f>3.7682 * CHOOSE(CONTROL!$C$22, $C$13, 100%, $E$13)</f>
        <v>3.7682000000000002</v>
      </c>
      <c r="H75" s="68">
        <f>5.8909* CHOOSE(CONTROL!$C$22, $C$13, 100%, $E$13)</f>
        <v>5.8909000000000002</v>
      </c>
      <c r="I75" s="68">
        <f>5.8922 * CHOOSE(CONTROL!$C$22, $C$13, 100%, $E$13)</f>
        <v>5.8921999999999999</v>
      </c>
      <c r="J75" s="68">
        <f>3.767 * CHOOSE(CONTROL!$C$22, $C$13, 100%, $E$13)</f>
        <v>3.7669999999999999</v>
      </c>
      <c r="K75" s="68">
        <f>3.7682 * CHOOSE(CONTROL!$C$22, $C$13, 100%, $E$13)</f>
        <v>3.7682000000000002</v>
      </c>
      <c r="L75" s="4"/>
      <c r="M75" s="4"/>
      <c r="N75" s="4"/>
    </row>
    <row r="76" spans="1:14" ht="15">
      <c r="A76" s="13">
        <v>43435</v>
      </c>
      <c r="B76" s="67">
        <f>3.1449 * CHOOSE(CONTROL!$C$22, $C$13, 100%, $E$13)</f>
        <v>3.1448999999999998</v>
      </c>
      <c r="C76" s="67">
        <f>3.1449 * CHOOSE(CONTROL!$C$22, $C$13, 100%, $E$13)</f>
        <v>3.1448999999999998</v>
      </c>
      <c r="D76" s="67">
        <f>3.1459 * CHOOSE(CONTROL!$C$22, $C$13, 100%, $E$13)</f>
        <v>3.1459000000000001</v>
      </c>
      <c r="E76" s="68">
        <f>3.7475 * CHOOSE(CONTROL!$C$22, $C$13, 100%, $E$13)</f>
        <v>3.7475000000000001</v>
      </c>
      <c r="F76" s="68">
        <f>3.7475 * CHOOSE(CONTROL!$C$22, $C$13, 100%, $E$13)</f>
        <v>3.7475000000000001</v>
      </c>
      <c r="G76" s="68">
        <f>3.7488 * CHOOSE(CONTROL!$C$22, $C$13, 100%, $E$13)</f>
        <v>3.7488000000000001</v>
      </c>
      <c r="H76" s="68">
        <f>5.9032* CHOOSE(CONTROL!$C$22, $C$13, 100%, $E$13)</f>
        <v>5.9032</v>
      </c>
      <c r="I76" s="68">
        <f>5.9045 * CHOOSE(CONTROL!$C$22, $C$13, 100%, $E$13)</f>
        <v>5.9044999999999996</v>
      </c>
      <c r="J76" s="68">
        <f>3.7475 * CHOOSE(CONTROL!$C$22, $C$13, 100%, $E$13)</f>
        <v>3.7475000000000001</v>
      </c>
      <c r="K76" s="68">
        <f>3.7488 * CHOOSE(CONTROL!$C$22, $C$13, 100%, $E$13)</f>
        <v>3.7488000000000001</v>
      </c>
      <c r="L76" s="4"/>
      <c r="M76" s="4"/>
      <c r="N76" s="4"/>
    </row>
    <row r="77" spans="1:14" ht="15">
      <c r="A77" s="13">
        <v>43466</v>
      </c>
      <c r="B77" s="67">
        <f>3.1467 * CHOOSE(CONTROL!$C$22, $C$13, 100%, $E$13)</f>
        <v>3.1467000000000001</v>
      </c>
      <c r="C77" s="67">
        <f>3.1467 * CHOOSE(CONTROL!$C$22, $C$13, 100%, $E$13)</f>
        <v>3.1467000000000001</v>
      </c>
      <c r="D77" s="67">
        <f>3.1477 * CHOOSE(CONTROL!$C$22, $C$13, 100%, $E$13)</f>
        <v>3.1476999999999999</v>
      </c>
      <c r="E77" s="68">
        <f>3.844 * CHOOSE(CONTROL!$C$22, $C$13, 100%, $E$13)</f>
        <v>3.8439999999999999</v>
      </c>
      <c r="F77" s="68">
        <f>3.844 * CHOOSE(CONTROL!$C$22, $C$13, 100%, $E$13)</f>
        <v>3.8439999999999999</v>
      </c>
      <c r="G77" s="68">
        <f>3.8453 * CHOOSE(CONTROL!$C$22, $C$13, 100%, $E$13)</f>
        <v>3.8452999999999999</v>
      </c>
      <c r="H77" s="68">
        <f>5.9155* CHOOSE(CONTROL!$C$22, $C$13, 100%, $E$13)</f>
        <v>5.9154999999999998</v>
      </c>
      <c r="I77" s="68">
        <f>5.9168 * CHOOSE(CONTROL!$C$22, $C$13, 100%, $E$13)</f>
        <v>5.9168000000000003</v>
      </c>
      <c r="J77" s="68">
        <f>3.844 * CHOOSE(CONTROL!$C$22, $C$13, 100%, $E$13)</f>
        <v>3.8439999999999999</v>
      </c>
      <c r="K77" s="68">
        <f>3.8453 * CHOOSE(CONTROL!$C$22, $C$13, 100%, $E$13)</f>
        <v>3.8452999999999999</v>
      </c>
      <c r="L77" s="4"/>
      <c r="M77" s="4"/>
      <c r="N77" s="4"/>
    </row>
    <row r="78" spans="1:14" ht="15">
      <c r="A78" s="13">
        <v>43497</v>
      </c>
      <c r="B78" s="67">
        <f>3.1437 * CHOOSE(CONTROL!$C$22, $C$13, 100%, $E$13)</f>
        <v>3.1436999999999999</v>
      </c>
      <c r="C78" s="67">
        <f>3.1437 * CHOOSE(CONTROL!$C$22, $C$13, 100%, $E$13)</f>
        <v>3.1436999999999999</v>
      </c>
      <c r="D78" s="67">
        <f>3.1447 * CHOOSE(CONTROL!$C$22, $C$13, 100%, $E$13)</f>
        <v>3.1446999999999998</v>
      </c>
      <c r="E78" s="68">
        <f>3.7978 * CHOOSE(CONTROL!$C$22, $C$13, 100%, $E$13)</f>
        <v>3.7978000000000001</v>
      </c>
      <c r="F78" s="68">
        <f>3.7978 * CHOOSE(CONTROL!$C$22, $C$13, 100%, $E$13)</f>
        <v>3.7978000000000001</v>
      </c>
      <c r="G78" s="68">
        <f>3.7991 * CHOOSE(CONTROL!$C$22, $C$13, 100%, $E$13)</f>
        <v>3.7991000000000001</v>
      </c>
      <c r="H78" s="68">
        <f>5.9278* CHOOSE(CONTROL!$C$22, $C$13, 100%, $E$13)</f>
        <v>5.9278000000000004</v>
      </c>
      <c r="I78" s="68">
        <f>5.9291 * CHOOSE(CONTROL!$C$22, $C$13, 100%, $E$13)</f>
        <v>5.9291</v>
      </c>
      <c r="J78" s="68">
        <f>3.7978 * CHOOSE(CONTROL!$C$22, $C$13, 100%, $E$13)</f>
        <v>3.7978000000000001</v>
      </c>
      <c r="K78" s="68">
        <f>3.7991 * CHOOSE(CONTROL!$C$22, $C$13, 100%, $E$13)</f>
        <v>3.7991000000000001</v>
      </c>
      <c r="L78" s="4"/>
      <c r="M78" s="4"/>
      <c r="N78" s="4"/>
    </row>
    <row r="79" spans="1:14" ht="15">
      <c r="A79" s="13">
        <v>43525</v>
      </c>
      <c r="B79" s="67">
        <f>3.1407 * CHOOSE(CONTROL!$C$22, $C$13, 100%, $E$13)</f>
        <v>3.1406999999999998</v>
      </c>
      <c r="C79" s="67">
        <f>3.1407 * CHOOSE(CONTROL!$C$22, $C$13, 100%, $E$13)</f>
        <v>3.1406999999999998</v>
      </c>
      <c r="D79" s="67">
        <f>3.1416 * CHOOSE(CONTROL!$C$22, $C$13, 100%, $E$13)</f>
        <v>3.1415999999999999</v>
      </c>
      <c r="E79" s="68">
        <f>3.8304 * CHOOSE(CONTROL!$C$22, $C$13, 100%, $E$13)</f>
        <v>3.8304</v>
      </c>
      <c r="F79" s="68">
        <f>3.8304 * CHOOSE(CONTROL!$C$22, $C$13, 100%, $E$13)</f>
        <v>3.8304</v>
      </c>
      <c r="G79" s="68">
        <f>3.8317 * CHOOSE(CONTROL!$C$22, $C$13, 100%, $E$13)</f>
        <v>3.8317000000000001</v>
      </c>
      <c r="H79" s="68">
        <f>5.9402* CHOOSE(CONTROL!$C$22, $C$13, 100%, $E$13)</f>
        <v>5.9401999999999999</v>
      </c>
      <c r="I79" s="68">
        <f>5.9415 * CHOOSE(CONTROL!$C$22, $C$13, 100%, $E$13)</f>
        <v>5.9414999999999996</v>
      </c>
      <c r="J79" s="68">
        <f>3.8304 * CHOOSE(CONTROL!$C$22, $C$13, 100%, $E$13)</f>
        <v>3.8304</v>
      </c>
      <c r="K79" s="68">
        <f>3.8317 * CHOOSE(CONTROL!$C$22, $C$13, 100%, $E$13)</f>
        <v>3.8317000000000001</v>
      </c>
      <c r="L79" s="4"/>
      <c r="M79" s="4"/>
      <c r="N79" s="4"/>
    </row>
    <row r="80" spans="1:14" ht="15">
      <c r="A80" s="13">
        <v>43556</v>
      </c>
      <c r="B80" s="67">
        <f>3.1374 * CHOOSE(CONTROL!$C$22, $C$13, 100%, $E$13)</f>
        <v>3.1374</v>
      </c>
      <c r="C80" s="67">
        <f>3.1374 * CHOOSE(CONTROL!$C$22, $C$13, 100%, $E$13)</f>
        <v>3.1374</v>
      </c>
      <c r="D80" s="67">
        <f>3.1384 * CHOOSE(CONTROL!$C$22, $C$13, 100%, $E$13)</f>
        <v>3.1383999999999999</v>
      </c>
      <c r="E80" s="68">
        <f>3.8635 * CHOOSE(CONTROL!$C$22, $C$13, 100%, $E$13)</f>
        <v>3.8635000000000002</v>
      </c>
      <c r="F80" s="68">
        <f>3.8635 * CHOOSE(CONTROL!$C$22, $C$13, 100%, $E$13)</f>
        <v>3.8635000000000002</v>
      </c>
      <c r="G80" s="68">
        <f>3.8648 * CHOOSE(CONTROL!$C$22, $C$13, 100%, $E$13)</f>
        <v>3.8647999999999998</v>
      </c>
      <c r="H80" s="68">
        <f>5.9526* CHOOSE(CONTROL!$C$22, $C$13, 100%, $E$13)</f>
        <v>5.9526000000000003</v>
      </c>
      <c r="I80" s="68">
        <f>5.9538 * CHOOSE(CONTROL!$C$22, $C$13, 100%, $E$13)</f>
        <v>5.9538000000000002</v>
      </c>
      <c r="J80" s="68">
        <f>3.8635 * CHOOSE(CONTROL!$C$22, $C$13, 100%, $E$13)</f>
        <v>3.8635000000000002</v>
      </c>
      <c r="K80" s="68">
        <f>3.8648 * CHOOSE(CONTROL!$C$22, $C$13, 100%, $E$13)</f>
        <v>3.8647999999999998</v>
      </c>
      <c r="L80" s="4"/>
      <c r="M80" s="4"/>
      <c r="N80" s="4"/>
    </row>
    <row r="81" spans="1:14" ht="15">
      <c r="A81" s="13">
        <v>43586</v>
      </c>
      <c r="B81" s="67">
        <f>3.1374 * CHOOSE(CONTROL!$C$22, $C$13, 100%, $E$13)</f>
        <v>3.1374</v>
      </c>
      <c r="C81" s="67">
        <f>3.1374 * CHOOSE(CONTROL!$C$22, $C$13, 100%, $E$13)</f>
        <v>3.1374</v>
      </c>
      <c r="D81" s="67">
        <f>3.14 * CHOOSE(CONTROL!$C$22, $C$13, 100%, $E$13)</f>
        <v>3.14</v>
      </c>
      <c r="E81" s="68">
        <f>3.8775 * CHOOSE(CONTROL!$C$22, $C$13, 100%, $E$13)</f>
        <v>3.8774999999999999</v>
      </c>
      <c r="F81" s="68">
        <f>3.8775 * CHOOSE(CONTROL!$C$22, $C$13, 100%, $E$13)</f>
        <v>3.8774999999999999</v>
      </c>
      <c r="G81" s="68">
        <f>3.8808 * CHOOSE(CONTROL!$C$22, $C$13, 100%, $E$13)</f>
        <v>3.8807999999999998</v>
      </c>
      <c r="H81" s="68">
        <f>5.965* CHOOSE(CONTROL!$C$22, $C$13, 100%, $E$13)</f>
        <v>5.9649999999999999</v>
      </c>
      <c r="I81" s="68">
        <f>5.9682 * CHOOSE(CONTROL!$C$22, $C$13, 100%, $E$13)</f>
        <v>5.9682000000000004</v>
      </c>
      <c r="J81" s="68">
        <f>3.8775 * CHOOSE(CONTROL!$C$22, $C$13, 100%, $E$13)</f>
        <v>3.8774999999999999</v>
      </c>
      <c r="K81" s="68">
        <f>3.8808 * CHOOSE(CONTROL!$C$22, $C$13, 100%, $E$13)</f>
        <v>3.8807999999999998</v>
      </c>
      <c r="L81" s="4"/>
      <c r="M81" s="4"/>
      <c r="N81" s="4"/>
    </row>
    <row r="82" spans="1:14" ht="15">
      <c r="A82" s="13">
        <v>43617</v>
      </c>
      <c r="B82" s="67">
        <f>3.1435 * CHOOSE(CONTROL!$C$22, $C$13, 100%, $E$13)</f>
        <v>3.1435</v>
      </c>
      <c r="C82" s="67">
        <f>3.1435 * CHOOSE(CONTROL!$C$22, $C$13, 100%, $E$13)</f>
        <v>3.1435</v>
      </c>
      <c r="D82" s="67">
        <f>3.1461 * CHOOSE(CONTROL!$C$22, $C$13, 100%, $E$13)</f>
        <v>3.1461000000000001</v>
      </c>
      <c r="E82" s="68">
        <f>3.8678 * CHOOSE(CONTROL!$C$22, $C$13, 100%, $E$13)</f>
        <v>3.8677999999999999</v>
      </c>
      <c r="F82" s="68">
        <f>3.8678 * CHOOSE(CONTROL!$C$22, $C$13, 100%, $E$13)</f>
        <v>3.8677999999999999</v>
      </c>
      <c r="G82" s="68">
        <f>3.871 * CHOOSE(CONTROL!$C$22, $C$13, 100%, $E$13)</f>
        <v>3.871</v>
      </c>
      <c r="H82" s="68">
        <f>5.9774* CHOOSE(CONTROL!$C$22, $C$13, 100%, $E$13)</f>
        <v>5.9774000000000003</v>
      </c>
      <c r="I82" s="68">
        <f>5.9806 * CHOOSE(CONTROL!$C$22, $C$13, 100%, $E$13)</f>
        <v>5.9805999999999999</v>
      </c>
      <c r="J82" s="68">
        <f>3.8678 * CHOOSE(CONTROL!$C$22, $C$13, 100%, $E$13)</f>
        <v>3.8677999999999999</v>
      </c>
      <c r="K82" s="68">
        <f>3.871 * CHOOSE(CONTROL!$C$22, $C$13, 100%, $E$13)</f>
        <v>3.871</v>
      </c>
      <c r="L82" s="4"/>
      <c r="M82" s="4"/>
      <c r="N82" s="4"/>
    </row>
    <row r="83" spans="1:14" ht="15">
      <c r="A83" s="13">
        <v>43647</v>
      </c>
      <c r="B83" s="67">
        <f>3.1331 * CHOOSE(CONTROL!$C$22, $C$13, 100%, $E$13)</f>
        <v>3.1331000000000002</v>
      </c>
      <c r="C83" s="67">
        <f>3.1331 * CHOOSE(CONTROL!$C$22, $C$13, 100%, $E$13)</f>
        <v>3.1331000000000002</v>
      </c>
      <c r="D83" s="67">
        <f>3.1357 * CHOOSE(CONTROL!$C$22, $C$13, 100%, $E$13)</f>
        <v>3.1356999999999999</v>
      </c>
      <c r="E83" s="68">
        <f>3.901 * CHOOSE(CONTROL!$C$22, $C$13, 100%, $E$13)</f>
        <v>3.9009999999999998</v>
      </c>
      <c r="F83" s="68">
        <f>3.901 * CHOOSE(CONTROL!$C$22, $C$13, 100%, $E$13)</f>
        <v>3.9009999999999998</v>
      </c>
      <c r="G83" s="68">
        <f>3.9043 * CHOOSE(CONTROL!$C$22, $C$13, 100%, $E$13)</f>
        <v>3.9043000000000001</v>
      </c>
      <c r="H83" s="68">
        <f>5.9898* CHOOSE(CONTROL!$C$22, $C$13, 100%, $E$13)</f>
        <v>5.9897999999999998</v>
      </c>
      <c r="I83" s="68">
        <f>5.9931 * CHOOSE(CONTROL!$C$22, $C$13, 100%, $E$13)</f>
        <v>5.9931000000000001</v>
      </c>
      <c r="J83" s="68">
        <f>3.901 * CHOOSE(CONTROL!$C$22, $C$13, 100%, $E$13)</f>
        <v>3.9009999999999998</v>
      </c>
      <c r="K83" s="68">
        <f>3.9043 * CHOOSE(CONTROL!$C$22, $C$13, 100%, $E$13)</f>
        <v>3.9043000000000001</v>
      </c>
      <c r="L83" s="4"/>
      <c r="M83" s="4"/>
      <c r="N83" s="4"/>
    </row>
    <row r="84" spans="1:14" ht="15">
      <c r="A84" s="13">
        <v>43678</v>
      </c>
      <c r="B84" s="67">
        <f>3.1398 * CHOOSE(CONTROL!$C$22, $C$13, 100%, $E$13)</f>
        <v>3.1398000000000001</v>
      </c>
      <c r="C84" s="67">
        <f>3.1398 * CHOOSE(CONTROL!$C$22, $C$13, 100%, $E$13)</f>
        <v>3.1398000000000001</v>
      </c>
      <c r="D84" s="67">
        <f>3.1424 * CHOOSE(CONTROL!$C$22, $C$13, 100%, $E$13)</f>
        <v>3.1423999999999999</v>
      </c>
      <c r="E84" s="68">
        <f>3.8637 * CHOOSE(CONTROL!$C$22, $C$13, 100%, $E$13)</f>
        <v>3.8637000000000001</v>
      </c>
      <c r="F84" s="68">
        <f>3.8637 * CHOOSE(CONTROL!$C$22, $C$13, 100%, $E$13)</f>
        <v>3.8637000000000001</v>
      </c>
      <c r="G84" s="68">
        <f>3.8669 * CHOOSE(CONTROL!$C$22, $C$13, 100%, $E$13)</f>
        <v>3.8668999999999998</v>
      </c>
      <c r="H84" s="68">
        <f>6.0023* CHOOSE(CONTROL!$C$22, $C$13, 100%, $E$13)</f>
        <v>6.0023</v>
      </c>
      <c r="I84" s="68">
        <f>6.0056 * CHOOSE(CONTROL!$C$22, $C$13, 100%, $E$13)</f>
        <v>6.0056000000000003</v>
      </c>
      <c r="J84" s="68">
        <f>3.8637 * CHOOSE(CONTROL!$C$22, $C$13, 100%, $E$13)</f>
        <v>3.8637000000000001</v>
      </c>
      <c r="K84" s="68">
        <f>3.8669 * CHOOSE(CONTROL!$C$22, $C$13, 100%, $E$13)</f>
        <v>3.8668999999999998</v>
      </c>
      <c r="L84" s="4"/>
      <c r="M84" s="4"/>
      <c r="N84" s="4"/>
    </row>
    <row r="85" spans="1:14" ht="15">
      <c r="A85" s="13">
        <v>43709</v>
      </c>
      <c r="B85" s="67">
        <f>3.1367 * CHOOSE(CONTROL!$C$22, $C$13, 100%, $E$13)</f>
        <v>3.1366999999999998</v>
      </c>
      <c r="C85" s="67">
        <f>3.1367 * CHOOSE(CONTROL!$C$22, $C$13, 100%, $E$13)</f>
        <v>3.1366999999999998</v>
      </c>
      <c r="D85" s="67">
        <f>3.1393 * CHOOSE(CONTROL!$C$22, $C$13, 100%, $E$13)</f>
        <v>3.1393</v>
      </c>
      <c r="E85" s="68">
        <f>3.8569 * CHOOSE(CONTROL!$C$22, $C$13, 100%, $E$13)</f>
        <v>3.8569</v>
      </c>
      <c r="F85" s="68">
        <f>3.8569 * CHOOSE(CONTROL!$C$22, $C$13, 100%, $E$13)</f>
        <v>3.8569</v>
      </c>
      <c r="G85" s="68">
        <f>3.8601 * CHOOSE(CONTROL!$C$22, $C$13, 100%, $E$13)</f>
        <v>3.8601000000000001</v>
      </c>
      <c r="H85" s="68">
        <f>6.0148* CHOOSE(CONTROL!$C$22, $C$13, 100%, $E$13)</f>
        <v>6.0148000000000001</v>
      </c>
      <c r="I85" s="68">
        <f>6.0181 * CHOOSE(CONTROL!$C$22, $C$13, 100%, $E$13)</f>
        <v>6.0180999999999996</v>
      </c>
      <c r="J85" s="68">
        <f>3.8569 * CHOOSE(CONTROL!$C$22, $C$13, 100%, $E$13)</f>
        <v>3.8569</v>
      </c>
      <c r="K85" s="68">
        <f>3.8601 * CHOOSE(CONTROL!$C$22, $C$13, 100%, $E$13)</f>
        <v>3.8601000000000001</v>
      </c>
      <c r="L85" s="4"/>
      <c r="M85" s="4"/>
      <c r="N85" s="4"/>
    </row>
    <row r="86" spans="1:14" ht="15">
      <c r="A86" s="13">
        <v>43739</v>
      </c>
      <c r="B86" s="67">
        <f>3.1284 * CHOOSE(CONTROL!$C$22, $C$13, 100%, $E$13)</f>
        <v>3.1284000000000001</v>
      </c>
      <c r="C86" s="67">
        <f>3.1284 * CHOOSE(CONTROL!$C$22, $C$13, 100%, $E$13)</f>
        <v>3.1284000000000001</v>
      </c>
      <c r="D86" s="67">
        <f>3.1294 * CHOOSE(CONTROL!$C$22, $C$13, 100%, $E$13)</f>
        <v>3.1294</v>
      </c>
      <c r="E86" s="68">
        <f>3.8621 * CHOOSE(CONTROL!$C$22, $C$13, 100%, $E$13)</f>
        <v>3.8620999999999999</v>
      </c>
      <c r="F86" s="68">
        <f>3.8621 * CHOOSE(CONTROL!$C$22, $C$13, 100%, $E$13)</f>
        <v>3.8620999999999999</v>
      </c>
      <c r="G86" s="68">
        <f>3.8634 * CHOOSE(CONTROL!$C$22, $C$13, 100%, $E$13)</f>
        <v>3.8633999999999999</v>
      </c>
      <c r="H86" s="68">
        <f>6.0274* CHOOSE(CONTROL!$C$22, $C$13, 100%, $E$13)</f>
        <v>6.0274000000000001</v>
      </c>
      <c r="I86" s="68">
        <f>6.0286 * CHOOSE(CONTROL!$C$22, $C$13, 100%, $E$13)</f>
        <v>6.0286</v>
      </c>
      <c r="J86" s="68">
        <f>3.8621 * CHOOSE(CONTROL!$C$22, $C$13, 100%, $E$13)</f>
        <v>3.8620999999999999</v>
      </c>
      <c r="K86" s="68">
        <f>3.8634 * CHOOSE(CONTROL!$C$22, $C$13, 100%, $E$13)</f>
        <v>3.8633999999999999</v>
      </c>
      <c r="L86" s="4"/>
      <c r="M86" s="4"/>
      <c r="N86" s="4"/>
    </row>
    <row r="87" spans="1:14" ht="15">
      <c r="A87" s="13">
        <v>43770</v>
      </c>
      <c r="B87" s="67">
        <f>3.1314 * CHOOSE(CONTROL!$C$22, $C$13, 100%, $E$13)</f>
        <v>3.1314000000000002</v>
      </c>
      <c r="C87" s="67">
        <f>3.1314 * CHOOSE(CONTROL!$C$22, $C$13, 100%, $E$13)</f>
        <v>3.1314000000000002</v>
      </c>
      <c r="D87" s="67">
        <f>3.1324 * CHOOSE(CONTROL!$C$22, $C$13, 100%, $E$13)</f>
        <v>3.1324000000000001</v>
      </c>
      <c r="E87" s="68">
        <f>3.8736 * CHOOSE(CONTROL!$C$22, $C$13, 100%, $E$13)</f>
        <v>3.8736000000000002</v>
      </c>
      <c r="F87" s="68">
        <f>3.8736 * CHOOSE(CONTROL!$C$22, $C$13, 100%, $E$13)</f>
        <v>3.8736000000000002</v>
      </c>
      <c r="G87" s="68">
        <f>3.8749 * CHOOSE(CONTROL!$C$22, $C$13, 100%, $E$13)</f>
        <v>3.8748999999999998</v>
      </c>
      <c r="H87" s="68">
        <f>6.0399* CHOOSE(CONTROL!$C$22, $C$13, 100%, $E$13)</f>
        <v>6.0399000000000003</v>
      </c>
      <c r="I87" s="68">
        <f>6.0412 * CHOOSE(CONTROL!$C$22, $C$13, 100%, $E$13)</f>
        <v>6.0411999999999999</v>
      </c>
      <c r="J87" s="68">
        <f>3.8736 * CHOOSE(CONTROL!$C$22, $C$13, 100%, $E$13)</f>
        <v>3.8736000000000002</v>
      </c>
      <c r="K87" s="68">
        <f>3.8749 * CHOOSE(CONTROL!$C$22, $C$13, 100%, $E$13)</f>
        <v>3.8748999999999998</v>
      </c>
      <c r="L87" s="4"/>
      <c r="M87" s="4"/>
      <c r="N87" s="4"/>
    </row>
    <row r="88" spans="1:14" ht="15">
      <c r="A88" s="13">
        <v>43800</v>
      </c>
      <c r="B88" s="67">
        <f>3.1314 * CHOOSE(CONTROL!$C$22, $C$13, 100%, $E$13)</f>
        <v>3.1314000000000002</v>
      </c>
      <c r="C88" s="67">
        <f>3.1314 * CHOOSE(CONTROL!$C$22, $C$13, 100%, $E$13)</f>
        <v>3.1314000000000002</v>
      </c>
      <c r="D88" s="67">
        <f>3.1324 * CHOOSE(CONTROL!$C$22, $C$13, 100%, $E$13)</f>
        <v>3.1324000000000001</v>
      </c>
      <c r="E88" s="68">
        <f>3.8503 * CHOOSE(CONTROL!$C$22, $C$13, 100%, $E$13)</f>
        <v>3.8502999999999998</v>
      </c>
      <c r="F88" s="68">
        <f>3.8503 * CHOOSE(CONTROL!$C$22, $C$13, 100%, $E$13)</f>
        <v>3.8502999999999998</v>
      </c>
      <c r="G88" s="68">
        <f>3.8515 * CHOOSE(CONTROL!$C$22, $C$13, 100%, $E$13)</f>
        <v>3.8515000000000001</v>
      </c>
      <c r="H88" s="68">
        <f>6.0525* CHOOSE(CONTROL!$C$22, $C$13, 100%, $E$13)</f>
        <v>6.0525000000000002</v>
      </c>
      <c r="I88" s="68">
        <f>6.0538 * CHOOSE(CONTROL!$C$22, $C$13, 100%, $E$13)</f>
        <v>6.0537999999999998</v>
      </c>
      <c r="J88" s="68">
        <f>3.8503 * CHOOSE(CONTROL!$C$22, $C$13, 100%, $E$13)</f>
        <v>3.8502999999999998</v>
      </c>
      <c r="K88" s="68">
        <f>3.8515 * CHOOSE(CONTROL!$C$22, $C$13, 100%, $E$13)</f>
        <v>3.8515000000000001</v>
      </c>
      <c r="L88" s="4"/>
      <c r="M88" s="4"/>
      <c r="N88" s="4"/>
    </row>
    <row r="89" spans="1:14" ht="15">
      <c r="A89" s="13">
        <v>43831</v>
      </c>
      <c r="B89" s="67">
        <f>3.167 * CHOOSE(CONTROL!$C$22, $C$13, 100%, $E$13)</f>
        <v>3.1669999999999998</v>
      </c>
      <c r="C89" s="67">
        <f>3.167 * CHOOSE(CONTROL!$C$22, $C$13, 100%, $E$13)</f>
        <v>3.1669999999999998</v>
      </c>
      <c r="D89" s="67">
        <f>3.168 * CHOOSE(CONTROL!$C$22, $C$13, 100%, $E$13)</f>
        <v>3.1680000000000001</v>
      </c>
      <c r="E89" s="68">
        <f>3.8608 * CHOOSE(CONTROL!$C$22, $C$13, 100%, $E$13)</f>
        <v>3.8607999999999998</v>
      </c>
      <c r="F89" s="68">
        <f>3.8608 * CHOOSE(CONTROL!$C$22, $C$13, 100%, $E$13)</f>
        <v>3.8607999999999998</v>
      </c>
      <c r="G89" s="68">
        <f>3.8621 * CHOOSE(CONTROL!$C$22, $C$13, 100%, $E$13)</f>
        <v>3.8620999999999999</v>
      </c>
      <c r="H89" s="68">
        <f>6.0651* CHOOSE(CONTROL!$C$22, $C$13, 100%, $E$13)</f>
        <v>6.0651000000000002</v>
      </c>
      <c r="I89" s="68">
        <f>6.0664 * CHOOSE(CONTROL!$C$22, $C$13, 100%, $E$13)</f>
        <v>6.0663999999999998</v>
      </c>
      <c r="J89" s="68">
        <f>3.8608 * CHOOSE(CONTROL!$C$22, $C$13, 100%, $E$13)</f>
        <v>3.8607999999999998</v>
      </c>
      <c r="K89" s="68">
        <f>3.8621 * CHOOSE(CONTROL!$C$22, $C$13, 100%, $E$13)</f>
        <v>3.8620999999999999</v>
      </c>
      <c r="L89" s="4"/>
      <c r="M89" s="4"/>
      <c r="N89" s="4"/>
    </row>
    <row r="90" spans="1:14" ht="15">
      <c r="A90" s="13">
        <v>43862</v>
      </c>
      <c r="B90" s="67">
        <f>3.164 * CHOOSE(CONTROL!$C$22, $C$13, 100%, $E$13)</f>
        <v>3.1640000000000001</v>
      </c>
      <c r="C90" s="67">
        <f>3.164 * CHOOSE(CONTROL!$C$22, $C$13, 100%, $E$13)</f>
        <v>3.1640000000000001</v>
      </c>
      <c r="D90" s="67">
        <f>3.1649 * CHOOSE(CONTROL!$C$22, $C$13, 100%, $E$13)</f>
        <v>3.1648999999999998</v>
      </c>
      <c r="E90" s="68">
        <f>3.8041 * CHOOSE(CONTROL!$C$22, $C$13, 100%, $E$13)</f>
        <v>3.8041</v>
      </c>
      <c r="F90" s="68">
        <f>3.8041 * CHOOSE(CONTROL!$C$22, $C$13, 100%, $E$13)</f>
        <v>3.8041</v>
      </c>
      <c r="G90" s="68">
        <f>3.8053 * CHOOSE(CONTROL!$C$22, $C$13, 100%, $E$13)</f>
        <v>3.8052999999999999</v>
      </c>
      <c r="H90" s="68">
        <f>6.0777* CHOOSE(CONTROL!$C$22, $C$13, 100%, $E$13)</f>
        <v>6.0777000000000001</v>
      </c>
      <c r="I90" s="68">
        <f>6.079 * CHOOSE(CONTROL!$C$22, $C$13, 100%, $E$13)</f>
        <v>6.0789999999999997</v>
      </c>
      <c r="J90" s="68">
        <f>3.8041 * CHOOSE(CONTROL!$C$22, $C$13, 100%, $E$13)</f>
        <v>3.8041</v>
      </c>
      <c r="K90" s="68">
        <f>3.8053 * CHOOSE(CONTROL!$C$22, $C$13, 100%, $E$13)</f>
        <v>3.8052999999999999</v>
      </c>
      <c r="L90" s="4"/>
      <c r="M90" s="4"/>
      <c r="N90" s="4"/>
    </row>
    <row r="91" spans="1:14" ht="15">
      <c r="A91" s="13">
        <v>43891</v>
      </c>
      <c r="B91" s="67">
        <f>3.1609 * CHOOSE(CONTROL!$C$22, $C$13, 100%, $E$13)</f>
        <v>3.1608999999999998</v>
      </c>
      <c r="C91" s="67">
        <f>3.1609 * CHOOSE(CONTROL!$C$22, $C$13, 100%, $E$13)</f>
        <v>3.1608999999999998</v>
      </c>
      <c r="D91" s="67">
        <f>3.1619 * CHOOSE(CONTROL!$C$22, $C$13, 100%, $E$13)</f>
        <v>3.1619000000000002</v>
      </c>
      <c r="E91" s="68">
        <f>3.845 * CHOOSE(CONTROL!$C$22, $C$13, 100%, $E$13)</f>
        <v>3.8450000000000002</v>
      </c>
      <c r="F91" s="68">
        <f>3.845 * CHOOSE(CONTROL!$C$22, $C$13, 100%, $E$13)</f>
        <v>3.8450000000000002</v>
      </c>
      <c r="G91" s="68">
        <f>3.8463 * CHOOSE(CONTROL!$C$22, $C$13, 100%, $E$13)</f>
        <v>3.8462999999999998</v>
      </c>
      <c r="H91" s="68">
        <f>6.0904* CHOOSE(CONTROL!$C$22, $C$13, 100%, $E$13)</f>
        <v>6.0903999999999998</v>
      </c>
      <c r="I91" s="68">
        <f>6.0917 * CHOOSE(CONTROL!$C$22, $C$13, 100%, $E$13)</f>
        <v>6.0917000000000003</v>
      </c>
      <c r="J91" s="68">
        <f>3.845 * CHOOSE(CONTROL!$C$22, $C$13, 100%, $E$13)</f>
        <v>3.8450000000000002</v>
      </c>
      <c r="K91" s="68">
        <f>3.8463 * CHOOSE(CONTROL!$C$22, $C$13, 100%, $E$13)</f>
        <v>3.8462999999999998</v>
      </c>
      <c r="L91" s="4"/>
      <c r="M91" s="4"/>
      <c r="N91" s="4"/>
    </row>
    <row r="92" spans="1:14" ht="15">
      <c r="A92" s="13">
        <v>43922</v>
      </c>
      <c r="B92" s="67">
        <f>3.1577 * CHOOSE(CONTROL!$C$22, $C$13, 100%, $E$13)</f>
        <v>3.1577000000000002</v>
      </c>
      <c r="C92" s="67">
        <f>3.1577 * CHOOSE(CONTROL!$C$22, $C$13, 100%, $E$13)</f>
        <v>3.1577000000000002</v>
      </c>
      <c r="D92" s="67">
        <f>3.1587 * CHOOSE(CONTROL!$C$22, $C$13, 100%, $E$13)</f>
        <v>3.1587000000000001</v>
      </c>
      <c r="E92" s="68">
        <f>3.8871 * CHOOSE(CONTROL!$C$22, $C$13, 100%, $E$13)</f>
        <v>3.8871000000000002</v>
      </c>
      <c r="F92" s="68">
        <f>3.8871 * CHOOSE(CONTROL!$C$22, $C$13, 100%, $E$13)</f>
        <v>3.8871000000000002</v>
      </c>
      <c r="G92" s="68">
        <f>3.8884 * CHOOSE(CONTROL!$C$22, $C$13, 100%, $E$13)</f>
        <v>3.8883999999999999</v>
      </c>
      <c r="H92" s="68">
        <f>6.1031* CHOOSE(CONTROL!$C$22, $C$13, 100%, $E$13)</f>
        <v>6.1031000000000004</v>
      </c>
      <c r="I92" s="68">
        <f>6.1044 * CHOOSE(CONTROL!$C$22, $C$13, 100%, $E$13)</f>
        <v>6.1044</v>
      </c>
      <c r="J92" s="68">
        <f>3.8871 * CHOOSE(CONTROL!$C$22, $C$13, 100%, $E$13)</f>
        <v>3.8871000000000002</v>
      </c>
      <c r="K92" s="68">
        <f>3.8884 * CHOOSE(CONTROL!$C$22, $C$13, 100%, $E$13)</f>
        <v>3.8883999999999999</v>
      </c>
      <c r="L92" s="4"/>
      <c r="M92" s="4"/>
      <c r="N92" s="4"/>
    </row>
    <row r="93" spans="1:14" ht="15">
      <c r="A93" s="13">
        <v>43952</v>
      </c>
      <c r="B93" s="67">
        <f>3.1577 * CHOOSE(CONTROL!$C$22, $C$13, 100%, $E$13)</f>
        <v>3.1577000000000002</v>
      </c>
      <c r="C93" s="67">
        <f>3.1577 * CHOOSE(CONTROL!$C$22, $C$13, 100%, $E$13)</f>
        <v>3.1577000000000002</v>
      </c>
      <c r="D93" s="67">
        <f>3.1603 * CHOOSE(CONTROL!$C$22, $C$13, 100%, $E$13)</f>
        <v>3.1602999999999999</v>
      </c>
      <c r="E93" s="68">
        <f>3.9044 * CHOOSE(CONTROL!$C$22, $C$13, 100%, $E$13)</f>
        <v>3.9043999999999999</v>
      </c>
      <c r="F93" s="68">
        <f>3.9044 * CHOOSE(CONTROL!$C$22, $C$13, 100%, $E$13)</f>
        <v>3.9043999999999999</v>
      </c>
      <c r="G93" s="68">
        <f>3.9077 * CHOOSE(CONTROL!$C$22, $C$13, 100%, $E$13)</f>
        <v>3.9077000000000002</v>
      </c>
      <c r="H93" s="68">
        <f>6.1158* CHOOSE(CONTROL!$C$22, $C$13, 100%, $E$13)</f>
        <v>6.1158000000000001</v>
      </c>
      <c r="I93" s="68">
        <f>6.1191 * CHOOSE(CONTROL!$C$22, $C$13, 100%, $E$13)</f>
        <v>6.1191000000000004</v>
      </c>
      <c r="J93" s="68">
        <f>3.9044 * CHOOSE(CONTROL!$C$22, $C$13, 100%, $E$13)</f>
        <v>3.9043999999999999</v>
      </c>
      <c r="K93" s="68">
        <f>3.9077 * CHOOSE(CONTROL!$C$22, $C$13, 100%, $E$13)</f>
        <v>3.9077000000000002</v>
      </c>
      <c r="L93" s="4"/>
      <c r="M93" s="4"/>
      <c r="N93" s="4"/>
    </row>
    <row r="94" spans="1:14" ht="15">
      <c r="A94" s="13">
        <v>43983</v>
      </c>
      <c r="B94" s="67">
        <f>3.1638 * CHOOSE(CONTROL!$C$22, $C$13, 100%, $E$13)</f>
        <v>3.1638000000000002</v>
      </c>
      <c r="C94" s="67">
        <f>3.1638 * CHOOSE(CONTROL!$C$22, $C$13, 100%, $E$13)</f>
        <v>3.1638000000000002</v>
      </c>
      <c r="D94" s="67">
        <f>3.1664 * CHOOSE(CONTROL!$C$22, $C$13, 100%, $E$13)</f>
        <v>3.1663999999999999</v>
      </c>
      <c r="E94" s="68">
        <f>3.8913 * CHOOSE(CONTROL!$C$22, $C$13, 100%, $E$13)</f>
        <v>3.8913000000000002</v>
      </c>
      <c r="F94" s="68">
        <f>3.8913 * CHOOSE(CONTROL!$C$22, $C$13, 100%, $E$13)</f>
        <v>3.8913000000000002</v>
      </c>
      <c r="G94" s="68">
        <f>3.8946 * CHOOSE(CONTROL!$C$22, $C$13, 100%, $E$13)</f>
        <v>3.8946000000000001</v>
      </c>
      <c r="H94" s="68">
        <f>6.1285* CHOOSE(CONTROL!$C$22, $C$13, 100%, $E$13)</f>
        <v>6.1284999999999998</v>
      </c>
      <c r="I94" s="68">
        <f>6.1318 * CHOOSE(CONTROL!$C$22, $C$13, 100%, $E$13)</f>
        <v>6.1318000000000001</v>
      </c>
      <c r="J94" s="68">
        <f>3.8913 * CHOOSE(CONTROL!$C$22, $C$13, 100%, $E$13)</f>
        <v>3.8913000000000002</v>
      </c>
      <c r="K94" s="68">
        <f>3.8946 * CHOOSE(CONTROL!$C$22, $C$13, 100%, $E$13)</f>
        <v>3.8946000000000001</v>
      </c>
      <c r="L94" s="4"/>
      <c r="M94" s="4"/>
      <c r="N94" s="4"/>
    </row>
    <row r="95" spans="1:14" ht="15">
      <c r="A95" s="13">
        <v>44013</v>
      </c>
      <c r="B95" s="67">
        <f>3.2348 * CHOOSE(CONTROL!$C$22, $C$13, 100%, $E$13)</f>
        <v>3.2347999999999999</v>
      </c>
      <c r="C95" s="67">
        <f>3.2348 * CHOOSE(CONTROL!$C$22, $C$13, 100%, $E$13)</f>
        <v>3.2347999999999999</v>
      </c>
      <c r="D95" s="67">
        <f>3.2374 * CHOOSE(CONTROL!$C$22, $C$13, 100%, $E$13)</f>
        <v>3.2374000000000001</v>
      </c>
      <c r="E95" s="68">
        <f>3.6313 * CHOOSE(CONTROL!$C$22, $C$13, 100%, $E$13)</f>
        <v>3.6313</v>
      </c>
      <c r="F95" s="68">
        <f>3.6313 * CHOOSE(CONTROL!$C$22, $C$13, 100%, $E$13)</f>
        <v>3.6313</v>
      </c>
      <c r="G95" s="68">
        <f>3.6345 * CHOOSE(CONTROL!$C$22, $C$13, 100%, $E$13)</f>
        <v>3.6345000000000001</v>
      </c>
      <c r="H95" s="68">
        <f>6.1413* CHOOSE(CONTROL!$C$22, $C$13, 100%, $E$13)</f>
        <v>6.1413000000000002</v>
      </c>
      <c r="I95" s="68">
        <f>6.1446 * CHOOSE(CONTROL!$C$22, $C$13, 100%, $E$13)</f>
        <v>6.1445999999999996</v>
      </c>
      <c r="J95" s="68">
        <f>3.6313 * CHOOSE(CONTROL!$C$22, $C$13, 100%, $E$13)</f>
        <v>3.6313</v>
      </c>
      <c r="K95" s="68">
        <f>3.6345 * CHOOSE(CONTROL!$C$22, $C$13, 100%, $E$13)</f>
        <v>3.6345000000000001</v>
      </c>
      <c r="L95" s="4"/>
      <c r="M95" s="4"/>
      <c r="N95" s="4"/>
    </row>
    <row r="96" spans="1:14" ht="15">
      <c r="A96" s="13">
        <v>44044</v>
      </c>
      <c r="B96" s="67">
        <f>3.2415 * CHOOSE(CONTROL!$C$22, $C$13, 100%, $E$13)</f>
        <v>3.2414999999999998</v>
      </c>
      <c r="C96" s="67">
        <f>3.2415 * CHOOSE(CONTROL!$C$22, $C$13, 100%, $E$13)</f>
        <v>3.2414999999999998</v>
      </c>
      <c r="D96" s="67">
        <f>3.2441 * CHOOSE(CONTROL!$C$22, $C$13, 100%, $E$13)</f>
        <v>3.2441</v>
      </c>
      <c r="E96" s="68">
        <f>3.5839 * CHOOSE(CONTROL!$C$22, $C$13, 100%, $E$13)</f>
        <v>3.5838999999999999</v>
      </c>
      <c r="F96" s="68">
        <f>3.5839 * CHOOSE(CONTROL!$C$22, $C$13, 100%, $E$13)</f>
        <v>3.5838999999999999</v>
      </c>
      <c r="G96" s="68">
        <f>3.5871 * CHOOSE(CONTROL!$C$22, $C$13, 100%, $E$13)</f>
        <v>3.5871</v>
      </c>
      <c r="H96" s="68">
        <f>6.1541* CHOOSE(CONTROL!$C$22, $C$13, 100%, $E$13)</f>
        <v>6.1540999999999997</v>
      </c>
      <c r="I96" s="68">
        <f>6.1574 * CHOOSE(CONTROL!$C$22, $C$13, 100%, $E$13)</f>
        <v>6.1574</v>
      </c>
      <c r="J96" s="68">
        <f>3.5839 * CHOOSE(CONTROL!$C$22, $C$13, 100%, $E$13)</f>
        <v>3.5838999999999999</v>
      </c>
      <c r="K96" s="68">
        <f>3.5871 * CHOOSE(CONTROL!$C$22, $C$13, 100%, $E$13)</f>
        <v>3.5871</v>
      </c>
      <c r="L96" s="4"/>
      <c r="M96" s="4"/>
      <c r="N96" s="4"/>
    </row>
    <row r="97" spans="1:14" ht="15">
      <c r="A97" s="13">
        <v>44075</v>
      </c>
      <c r="B97" s="67">
        <f>3.2384 * CHOOSE(CONTROL!$C$22, $C$13, 100%, $E$13)</f>
        <v>3.2383999999999999</v>
      </c>
      <c r="C97" s="67">
        <f>3.2384 * CHOOSE(CONTROL!$C$22, $C$13, 100%, $E$13)</f>
        <v>3.2383999999999999</v>
      </c>
      <c r="D97" s="67">
        <f>3.2411 * CHOOSE(CONTROL!$C$22, $C$13, 100%, $E$13)</f>
        <v>3.2410999999999999</v>
      </c>
      <c r="E97" s="68">
        <f>3.576 * CHOOSE(CONTROL!$C$22, $C$13, 100%, $E$13)</f>
        <v>3.5760000000000001</v>
      </c>
      <c r="F97" s="68">
        <f>3.576 * CHOOSE(CONTROL!$C$22, $C$13, 100%, $E$13)</f>
        <v>3.5760000000000001</v>
      </c>
      <c r="G97" s="68">
        <f>3.5792 * CHOOSE(CONTROL!$C$22, $C$13, 100%, $E$13)</f>
        <v>3.5792000000000002</v>
      </c>
      <c r="H97" s="68">
        <f>6.1669* CHOOSE(CONTROL!$C$22, $C$13, 100%, $E$13)</f>
        <v>6.1669</v>
      </c>
      <c r="I97" s="68">
        <f>6.1702 * CHOOSE(CONTROL!$C$22, $C$13, 100%, $E$13)</f>
        <v>6.1702000000000004</v>
      </c>
      <c r="J97" s="68">
        <f>3.576 * CHOOSE(CONTROL!$C$22, $C$13, 100%, $E$13)</f>
        <v>3.5760000000000001</v>
      </c>
      <c r="K97" s="68">
        <f>3.5792 * CHOOSE(CONTROL!$C$22, $C$13, 100%, $E$13)</f>
        <v>3.5792000000000002</v>
      </c>
      <c r="L97" s="4"/>
      <c r="M97" s="4"/>
      <c r="N97" s="4"/>
    </row>
    <row r="98" spans="1:14" ht="15">
      <c r="A98" s="13">
        <v>44105</v>
      </c>
      <c r="B98" s="67">
        <f>3.2304 * CHOOSE(CONTROL!$C$22, $C$13, 100%, $E$13)</f>
        <v>3.2303999999999999</v>
      </c>
      <c r="C98" s="67">
        <f>3.2304 * CHOOSE(CONTROL!$C$22, $C$13, 100%, $E$13)</f>
        <v>3.2303999999999999</v>
      </c>
      <c r="D98" s="67">
        <f>3.2314 * CHOOSE(CONTROL!$C$22, $C$13, 100%, $E$13)</f>
        <v>3.2313999999999998</v>
      </c>
      <c r="E98" s="68">
        <f>3.5857 * CHOOSE(CONTROL!$C$22, $C$13, 100%, $E$13)</f>
        <v>3.5857000000000001</v>
      </c>
      <c r="F98" s="68">
        <f>3.5857 * CHOOSE(CONTROL!$C$22, $C$13, 100%, $E$13)</f>
        <v>3.5857000000000001</v>
      </c>
      <c r="G98" s="68">
        <f>3.587 * CHOOSE(CONTROL!$C$22, $C$13, 100%, $E$13)</f>
        <v>3.5870000000000002</v>
      </c>
      <c r="H98" s="68">
        <f>6.1798* CHOOSE(CONTROL!$C$22, $C$13, 100%, $E$13)</f>
        <v>6.1798000000000002</v>
      </c>
      <c r="I98" s="68">
        <f>6.1811 * CHOOSE(CONTROL!$C$22, $C$13, 100%, $E$13)</f>
        <v>6.1810999999999998</v>
      </c>
      <c r="J98" s="68">
        <f>3.5857 * CHOOSE(CONTROL!$C$22, $C$13, 100%, $E$13)</f>
        <v>3.5857000000000001</v>
      </c>
      <c r="K98" s="68">
        <f>3.587 * CHOOSE(CONTROL!$C$22, $C$13, 100%, $E$13)</f>
        <v>3.5870000000000002</v>
      </c>
      <c r="L98" s="4"/>
      <c r="M98" s="4"/>
      <c r="N98" s="4"/>
    </row>
    <row r="99" spans="1:14" ht="15">
      <c r="A99" s="13">
        <v>44136</v>
      </c>
      <c r="B99" s="67">
        <f>3.2335 * CHOOSE(CONTROL!$C$22, $C$13, 100%, $E$13)</f>
        <v>3.2334999999999998</v>
      </c>
      <c r="C99" s="67">
        <f>3.2335 * CHOOSE(CONTROL!$C$22, $C$13, 100%, $E$13)</f>
        <v>3.2334999999999998</v>
      </c>
      <c r="D99" s="67">
        <f>3.2344 * CHOOSE(CONTROL!$C$22, $C$13, 100%, $E$13)</f>
        <v>3.2343999999999999</v>
      </c>
      <c r="E99" s="68">
        <f>3.5994 * CHOOSE(CONTROL!$C$22, $C$13, 100%, $E$13)</f>
        <v>3.5994000000000002</v>
      </c>
      <c r="F99" s="68">
        <f>3.5994 * CHOOSE(CONTROL!$C$22, $C$13, 100%, $E$13)</f>
        <v>3.5994000000000002</v>
      </c>
      <c r="G99" s="68">
        <f>3.6007 * CHOOSE(CONTROL!$C$22, $C$13, 100%, $E$13)</f>
        <v>3.6006999999999998</v>
      </c>
      <c r="H99" s="68">
        <f>6.1926* CHOOSE(CONTROL!$C$22, $C$13, 100%, $E$13)</f>
        <v>6.1925999999999997</v>
      </c>
      <c r="I99" s="68">
        <f>6.1939 * CHOOSE(CONTROL!$C$22, $C$13, 100%, $E$13)</f>
        <v>6.1939000000000002</v>
      </c>
      <c r="J99" s="68">
        <f>3.5994 * CHOOSE(CONTROL!$C$22, $C$13, 100%, $E$13)</f>
        <v>3.5994000000000002</v>
      </c>
      <c r="K99" s="68">
        <f>3.6007 * CHOOSE(CONTROL!$C$22, $C$13, 100%, $E$13)</f>
        <v>3.6006999999999998</v>
      </c>
      <c r="L99" s="4"/>
      <c r="M99" s="4"/>
      <c r="N99" s="4"/>
    </row>
    <row r="100" spans="1:14" ht="15">
      <c r="A100" s="13">
        <v>44166</v>
      </c>
      <c r="B100" s="67">
        <f>3.2335 * CHOOSE(CONTROL!$C$22, $C$13, 100%, $E$13)</f>
        <v>3.2334999999999998</v>
      </c>
      <c r="C100" s="67">
        <f>3.2335 * CHOOSE(CONTROL!$C$22, $C$13, 100%, $E$13)</f>
        <v>3.2334999999999998</v>
      </c>
      <c r="D100" s="67">
        <f>3.2344 * CHOOSE(CONTROL!$C$22, $C$13, 100%, $E$13)</f>
        <v>3.2343999999999999</v>
      </c>
      <c r="E100" s="68">
        <f>3.5704 * CHOOSE(CONTROL!$C$22, $C$13, 100%, $E$13)</f>
        <v>3.5703999999999998</v>
      </c>
      <c r="F100" s="68">
        <f>3.5704 * CHOOSE(CONTROL!$C$22, $C$13, 100%, $E$13)</f>
        <v>3.5703999999999998</v>
      </c>
      <c r="G100" s="68">
        <f>3.5717 * CHOOSE(CONTROL!$C$22, $C$13, 100%, $E$13)</f>
        <v>3.5716999999999999</v>
      </c>
      <c r="H100" s="68">
        <f>6.2056* CHOOSE(CONTROL!$C$22, $C$13, 100%, $E$13)</f>
        <v>6.2055999999999996</v>
      </c>
      <c r="I100" s="68">
        <f>6.2068 * CHOOSE(CONTROL!$C$22, $C$13, 100%, $E$13)</f>
        <v>6.2068000000000003</v>
      </c>
      <c r="J100" s="68">
        <f>3.5704 * CHOOSE(CONTROL!$C$22, $C$13, 100%, $E$13)</f>
        <v>3.5703999999999998</v>
      </c>
      <c r="K100" s="68">
        <f>3.5717 * CHOOSE(CONTROL!$C$22, $C$13, 100%, $E$13)</f>
        <v>3.5716999999999999</v>
      </c>
      <c r="L100" s="4"/>
      <c r="M100" s="4"/>
      <c r="N100" s="4"/>
    </row>
    <row r="101" spans="1:14" ht="15">
      <c r="A101" s="13">
        <v>44197</v>
      </c>
      <c r="B101" s="67">
        <f>3.2543 * CHOOSE(CONTROL!$C$22, $C$13, 100%, $E$13)</f>
        <v>3.2543000000000002</v>
      </c>
      <c r="C101" s="67">
        <f>3.2543 * CHOOSE(CONTROL!$C$22, $C$13, 100%, $E$13)</f>
        <v>3.2543000000000002</v>
      </c>
      <c r="D101" s="67">
        <f>3.2553 * CHOOSE(CONTROL!$C$22, $C$13, 100%, $E$13)</f>
        <v>3.2553000000000001</v>
      </c>
      <c r="E101" s="68">
        <f>3.6909 * CHOOSE(CONTROL!$C$22, $C$13, 100%, $E$13)</f>
        <v>3.6909000000000001</v>
      </c>
      <c r="F101" s="68">
        <f>3.6909 * CHOOSE(CONTROL!$C$22, $C$13, 100%, $E$13)</f>
        <v>3.6909000000000001</v>
      </c>
      <c r="G101" s="68">
        <f>3.6921 * CHOOSE(CONTROL!$C$22, $C$13, 100%, $E$13)</f>
        <v>3.6920999999999999</v>
      </c>
      <c r="H101" s="68">
        <f>6.2185* CHOOSE(CONTROL!$C$22, $C$13, 100%, $E$13)</f>
        <v>6.2184999999999997</v>
      </c>
      <c r="I101" s="68">
        <f>6.2198 * CHOOSE(CONTROL!$C$22, $C$13, 100%, $E$13)</f>
        <v>6.2198000000000002</v>
      </c>
      <c r="J101" s="68">
        <f>3.6909 * CHOOSE(CONTROL!$C$22, $C$13, 100%, $E$13)</f>
        <v>3.6909000000000001</v>
      </c>
      <c r="K101" s="68">
        <f>3.6921 * CHOOSE(CONTROL!$C$22, $C$13, 100%, $E$13)</f>
        <v>3.6920999999999999</v>
      </c>
      <c r="L101" s="4"/>
      <c r="M101" s="4"/>
      <c r="N101" s="4"/>
    </row>
    <row r="102" spans="1:14" ht="15">
      <c r="A102" s="13">
        <v>44228</v>
      </c>
      <c r="B102" s="67">
        <f>3.2513 * CHOOSE(CONTROL!$C$22, $C$13, 100%, $E$13)</f>
        <v>3.2513000000000001</v>
      </c>
      <c r="C102" s="67">
        <f>3.2513 * CHOOSE(CONTROL!$C$22, $C$13, 100%, $E$13)</f>
        <v>3.2513000000000001</v>
      </c>
      <c r="D102" s="67">
        <f>3.2522 * CHOOSE(CONTROL!$C$22, $C$13, 100%, $E$13)</f>
        <v>3.2522000000000002</v>
      </c>
      <c r="E102" s="68">
        <f>3.6298 * CHOOSE(CONTROL!$C$22, $C$13, 100%, $E$13)</f>
        <v>3.6297999999999999</v>
      </c>
      <c r="F102" s="68">
        <f>3.6298 * CHOOSE(CONTROL!$C$22, $C$13, 100%, $E$13)</f>
        <v>3.6297999999999999</v>
      </c>
      <c r="G102" s="68">
        <f>3.6311 * CHOOSE(CONTROL!$C$22, $C$13, 100%, $E$13)</f>
        <v>3.6311</v>
      </c>
      <c r="H102" s="68">
        <f>6.2314* CHOOSE(CONTROL!$C$22, $C$13, 100%, $E$13)</f>
        <v>6.2313999999999998</v>
      </c>
      <c r="I102" s="68">
        <f>6.2327 * CHOOSE(CONTROL!$C$22, $C$13, 100%, $E$13)</f>
        <v>6.2327000000000004</v>
      </c>
      <c r="J102" s="68">
        <f>3.6298 * CHOOSE(CONTROL!$C$22, $C$13, 100%, $E$13)</f>
        <v>3.6297999999999999</v>
      </c>
      <c r="K102" s="68">
        <f>3.6311 * CHOOSE(CONTROL!$C$22, $C$13, 100%, $E$13)</f>
        <v>3.6311</v>
      </c>
      <c r="L102" s="4"/>
      <c r="M102" s="4"/>
      <c r="N102" s="4"/>
    </row>
    <row r="103" spans="1:14" ht="15">
      <c r="A103" s="13">
        <v>44256</v>
      </c>
      <c r="B103" s="67">
        <f>3.2482 * CHOOSE(CONTROL!$C$22, $C$13, 100%, $E$13)</f>
        <v>3.2482000000000002</v>
      </c>
      <c r="C103" s="67">
        <f>3.2482 * CHOOSE(CONTROL!$C$22, $C$13, 100%, $E$13)</f>
        <v>3.2482000000000002</v>
      </c>
      <c r="D103" s="67">
        <f>3.2492 * CHOOSE(CONTROL!$C$22, $C$13, 100%, $E$13)</f>
        <v>3.2492000000000001</v>
      </c>
      <c r="E103" s="68">
        <f>3.6741 * CHOOSE(CONTROL!$C$22, $C$13, 100%, $E$13)</f>
        <v>3.6741000000000001</v>
      </c>
      <c r="F103" s="68">
        <f>3.6741 * CHOOSE(CONTROL!$C$22, $C$13, 100%, $E$13)</f>
        <v>3.6741000000000001</v>
      </c>
      <c r="G103" s="68">
        <f>3.6754 * CHOOSE(CONTROL!$C$22, $C$13, 100%, $E$13)</f>
        <v>3.6753999999999998</v>
      </c>
      <c r="H103" s="68">
        <f>6.2444* CHOOSE(CONTROL!$C$22, $C$13, 100%, $E$13)</f>
        <v>6.2443999999999997</v>
      </c>
      <c r="I103" s="68">
        <f>6.2457 * CHOOSE(CONTROL!$C$22, $C$13, 100%, $E$13)</f>
        <v>6.2457000000000003</v>
      </c>
      <c r="J103" s="68">
        <f>3.6741 * CHOOSE(CONTROL!$C$22, $C$13, 100%, $E$13)</f>
        <v>3.6741000000000001</v>
      </c>
      <c r="K103" s="68">
        <f>3.6754 * CHOOSE(CONTROL!$C$22, $C$13, 100%, $E$13)</f>
        <v>3.6753999999999998</v>
      </c>
      <c r="L103" s="4"/>
      <c r="M103" s="4"/>
      <c r="N103" s="4"/>
    </row>
    <row r="104" spans="1:14" ht="15">
      <c r="A104" s="13">
        <v>44287</v>
      </c>
      <c r="B104" s="67">
        <f>3.2451 * CHOOSE(CONTROL!$C$22, $C$13, 100%, $E$13)</f>
        <v>3.2450999999999999</v>
      </c>
      <c r="C104" s="67">
        <f>3.2451 * CHOOSE(CONTROL!$C$22, $C$13, 100%, $E$13)</f>
        <v>3.2450999999999999</v>
      </c>
      <c r="D104" s="67">
        <f>3.2461 * CHOOSE(CONTROL!$C$22, $C$13, 100%, $E$13)</f>
        <v>3.2461000000000002</v>
      </c>
      <c r="E104" s="68">
        <f>3.7198 * CHOOSE(CONTROL!$C$22, $C$13, 100%, $E$13)</f>
        <v>3.7198000000000002</v>
      </c>
      <c r="F104" s="68">
        <f>3.7198 * CHOOSE(CONTROL!$C$22, $C$13, 100%, $E$13)</f>
        <v>3.7198000000000002</v>
      </c>
      <c r="G104" s="68">
        <f>3.7211 * CHOOSE(CONTROL!$C$22, $C$13, 100%, $E$13)</f>
        <v>3.7210999999999999</v>
      </c>
      <c r="H104" s="68">
        <f>6.2574* CHOOSE(CONTROL!$C$22, $C$13, 100%, $E$13)</f>
        <v>6.2573999999999996</v>
      </c>
      <c r="I104" s="68">
        <f>6.2587 * CHOOSE(CONTROL!$C$22, $C$13, 100%, $E$13)</f>
        <v>6.2587000000000002</v>
      </c>
      <c r="J104" s="68">
        <f>3.7198 * CHOOSE(CONTROL!$C$22, $C$13, 100%, $E$13)</f>
        <v>3.7198000000000002</v>
      </c>
      <c r="K104" s="68">
        <f>3.7211 * CHOOSE(CONTROL!$C$22, $C$13, 100%, $E$13)</f>
        <v>3.7210999999999999</v>
      </c>
      <c r="L104" s="4"/>
      <c r="M104" s="4"/>
      <c r="N104" s="4"/>
    </row>
    <row r="105" spans="1:14" ht="15">
      <c r="A105" s="13">
        <v>44317</v>
      </c>
      <c r="B105" s="67">
        <f>3.2451 * CHOOSE(CONTROL!$C$22, $C$13, 100%, $E$13)</f>
        <v>3.2450999999999999</v>
      </c>
      <c r="C105" s="67">
        <f>3.2451 * CHOOSE(CONTROL!$C$22, $C$13, 100%, $E$13)</f>
        <v>3.2450999999999999</v>
      </c>
      <c r="D105" s="67">
        <f>3.2477 * CHOOSE(CONTROL!$C$22, $C$13, 100%, $E$13)</f>
        <v>3.2477</v>
      </c>
      <c r="E105" s="68">
        <f>3.7385 * CHOOSE(CONTROL!$C$22, $C$13, 100%, $E$13)</f>
        <v>3.7385000000000002</v>
      </c>
      <c r="F105" s="68">
        <f>3.7385 * CHOOSE(CONTROL!$C$22, $C$13, 100%, $E$13)</f>
        <v>3.7385000000000002</v>
      </c>
      <c r="G105" s="68">
        <f>3.7418 * CHOOSE(CONTROL!$C$22, $C$13, 100%, $E$13)</f>
        <v>3.7418</v>
      </c>
      <c r="H105" s="68">
        <f>6.2705* CHOOSE(CONTROL!$C$22, $C$13, 100%, $E$13)</f>
        <v>6.2705000000000002</v>
      </c>
      <c r="I105" s="68">
        <f>6.2737 * CHOOSE(CONTROL!$C$22, $C$13, 100%, $E$13)</f>
        <v>6.2736999999999998</v>
      </c>
      <c r="J105" s="68">
        <f>3.7385 * CHOOSE(CONTROL!$C$22, $C$13, 100%, $E$13)</f>
        <v>3.7385000000000002</v>
      </c>
      <c r="K105" s="68">
        <f>3.7418 * CHOOSE(CONTROL!$C$22, $C$13, 100%, $E$13)</f>
        <v>3.7418</v>
      </c>
      <c r="L105" s="4"/>
      <c r="M105" s="4"/>
      <c r="N105" s="4"/>
    </row>
    <row r="106" spans="1:14" ht="15">
      <c r="A106" s="13">
        <v>44348</v>
      </c>
      <c r="B106" s="67">
        <f>3.2512 * CHOOSE(CONTROL!$C$22, $C$13, 100%, $E$13)</f>
        <v>3.2511999999999999</v>
      </c>
      <c r="C106" s="67">
        <f>3.2512 * CHOOSE(CONTROL!$C$22, $C$13, 100%, $E$13)</f>
        <v>3.2511999999999999</v>
      </c>
      <c r="D106" s="67">
        <f>3.2538 * CHOOSE(CONTROL!$C$22, $C$13, 100%, $E$13)</f>
        <v>3.2538</v>
      </c>
      <c r="E106" s="68">
        <f>3.724 * CHOOSE(CONTROL!$C$22, $C$13, 100%, $E$13)</f>
        <v>3.7240000000000002</v>
      </c>
      <c r="F106" s="68">
        <f>3.724 * CHOOSE(CONTROL!$C$22, $C$13, 100%, $E$13)</f>
        <v>3.7240000000000002</v>
      </c>
      <c r="G106" s="68">
        <f>3.7273 * CHOOSE(CONTROL!$C$22, $C$13, 100%, $E$13)</f>
        <v>3.7273000000000001</v>
      </c>
      <c r="H106" s="68">
        <f>6.2835* CHOOSE(CONTROL!$C$22, $C$13, 100%, $E$13)</f>
        <v>6.2835000000000001</v>
      </c>
      <c r="I106" s="68">
        <f>6.2868 * CHOOSE(CONTROL!$C$22, $C$13, 100%, $E$13)</f>
        <v>6.2868000000000004</v>
      </c>
      <c r="J106" s="68">
        <f>3.724 * CHOOSE(CONTROL!$C$22, $C$13, 100%, $E$13)</f>
        <v>3.7240000000000002</v>
      </c>
      <c r="K106" s="68">
        <f>3.7273 * CHOOSE(CONTROL!$C$22, $C$13, 100%, $E$13)</f>
        <v>3.7273000000000001</v>
      </c>
      <c r="L106" s="4"/>
      <c r="M106" s="4"/>
      <c r="N106" s="4"/>
    </row>
    <row r="107" spans="1:14" ht="15">
      <c r="A107" s="13">
        <v>44378</v>
      </c>
      <c r="B107" s="67">
        <f>3.2867 * CHOOSE(CONTROL!$C$22, $C$13, 100%, $E$13)</f>
        <v>3.2867000000000002</v>
      </c>
      <c r="C107" s="67">
        <f>3.2867 * CHOOSE(CONTROL!$C$22, $C$13, 100%, $E$13)</f>
        <v>3.2867000000000002</v>
      </c>
      <c r="D107" s="67">
        <f>3.2893 * CHOOSE(CONTROL!$C$22, $C$13, 100%, $E$13)</f>
        <v>3.2892999999999999</v>
      </c>
      <c r="E107" s="68">
        <f>3.8884 * CHOOSE(CONTROL!$C$22, $C$13, 100%, $E$13)</f>
        <v>3.8883999999999999</v>
      </c>
      <c r="F107" s="68">
        <f>3.8884 * CHOOSE(CONTROL!$C$22, $C$13, 100%, $E$13)</f>
        <v>3.8883999999999999</v>
      </c>
      <c r="G107" s="68">
        <f>3.8916 * CHOOSE(CONTROL!$C$22, $C$13, 100%, $E$13)</f>
        <v>3.8915999999999999</v>
      </c>
      <c r="H107" s="68">
        <f>6.2966* CHOOSE(CONTROL!$C$22, $C$13, 100%, $E$13)</f>
        <v>6.2965999999999998</v>
      </c>
      <c r="I107" s="68">
        <f>6.2999 * CHOOSE(CONTROL!$C$22, $C$13, 100%, $E$13)</f>
        <v>6.2999000000000001</v>
      </c>
      <c r="J107" s="68">
        <f>3.8884 * CHOOSE(CONTROL!$C$22, $C$13, 100%, $E$13)</f>
        <v>3.8883999999999999</v>
      </c>
      <c r="K107" s="68">
        <f>3.8916 * CHOOSE(CONTROL!$C$22, $C$13, 100%, $E$13)</f>
        <v>3.8915999999999999</v>
      </c>
      <c r="L107" s="4"/>
      <c r="M107" s="4"/>
      <c r="N107" s="4"/>
    </row>
    <row r="108" spans="1:14" ht="15">
      <c r="A108" s="13">
        <v>44409</v>
      </c>
      <c r="B108" s="67">
        <f>3.2934 * CHOOSE(CONTROL!$C$22, $C$13, 100%, $E$13)</f>
        <v>3.2934000000000001</v>
      </c>
      <c r="C108" s="67">
        <f>3.2934 * CHOOSE(CONTROL!$C$22, $C$13, 100%, $E$13)</f>
        <v>3.2934000000000001</v>
      </c>
      <c r="D108" s="67">
        <f>3.296 * CHOOSE(CONTROL!$C$22, $C$13, 100%, $E$13)</f>
        <v>3.2959999999999998</v>
      </c>
      <c r="E108" s="68">
        <f>3.8369 * CHOOSE(CONTROL!$C$22, $C$13, 100%, $E$13)</f>
        <v>3.8369</v>
      </c>
      <c r="F108" s="68">
        <f>3.8369 * CHOOSE(CONTROL!$C$22, $C$13, 100%, $E$13)</f>
        <v>3.8369</v>
      </c>
      <c r="G108" s="68">
        <f>3.8401 * CHOOSE(CONTROL!$C$22, $C$13, 100%, $E$13)</f>
        <v>3.8401000000000001</v>
      </c>
      <c r="H108" s="68">
        <f>6.3097* CHOOSE(CONTROL!$C$22, $C$13, 100%, $E$13)</f>
        <v>6.3097000000000003</v>
      </c>
      <c r="I108" s="68">
        <f>6.313 * CHOOSE(CONTROL!$C$22, $C$13, 100%, $E$13)</f>
        <v>6.3129999999999997</v>
      </c>
      <c r="J108" s="68">
        <f>3.8369 * CHOOSE(CONTROL!$C$22, $C$13, 100%, $E$13)</f>
        <v>3.8369</v>
      </c>
      <c r="K108" s="68">
        <f>3.8401 * CHOOSE(CONTROL!$C$22, $C$13, 100%, $E$13)</f>
        <v>3.8401000000000001</v>
      </c>
      <c r="L108" s="4"/>
      <c r="M108" s="4"/>
      <c r="N108" s="4"/>
    </row>
    <row r="109" spans="1:14" ht="15">
      <c r="A109" s="13">
        <v>44440</v>
      </c>
      <c r="B109" s="67">
        <f>3.2903 * CHOOSE(CONTROL!$C$22, $C$13, 100%, $E$13)</f>
        <v>3.2902999999999998</v>
      </c>
      <c r="C109" s="67">
        <f>3.2903 * CHOOSE(CONTROL!$C$22, $C$13, 100%, $E$13)</f>
        <v>3.2902999999999998</v>
      </c>
      <c r="D109" s="67">
        <f>3.2929 * CHOOSE(CONTROL!$C$22, $C$13, 100%, $E$13)</f>
        <v>3.2928999999999999</v>
      </c>
      <c r="E109" s="68">
        <f>3.8285 * CHOOSE(CONTROL!$C$22, $C$13, 100%, $E$13)</f>
        <v>3.8285</v>
      </c>
      <c r="F109" s="68">
        <f>3.8285 * CHOOSE(CONTROL!$C$22, $C$13, 100%, $E$13)</f>
        <v>3.8285</v>
      </c>
      <c r="G109" s="68">
        <f>3.8318 * CHOOSE(CONTROL!$C$22, $C$13, 100%, $E$13)</f>
        <v>3.8317999999999999</v>
      </c>
      <c r="H109" s="68">
        <f>6.3229* CHOOSE(CONTROL!$C$22, $C$13, 100%, $E$13)</f>
        <v>6.3228999999999997</v>
      </c>
      <c r="I109" s="68">
        <f>6.3261 * CHOOSE(CONTROL!$C$22, $C$13, 100%, $E$13)</f>
        <v>6.3261000000000003</v>
      </c>
      <c r="J109" s="68">
        <f>3.8285 * CHOOSE(CONTROL!$C$22, $C$13, 100%, $E$13)</f>
        <v>3.8285</v>
      </c>
      <c r="K109" s="68">
        <f>3.8318 * CHOOSE(CONTROL!$C$22, $C$13, 100%, $E$13)</f>
        <v>3.8317999999999999</v>
      </c>
      <c r="L109" s="4"/>
      <c r="M109" s="4"/>
      <c r="N109" s="4"/>
    </row>
    <row r="110" spans="1:14" ht="15">
      <c r="A110" s="13">
        <v>44470</v>
      </c>
      <c r="B110" s="67">
        <f>3.2826 * CHOOSE(CONTROL!$C$22, $C$13, 100%, $E$13)</f>
        <v>3.2826</v>
      </c>
      <c r="C110" s="67">
        <f>3.2826 * CHOOSE(CONTROL!$C$22, $C$13, 100%, $E$13)</f>
        <v>3.2826</v>
      </c>
      <c r="D110" s="67">
        <f>3.2836 * CHOOSE(CONTROL!$C$22, $C$13, 100%, $E$13)</f>
        <v>3.2835999999999999</v>
      </c>
      <c r="E110" s="68">
        <f>3.8401 * CHOOSE(CONTROL!$C$22, $C$13, 100%, $E$13)</f>
        <v>3.8401000000000001</v>
      </c>
      <c r="F110" s="68">
        <f>3.8401 * CHOOSE(CONTROL!$C$22, $C$13, 100%, $E$13)</f>
        <v>3.8401000000000001</v>
      </c>
      <c r="G110" s="68">
        <f>3.8414 * CHOOSE(CONTROL!$C$22, $C$13, 100%, $E$13)</f>
        <v>3.8414000000000001</v>
      </c>
      <c r="H110" s="68">
        <f>6.3361* CHOOSE(CONTROL!$C$22, $C$13, 100%, $E$13)</f>
        <v>6.3361000000000001</v>
      </c>
      <c r="I110" s="68">
        <f>6.3373 * CHOOSE(CONTROL!$C$22, $C$13, 100%, $E$13)</f>
        <v>6.3372999999999999</v>
      </c>
      <c r="J110" s="68">
        <f>3.8401 * CHOOSE(CONTROL!$C$22, $C$13, 100%, $E$13)</f>
        <v>3.8401000000000001</v>
      </c>
      <c r="K110" s="68">
        <f>3.8414 * CHOOSE(CONTROL!$C$22, $C$13, 100%, $E$13)</f>
        <v>3.8414000000000001</v>
      </c>
      <c r="L110" s="4"/>
      <c r="M110" s="4"/>
      <c r="N110" s="4"/>
    </row>
    <row r="111" spans="1:14" ht="15">
      <c r="A111" s="13">
        <v>44501</v>
      </c>
      <c r="B111" s="67">
        <f>3.2856 * CHOOSE(CONTROL!$C$22, $C$13, 100%, $E$13)</f>
        <v>3.2856000000000001</v>
      </c>
      <c r="C111" s="67">
        <f>3.2856 * CHOOSE(CONTROL!$C$22, $C$13, 100%, $E$13)</f>
        <v>3.2856000000000001</v>
      </c>
      <c r="D111" s="67">
        <f>3.2866 * CHOOSE(CONTROL!$C$22, $C$13, 100%, $E$13)</f>
        <v>3.2866</v>
      </c>
      <c r="E111" s="68">
        <f>3.8547 * CHOOSE(CONTROL!$C$22, $C$13, 100%, $E$13)</f>
        <v>3.8546999999999998</v>
      </c>
      <c r="F111" s="68">
        <f>3.8547 * CHOOSE(CONTROL!$C$22, $C$13, 100%, $E$13)</f>
        <v>3.8546999999999998</v>
      </c>
      <c r="G111" s="68">
        <f>3.856 * CHOOSE(CONTROL!$C$22, $C$13, 100%, $E$13)</f>
        <v>3.8559999999999999</v>
      </c>
      <c r="H111" s="68">
        <f>6.3493* CHOOSE(CONTROL!$C$22, $C$13, 100%, $E$13)</f>
        <v>6.3493000000000004</v>
      </c>
      <c r="I111" s="68">
        <f>6.3505 * CHOOSE(CONTROL!$C$22, $C$13, 100%, $E$13)</f>
        <v>6.3505000000000003</v>
      </c>
      <c r="J111" s="68">
        <f>3.8547 * CHOOSE(CONTROL!$C$22, $C$13, 100%, $E$13)</f>
        <v>3.8546999999999998</v>
      </c>
      <c r="K111" s="68">
        <f>3.856 * CHOOSE(CONTROL!$C$22, $C$13, 100%, $E$13)</f>
        <v>3.8559999999999999</v>
      </c>
      <c r="L111" s="4"/>
      <c r="M111" s="4"/>
      <c r="N111" s="4"/>
    </row>
    <row r="112" spans="1:14" ht="15">
      <c r="A112" s="13">
        <v>44531</v>
      </c>
      <c r="B112" s="67">
        <f>3.2856 * CHOOSE(CONTROL!$C$22, $C$13, 100%, $E$13)</f>
        <v>3.2856000000000001</v>
      </c>
      <c r="C112" s="67">
        <f>3.2856 * CHOOSE(CONTROL!$C$22, $C$13, 100%, $E$13)</f>
        <v>3.2856000000000001</v>
      </c>
      <c r="D112" s="67">
        <f>3.2866 * CHOOSE(CONTROL!$C$22, $C$13, 100%, $E$13)</f>
        <v>3.2866</v>
      </c>
      <c r="E112" s="68">
        <f>3.8235 * CHOOSE(CONTROL!$C$22, $C$13, 100%, $E$13)</f>
        <v>3.8235000000000001</v>
      </c>
      <c r="F112" s="68">
        <f>3.8235 * CHOOSE(CONTROL!$C$22, $C$13, 100%, $E$13)</f>
        <v>3.8235000000000001</v>
      </c>
      <c r="G112" s="68">
        <f>3.8248 * CHOOSE(CONTROL!$C$22, $C$13, 100%, $E$13)</f>
        <v>3.8248000000000002</v>
      </c>
      <c r="H112" s="68">
        <f>6.3625* CHOOSE(CONTROL!$C$22, $C$13, 100%, $E$13)</f>
        <v>6.3624999999999998</v>
      </c>
      <c r="I112" s="68">
        <f>6.3638 * CHOOSE(CONTROL!$C$22, $C$13, 100%, $E$13)</f>
        <v>6.3638000000000003</v>
      </c>
      <c r="J112" s="68">
        <f>3.8235 * CHOOSE(CONTROL!$C$22, $C$13, 100%, $E$13)</f>
        <v>3.8235000000000001</v>
      </c>
      <c r="K112" s="68">
        <f>3.8248 * CHOOSE(CONTROL!$C$22, $C$13, 100%, $E$13)</f>
        <v>3.8248000000000002</v>
      </c>
      <c r="L112" s="4"/>
      <c r="M112" s="4"/>
      <c r="N112" s="4"/>
    </row>
    <row r="113" spans="1:14" ht="15">
      <c r="A113" s="13">
        <v>44562</v>
      </c>
      <c r="B113" s="67">
        <f>3.315 * CHOOSE(CONTROL!$C$22, $C$13, 100%, $E$13)</f>
        <v>3.3149999999999999</v>
      </c>
      <c r="C113" s="67">
        <f>3.315 * CHOOSE(CONTROL!$C$22, $C$13, 100%, $E$13)</f>
        <v>3.3149999999999999</v>
      </c>
      <c r="D113" s="67">
        <f>3.316 * CHOOSE(CONTROL!$C$22, $C$13, 100%, $E$13)</f>
        <v>3.3159999999999998</v>
      </c>
      <c r="E113" s="68">
        <f>3.9024 * CHOOSE(CONTROL!$C$22, $C$13, 100%, $E$13)</f>
        <v>3.9024000000000001</v>
      </c>
      <c r="F113" s="68">
        <f>3.9024 * CHOOSE(CONTROL!$C$22, $C$13, 100%, $E$13)</f>
        <v>3.9024000000000001</v>
      </c>
      <c r="G113" s="68">
        <f>3.9037 * CHOOSE(CONTROL!$C$22, $C$13, 100%, $E$13)</f>
        <v>3.9037000000000002</v>
      </c>
      <c r="H113" s="68">
        <f>6.3757* CHOOSE(CONTROL!$C$22, $C$13, 100%, $E$13)</f>
        <v>6.3757000000000001</v>
      </c>
      <c r="I113" s="68">
        <f>6.377 * CHOOSE(CONTROL!$C$22, $C$13, 100%, $E$13)</f>
        <v>6.3769999999999998</v>
      </c>
      <c r="J113" s="68">
        <f>3.9024 * CHOOSE(CONTROL!$C$22, $C$13, 100%, $E$13)</f>
        <v>3.9024000000000001</v>
      </c>
      <c r="K113" s="68">
        <f>3.9037 * CHOOSE(CONTROL!$C$22, $C$13, 100%, $E$13)</f>
        <v>3.9037000000000002</v>
      </c>
      <c r="L113" s="4"/>
      <c r="M113" s="4"/>
      <c r="N113" s="4"/>
    </row>
    <row r="114" spans="1:14" ht="15">
      <c r="A114" s="13">
        <v>44593</v>
      </c>
      <c r="B114" s="67">
        <f>3.312 * CHOOSE(CONTROL!$C$22, $C$13, 100%, $E$13)</f>
        <v>3.3119999999999998</v>
      </c>
      <c r="C114" s="67">
        <f>3.312 * CHOOSE(CONTROL!$C$22, $C$13, 100%, $E$13)</f>
        <v>3.3119999999999998</v>
      </c>
      <c r="D114" s="67">
        <f>3.313 * CHOOSE(CONTROL!$C$22, $C$13, 100%, $E$13)</f>
        <v>3.3130000000000002</v>
      </c>
      <c r="E114" s="68">
        <f>3.8381 * CHOOSE(CONTROL!$C$22, $C$13, 100%, $E$13)</f>
        <v>3.8380999999999998</v>
      </c>
      <c r="F114" s="68">
        <f>3.8381 * CHOOSE(CONTROL!$C$22, $C$13, 100%, $E$13)</f>
        <v>3.8380999999999998</v>
      </c>
      <c r="G114" s="68">
        <f>3.8394 * CHOOSE(CONTROL!$C$22, $C$13, 100%, $E$13)</f>
        <v>3.8393999999999999</v>
      </c>
      <c r="H114" s="68">
        <f>6.389* CHOOSE(CONTROL!$C$22, $C$13, 100%, $E$13)</f>
        <v>6.3890000000000002</v>
      </c>
      <c r="I114" s="68">
        <f>6.3903 * CHOOSE(CONTROL!$C$22, $C$13, 100%, $E$13)</f>
        <v>6.3902999999999999</v>
      </c>
      <c r="J114" s="68">
        <f>3.8381 * CHOOSE(CONTROL!$C$22, $C$13, 100%, $E$13)</f>
        <v>3.8380999999999998</v>
      </c>
      <c r="K114" s="68">
        <f>3.8394 * CHOOSE(CONTROL!$C$22, $C$13, 100%, $E$13)</f>
        <v>3.8393999999999999</v>
      </c>
      <c r="L114" s="4"/>
      <c r="M114" s="4"/>
      <c r="N114" s="4"/>
    </row>
    <row r="115" spans="1:14" ht="15">
      <c r="A115" s="13">
        <v>44621</v>
      </c>
      <c r="B115" s="67">
        <f>3.309 * CHOOSE(CONTROL!$C$22, $C$13, 100%, $E$13)</f>
        <v>3.3090000000000002</v>
      </c>
      <c r="C115" s="67">
        <f>3.309 * CHOOSE(CONTROL!$C$22, $C$13, 100%, $E$13)</f>
        <v>3.3090000000000002</v>
      </c>
      <c r="D115" s="67">
        <f>3.3099 * CHOOSE(CONTROL!$C$22, $C$13, 100%, $E$13)</f>
        <v>3.3098999999999998</v>
      </c>
      <c r="E115" s="68">
        <f>3.885 * CHOOSE(CONTROL!$C$22, $C$13, 100%, $E$13)</f>
        <v>3.8849999999999998</v>
      </c>
      <c r="F115" s="68">
        <f>3.885 * CHOOSE(CONTROL!$C$22, $C$13, 100%, $E$13)</f>
        <v>3.8849999999999998</v>
      </c>
      <c r="G115" s="68">
        <f>3.8863 * CHOOSE(CONTROL!$C$22, $C$13, 100%, $E$13)</f>
        <v>3.8862999999999999</v>
      </c>
      <c r="H115" s="68">
        <f>6.4023* CHOOSE(CONTROL!$C$22, $C$13, 100%, $E$13)</f>
        <v>6.4023000000000003</v>
      </c>
      <c r="I115" s="68">
        <f>6.4036 * CHOOSE(CONTROL!$C$22, $C$13, 100%, $E$13)</f>
        <v>6.4036</v>
      </c>
      <c r="J115" s="68">
        <f>3.885 * CHOOSE(CONTROL!$C$22, $C$13, 100%, $E$13)</f>
        <v>3.8849999999999998</v>
      </c>
      <c r="K115" s="68">
        <f>3.8863 * CHOOSE(CONTROL!$C$22, $C$13, 100%, $E$13)</f>
        <v>3.8862999999999999</v>
      </c>
      <c r="L115" s="4"/>
      <c r="M115" s="4"/>
      <c r="N115" s="4"/>
    </row>
    <row r="116" spans="1:14" ht="15">
      <c r="A116" s="13">
        <v>44652</v>
      </c>
      <c r="B116" s="67">
        <f>3.3059 * CHOOSE(CONTROL!$C$22, $C$13, 100%, $E$13)</f>
        <v>3.3058999999999998</v>
      </c>
      <c r="C116" s="67">
        <f>3.3059 * CHOOSE(CONTROL!$C$22, $C$13, 100%, $E$13)</f>
        <v>3.3058999999999998</v>
      </c>
      <c r="D116" s="67">
        <f>3.3069 * CHOOSE(CONTROL!$C$22, $C$13, 100%, $E$13)</f>
        <v>3.3069000000000002</v>
      </c>
      <c r="E116" s="68">
        <f>3.9334 * CHOOSE(CONTROL!$C$22, $C$13, 100%, $E$13)</f>
        <v>3.9333999999999998</v>
      </c>
      <c r="F116" s="68">
        <f>3.9334 * CHOOSE(CONTROL!$C$22, $C$13, 100%, $E$13)</f>
        <v>3.9333999999999998</v>
      </c>
      <c r="G116" s="68">
        <f>3.9347 * CHOOSE(CONTROL!$C$22, $C$13, 100%, $E$13)</f>
        <v>3.9346999999999999</v>
      </c>
      <c r="H116" s="68">
        <f>6.4157* CHOOSE(CONTROL!$C$22, $C$13, 100%, $E$13)</f>
        <v>6.4157000000000002</v>
      </c>
      <c r="I116" s="68">
        <f>6.4169 * CHOOSE(CONTROL!$C$22, $C$13, 100%, $E$13)</f>
        <v>6.4169</v>
      </c>
      <c r="J116" s="68">
        <f>3.9334 * CHOOSE(CONTROL!$C$22, $C$13, 100%, $E$13)</f>
        <v>3.9333999999999998</v>
      </c>
      <c r="K116" s="68">
        <f>3.9347 * CHOOSE(CONTROL!$C$22, $C$13, 100%, $E$13)</f>
        <v>3.9346999999999999</v>
      </c>
      <c r="L116" s="4"/>
      <c r="M116" s="4"/>
      <c r="N116" s="4"/>
    </row>
    <row r="117" spans="1:14" ht="15">
      <c r="A117" s="13">
        <v>44682</v>
      </c>
      <c r="B117" s="67">
        <f>3.3059 * CHOOSE(CONTROL!$C$22, $C$13, 100%, $E$13)</f>
        <v>3.3058999999999998</v>
      </c>
      <c r="C117" s="67">
        <f>3.3059 * CHOOSE(CONTROL!$C$22, $C$13, 100%, $E$13)</f>
        <v>3.3058999999999998</v>
      </c>
      <c r="D117" s="67">
        <f>3.3085 * CHOOSE(CONTROL!$C$22, $C$13, 100%, $E$13)</f>
        <v>3.3085</v>
      </c>
      <c r="E117" s="68">
        <f>3.9531 * CHOOSE(CONTROL!$C$22, $C$13, 100%, $E$13)</f>
        <v>3.9531000000000001</v>
      </c>
      <c r="F117" s="68">
        <f>3.9531 * CHOOSE(CONTROL!$C$22, $C$13, 100%, $E$13)</f>
        <v>3.9531000000000001</v>
      </c>
      <c r="G117" s="68">
        <f>3.9564 * CHOOSE(CONTROL!$C$22, $C$13, 100%, $E$13)</f>
        <v>3.9563999999999999</v>
      </c>
      <c r="H117" s="68">
        <f>6.429* CHOOSE(CONTROL!$C$22, $C$13, 100%, $E$13)</f>
        <v>6.4290000000000003</v>
      </c>
      <c r="I117" s="68">
        <f>6.4323 * CHOOSE(CONTROL!$C$22, $C$13, 100%, $E$13)</f>
        <v>6.4322999999999997</v>
      </c>
      <c r="J117" s="68">
        <f>3.9531 * CHOOSE(CONTROL!$C$22, $C$13, 100%, $E$13)</f>
        <v>3.9531000000000001</v>
      </c>
      <c r="K117" s="68">
        <f>3.9564 * CHOOSE(CONTROL!$C$22, $C$13, 100%, $E$13)</f>
        <v>3.9563999999999999</v>
      </c>
      <c r="L117" s="4"/>
      <c r="M117" s="4"/>
      <c r="N117" s="4"/>
    </row>
    <row r="118" spans="1:14" ht="15">
      <c r="A118" s="13">
        <v>44713</v>
      </c>
      <c r="B118" s="67">
        <f>3.312 * CHOOSE(CONTROL!$C$22, $C$13, 100%, $E$13)</f>
        <v>3.3119999999999998</v>
      </c>
      <c r="C118" s="67">
        <f>3.312 * CHOOSE(CONTROL!$C$22, $C$13, 100%, $E$13)</f>
        <v>3.3119999999999998</v>
      </c>
      <c r="D118" s="67">
        <f>3.3146 * CHOOSE(CONTROL!$C$22, $C$13, 100%, $E$13)</f>
        <v>3.3146</v>
      </c>
      <c r="E118" s="68">
        <f>3.9376 * CHOOSE(CONTROL!$C$22, $C$13, 100%, $E$13)</f>
        <v>3.9376000000000002</v>
      </c>
      <c r="F118" s="68">
        <f>3.9376 * CHOOSE(CONTROL!$C$22, $C$13, 100%, $E$13)</f>
        <v>3.9376000000000002</v>
      </c>
      <c r="G118" s="68">
        <f>3.9409 * CHOOSE(CONTROL!$C$22, $C$13, 100%, $E$13)</f>
        <v>3.9409000000000001</v>
      </c>
      <c r="H118" s="68">
        <f>6.4424* CHOOSE(CONTROL!$C$22, $C$13, 100%, $E$13)</f>
        <v>6.4424000000000001</v>
      </c>
      <c r="I118" s="68">
        <f>6.4457 * CHOOSE(CONTROL!$C$22, $C$13, 100%, $E$13)</f>
        <v>6.4457000000000004</v>
      </c>
      <c r="J118" s="68">
        <f>3.9376 * CHOOSE(CONTROL!$C$22, $C$13, 100%, $E$13)</f>
        <v>3.9376000000000002</v>
      </c>
      <c r="K118" s="68">
        <f>3.9409 * CHOOSE(CONTROL!$C$22, $C$13, 100%, $E$13)</f>
        <v>3.9409000000000001</v>
      </c>
      <c r="L118" s="4"/>
      <c r="M118" s="4"/>
      <c r="N118" s="4"/>
    </row>
    <row r="119" spans="1:14" ht="15">
      <c r="A119" s="13">
        <v>44743</v>
      </c>
      <c r="B119" s="67">
        <f>3.3675 * CHOOSE(CONTROL!$C$22, $C$13, 100%, $E$13)</f>
        <v>3.3675000000000002</v>
      </c>
      <c r="C119" s="67">
        <f>3.3675 * CHOOSE(CONTROL!$C$22, $C$13, 100%, $E$13)</f>
        <v>3.3675000000000002</v>
      </c>
      <c r="D119" s="67">
        <f>3.3701 * CHOOSE(CONTROL!$C$22, $C$13, 100%, $E$13)</f>
        <v>3.3700999999999999</v>
      </c>
      <c r="E119" s="68">
        <f>4.0252 * CHOOSE(CONTROL!$C$22, $C$13, 100%, $E$13)</f>
        <v>4.0251999999999999</v>
      </c>
      <c r="F119" s="68">
        <f>4.0252 * CHOOSE(CONTROL!$C$22, $C$13, 100%, $E$13)</f>
        <v>4.0251999999999999</v>
      </c>
      <c r="G119" s="68">
        <f>4.0285 * CHOOSE(CONTROL!$C$22, $C$13, 100%, $E$13)</f>
        <v>4.0285000000000002</v>
      </c>
      <c r="H119" s="68">
        <f>6.4558* CHOOSE(CONTROL!$C$22, $C$13, 100%, $E$13)</f>
        <v>6.4558</v>
      </c>
      <c r="I119" s="68">
        <f>6.4591 * CHOOSE(CONTROL!$C$22, $C$13, 100%, $E$13)</f>
        <v>6.4591000000000003</v>
      </c>
      <c r="J119" s="68">
        <f>4.0252 * CHOOSE(CONTROL!$C$22, $C$13, 100%, $E$13)</f>
        <v>4.0251999999999999</v>
      </c>
      <c r="K119" s="68">
        <f>4.0285 * CHOOSE(CONTROL!$C$22, $C$13, 100%, $E$13)</f>
        <v>4.0285000000000002</v>
      </c>
      <c r="L119" s="4"/>
      <c r="M119" s="4"/>
      <c r="N119" s="4"/>
    </row>
    <row r="120" spans="1:14" ht="15">
      <c r="A120" s="13">
        <v>44774</v>
      </c>
      <c r="B120" s="67">
        <f>3.3742 * CHOOSE(CONTROL!$C$22, $C$13, 100%, $E$13)</f>
        <v>3.3742000000000001</v>
      </c>
      <c r="C120" s="67">
        <f>3.3742 * CHOOSE(CONTROL!$C$22, $C$13, 100%, $E$13)</f>
        <v>3.3742000000000001</v>
      </c>
      <c r="D120" s="67">
        <f>3.3768 * CHOOSE(CONTROL!$C$22, $C$13, 100%, $E$13)</f>
        <v>3.3767999999999998</v>
      </c>
      <c r="E120" s="68">
        <f>3.9706 * CHOOSE(CONTROL!$C$22, $C$13, 100%, $E$13)</f>
        <v>3.9706000000000001</v>
      </c>
      <c r="F120" s="68">
        <f>3.9706 * CHOOSE(CONTROL!$C$22, $C$13, 100%, $E$13)</f>
        <v>3.9706000000000001</v>
      </c>
      <c r="G120" s="68">
        <f>3.9739 * CHOOSE(CONTROL!$C$22, $C$13, 100%, $E$13)</f>
        <v>3.9739</v>
      </c>
      <c r="H120" s="68">
        <f>6.4693* CHOOSE(CONTROL!$C$22, $C$13, 100%, $E$13)</f>
        <v>6.4692999999999996</v>
      </c>
      <c r="I120" s="68">
        <f>6.4726 * CHOOSE(CONTROL!$C$22, $C$13, 100%, $E$13)</f>
        <v>6.4725999999999999</v>
      </c>
      <c r="J120" s="68">
        <f>3.9706 * CHOOSE(CONTROL!$C$22, $C$13, 100%, $E$13)</f>
        <v>3.9706000000000001</v>
      </c>
      <c r="K120" s="68">
        <f>3.9739 * CHOOSE(CONTROL!$C$22, $C$13, 100%, $E$13)</f>
        <v>3.9739</v>
      </c>
      <c r="L120" s="4"/>
      <c r="M120" s="4"/>
      <c r="N120" s="4"/>
    </row>
    <row r="121" spans="1:14" ht="15">
      <c r="A121" s="13">
        <v>44805</v>
      </c>
      <c r="B121" s="67">
        <f>3.3711 * CHOOSE(CONTROL!$C$22, $C$13, 100%, $E$13)</f>
        <v>3.3711000000000002</v>
      </c>
      <c r="C121" s="67">
        <f>3.3711 * CHOOSE(CONTROL!$C$22, $C$13, 100%, $E$13)</f>
        <v>3.3711000000000002</v>
      </c>
      <c r="D121" s="67">
        <f>3.3737 * CHOOSE(CONTROL!$C$22, $C$13, 100%, $E$13)</f>
        <v>3.3736999999999999</v>
      </c>
      <c r="E121" s="68">
        <f>3.9619 * CHOOSE(CONTROL!$C$22, $C$13, 100%, $E$13)</f>
        <v>3.9619</v>
      </c>
      <c r="F121" s="68">
        <f>3.9619 * CHOOSE(CONTROL!$C$22, $C$13, 100%, $E$13)</f>
        <v>3.9619</v>
      </c>
      <c r="G121" s="68">
        <f>3.9652 * CHOOSE(CONTROL!$C$22, $C$13, 100%, $E$13)</f>
        <v>3.9651999999999998</v>
      </c>
      <c r="H121" s="68">
        <f>6.4828* CHOOSE(CONTROL!$C$22, $C$13, 100%, $E$13)</f>
        <v>6.4828000000000001</v>
      </c>
      <c r="I121" s="68">
        <f>6.486 * CHOOSE(CONTROL!$C$22, $C$13, 100%, $E$13)</f>
        <v>6.4859999999999998</v>
      </c>
      <c r="J121" s="68">
        <f>3.9619 * CHOOSE(CONTROL!$C$22, $C$13, 100%, $E$13)</f>
        <v>3.9619</v>
      </c>
      <c r="K121" s="68">
        <f>3.9652 * CHOOSE(CONTROL!$C$22, $C$13, 100%, $E$13)</f>
        <v>3.9651999999999998</v>
      </c>
      <c r="L121" s="4"/>
      <c r="M121" s="4"/>
      <c r="N121" s="4"/>
    </row>
    <row r="122" spans="1:14" ht="15">
      <c r="A122" s="13">
        <v>44835</v>
      </c>
      <c r="B122" s="67">
        <f>3.3637 * CHOOSE(CONTROL!$C$22, $C$13, 100%, $E$13)</f>
        <v>3.3637000000000001</v>
      </c>
      <c r="C122" s="67">
        <f>3.3637 * CHOOSE(CONTROL!$C$22, $C$13, 100%, $E$13)</f>
        <v>3.3637000000000001</v>
      </c>
      <c r="D122" s="67">
        <f>3.3647 * CHOOSE(CONTROL!$C$22, $C$13, 100%, $E$13)</f>
        <v>3.3647</v>
      </c>
      <c r="E122" s="68">
        <f>3.9748 * CHOOSE(CONTROL!$C$22, $C$13, 100%, $E$13)</f>
        <v>3.9748000000000001</v>
      </c>
      <c r="F122" s="68">
        <f>3.9748 * CHOOSE(CONTROL!$C$22, $C$13, 100%, $E$13)</f>
        <v>3.9748000000000001</v>
      </c>
      <c r="G122" s="68">
        <f>3.9761 * CHOOSE(CONTROL!$C$22, $C$13, 100%, $E$13)</f>
        <v>3.9761000000000002</v>
      </c>
      <c r="H122" s="68">
        <f>6.4963* CHOOSE(CONTROL!$C$22, $C$13, 100%, $E$13)</f>
        <v>6.4962999999999997</v>
      </c>
      <c r="I122" s="68">
        <f>6.4976 * CHOOSE(CONTROL!$C$22, $C$13, 100%, $E$13)</f>
        <v>6.4976000000000003</v>
      </c>
      <c r="J122" s="68">
        <f>3.9748 * CHOOSE(CONTROL!$C$22, $C$13, 100%, $E$13)</f>
        <v>3.9748000000000001</v>
      </c>
      <c r="K122" s="68">
        <f>3.9761 * CHOOSE(CONTROL!$C$22, $C$13, 100%, $E$13)</f>
        <v>3.9761000000000002</v>
      </c>
      <c r="L122" s="4"/>
      <c r="M122" s="4"/>
      <c r="N122" s="4"/>
    </row>
    <row r="123" spans="1:14" ht="15">
      <c r="A123" s="13">
        <v>44866</v>
      </c>
      <c r="B123" s="67">
        <f>3.3667 * CHOOSE(CONTROL!$C$22, $C$13, 100%, $E$13)</f>
        <v>3.3666999999999998</v>
      </c>
      <c r="C123" s="67">
        <f>3.3667 * CHOOSE(CONTROL!$C$22, $C$13, 100%, $E$13)</f>
        <v>3.3666999999999998</v>
      </c>
      <c r="D123" s="67">
        <f>3.3677 * CHOOSE(CONTROL!$C$22, $C$13, 100%, $E$13)</f>
        <v>3.3677000000000001</v>
      </c>
      <c r="E123" s="68">
        <f>3.9901 * CHOOSE(CONTROL!$C$22, $C$13, 100%, $E$13)</f>
        <v>3.9901</v>
      </c>
      <c r="F123" s="68">
        <f>3.9901 * CHOOSE(CONTROL!$C$22, $C$13, 100%, $E$13)</f>
        <v>3.9901</v>
      </c>
      <c r="G123" s="68">
        <f>3.9914 * CHOOSE(CONTROL!$C$22, $C$13, 100%, $E$13)</f>
        <v>3.9914000000000001</v>
      </c>
      <c r="H123" s="68">
        <f>6.5098* CHOOSE(CONTROL!$C$22, $C$13, 100%, $E$13)</f>
        <v>6.5098000000000003</v>
      </c>
      <c r="I123" s="68">
        <f>6.5111 * CHOOSE(CONTROL!$C$22, $C$13, 100%, $E$13)</f>
        <v>6.5110999999999999</v>
      </c>
      <c r="J123" s="68">
        <f>3.9901 * CHOOSE(CONTROL!$C$22, $C$13, 100%, $E$13)</f>
        <v>3.9901</v>
      </c>
      <c r="K123" s="68">
        <f>3.9914 * CHOOSE(CONTROL!$C$22, $C$13, 100%, $E$13)</f>
        <v>3.9914000000000001</v>
      </c>
      <c r="L123" s="4"/>
      <c r="M123" s="4"/>
      <c r="N123" s="4"/>
    </row>
    <row r="124" spans="1:14" ht="15">
      <c r="A124" s="13">
        <v>44896</v>
      </c>
      <c r="B124" s="67">
        <f>3.3667 * CHOOSE(CONTROL!$C$22, $C$13, 100%, $E$13)</f>
        <v>3.3666999999999998</v>
      </c>
      <c r="C124" s="67">
        <f>3.3667 * CHOOSE(CONTROL!$C$22, $C$13, 100%, $E$13)</f>
        <v>3.3666999999999998</v>
      </c>
      <c r="D124" s="67">
        <f>3.3677 * CHOOSE(CONTROL!$C$22, $C$13, 100%, $E$13)</f>
        <v>3.3677000000000001</v>
      </c>
      <c r="E124" s="68">
        <f>3.9572 * CHOOSE(CONTROL!$C$22, $C$13, 100%, $E$13)</f>
        <v>3.9571999999999998</v>
      </c>
      <c r="F124" s="68">
        <f>3.9572 * CHOOSE(CONTROL!$C$22, $C$13, 100%, $E$13)</f>
        <v>3.9571999999999998</v>
      </c>
      <c r="G124" s="68">
        <f>3.9585 * CHOOSE(CONTROL!$C$22, $C$13, 100%, $E$13)</f>
        <v>3.9584999999999999</v>
      </c>
      <c r="H124" s="68">
        <f>6.5234* CHOOSE(CONTROL!$C$22, $C$13, 100%, $E$13)</f>
        <v>6.5233999999999996</v>
      </c>
      <c r="I124" s="68">
        <f>6.5247 * CHOOSE(CONTROL!$C$22, $C$13, 100%, $E$13)</f>
        <v>6.5247000000000002</v>
      </c>
      <c r="J124" s="68">
        <f>3.9572 * CHOOSE(CONTROL!$C$22, $C$13, 100%, $E$13)</f>
        <v>3.9571999999999998</v>
      </c>
      <c r="K124" s="68">
        <f>3.9585 * CHOOSE(CONTROL!$C$22, $C$13, 100%, $E$13)</f>
        <v>3.9584999999999999</v>
      </c>
      <c r="L124" s="4"/>
      <c r="M124" s="4"/>
      <c r="N124" s="4"/>
    </row>
    <row r="125" spans="1:14" ht="15">
      <c r="A125" s="13">
        <v>44927</v>
      </c>
      <c r="B125" s="67">
        <f>3.3924 * CHOOSE(CONTROL!$C$22, $C$13, 100%, $E$13)</f>
        <v>3.3923999999999999</v>
      </c>
      <c r="C125" s="67">
        <f>3.3924 * CHOOSE(CONTROL!$C$22, $C$13, 100%, $E$13)</f>
        <v>3.3923999999999999</v>
      </c>
      <c r="D125" s="67">
        <f>3.3934 * CHOOSE(CONTROL!$C$22, $C$13, 100%, $E$13)</f>
        <v>3.3934000000000002</v>
      </c>
      <c r="E125" s="68">
        <f>4.0337 * CHOOSE(CONTROL!$C$22, $C$13, 100%, $E$13)</f>
        <v>4.0336999999999996</v>
      </c>
      <c r="F125" s="68">
        <f>4.0337 * CHOOSE(CONTROL!$C$22, $C$13, 100%, $E$13)</f>
        <v>4.0336999999999996</v>
      </c>
      <c r="G125" s="68">
        <f>4.035 * CHOOSE(CONTROL!$C$22, $C$13, 100%, $E$13)</f>
        <v>4.0350000000000001</v>
      </c>
      <c r="H125" s="68">
        <f>6.537* CHOOSE(CONTROL!$C$22, $C$13, 100%, $E$13)</f>
        <v>6.5369999999999999</v>
      </c>
      <c r="I125" s="68">
        <f>6.5383 * CHOOSE(CONTROL!$C$22, $C$13, 100%, $E$13)</f>
        <v>6.5382999999999996</v>
      </c>
      <c r="J125" s="68">
        <f>4.0337 * CHOOSE(CONTROL!$C$22, $C$13, 100%, $E$13)</f>
        <v>4.0336999999999996</v>
      </c>
      <c r="K125" s="68">
        <f>4.035 * CHOOSE(CONTROL!$C$22, $C$13, 100%, $E$13)</f>
        <v>4.0350000000000001</v>
      </c>
      <c r="L125" s="4"/>
      <c r="M125" s="4"/>
      <c r="N125" s="4"/>
    </row>
    <row r="126" spans="1:14" ht="15">
      <c r="A126" s="13">
        <v>44958</v>
      </c>
      <c r="B126" s="67">
        <f>3.3894 * CHOOSE(CONTROL!$C$22, $C$13, 100%, $E$13)</f>
        <v>3.3894000000000002</v>
      </c>
      <c r="C126" s="67">
        <f>3.3894 * CHOOSE(CONTROL!$C$22, $C$13, 100%, $E$13)</f>
        <v>3.3894000000000002</v>
      </c>
      <c r="D126" s="67">
        <f>3.3903 * CHOOSE(CONTROL!$C$22, $C$13, 100%, $E$13)</f>
        <v>3.3902999999999999</v>
      </c>
      <c r="E126" s="68">
        <f>3.9661 * CHOOSE(CONTROL!$C$22, $C$13, 100%, $E$13)</f>
        <v>3.9661</v>
      </c>
      <c r="F126" s="68">
        <f>3.9661 * CHOOSE(CONTROL!$C$22, $C$13, 100%, $E$13)</f>
        <v>3.9661</v>
      </c>
      <c r="G126" s="68">
        <f>3.9674 * CHOOSE(CONTROL!$C$22, $C$13, 100%, $E$13)</f>
        <v>3.9674</v>
      </c>
      <c r="H126" s="68">
        <f>6.5506* CHOOSE(CONTROL!$C$22, $C$13, 100%, $E$13)</f>
        <v>6.5506000000000002</v>
      </c>
      <c r="I126" s="68">
        <f>6.5519 * CHOOSE(CONTROL!$C$22, $C$13, 100%, $E$13)</f>
        <v>6.5518999999999998</v>
      </c>
      <c r="J126" s="68">
        <f>3.9661 * CHOOSE(CONTROL!$C$22, $C$13, 100%, $E$13)</f>
        <v>3.9661</v>
      </c>
      <c r="K126" s="68">
        <f>3.9674 * CHOOSE(CONTROL!$C$22, $C$13, 100%, $E$13)</f>
        <v>3.9674</v>
      </c>
      <c r="L126" s="4"/>
      <c r="M126" s="4"/>
      <c r="N126" s="4"/>
    </row>
    <row r="127" spans="1:14" ht="15">
      <c r="A127" s="13">
        <v>44986</v>
      </c>
      <c r="B127" s="67">
        <f>3.3863 * CHOOSE(CONTROL!$C$22, $C$13, 100%, $E$13)</f>
        <v>3.3862999999999999</v>
      </c>
      <c r="C127" s="67">
        <f>3.3863 * CHOOSE(CONTROL!$C$22, $C$13, 100%, $E$13)</f>
        <v>3.3862999999999999</v>
      </c>
      <c r="D127" s="67">
        <f>3.3873 * CHOOSE(CONTROL!$C$22, $C$13, 100%, $E$13)</f>
        <v>3.3873000000000002</v>
      </c>
      <c r="E127" s="68">
        <f>4.0156 * CHOOSE(CONTROL!$C$22, $C$13, 100%, $E$13)</f>
        <v>4.0156000000000001</v>
      </c>
      <c r="F127" s="68">
        <f>4.0156 * CHOOSE(CONTROL!$C$22, $C$13, 100%, $E$13)</f>
        <v>4.0156000000000001</v>
      </c>
      <c r="G127" s="68">
        <f>4.0169 * CHOOSE(CONTROL!$C$22, $C$13, 100%, $E$13)</f>
        <v>4.0168999999999997</v>
      </c>
      <c r="H127" s="68">
        <f>6.5642* CHOOSE(CONTROL!$C$22, $C$13, 100%, $E$13)</f>
        <v>6.5641999999999996</v>
      </c>
      <c r="I127" s="68">
        <f>6.5655 * CHOOSE(CONTROL!$C$22, $C$13, 100%, $E$13)</f>
        <v>6.5655000000000001</v>
      </c>
      <c r="J127" s="68">
        <f>4.0156 * CHOOSE(CONTROL!$C$22, $C$13, 100%, $E$13)</f>
        <v>4.0156000000000001</v>
      </c>
      <c r="K127" s="68">
        <f>4.0169 * CHOOSE(CONTROL!$C$22, $C$13, 100%, $E$13)</f>
        <v>4.0168999999999997</v>
      </c>
      <c r="L127" s="4"/>
      <c r="M127" s="4"/>
      <c r="N127" s="4"/>
    </row>
    <row r="128" spans="1:14" ht="15">
      <c r="A128" s="13">
        <v>45017</v>
      </c>
      <c r="B128" s="67">
        <f>3.3833 * CHOOSE(CONTROL!$C$22, $C$13, 100%, $E$13)</f>
        <v>3.3833000000000002</v>
      </c>
      <c r="C128" s="67">
        <f>3.3833 * CHOOSE(CONTROL!$C$22, $C$13, 100%, $E$13)</f>
        <v>3.3833000000000002</v>
      </c>
      <c r="D128" s="67">
        <f>3.3843 * CHOOSE(CONTROL!$C$22, $C$13, 100%, $E$13)</f>
        <v>3.3843000000000001</v>
      </c>
      <c r="E128" s="68">
        <f>4.0669 * CHOOSE(CONTROL!$C$22, $C$13, 100%, $E$13)</f>
        <v>4.0669000000000004</v>
      </c>
      <c r="F128" s="68">
        <f>4.0669 * CHOOSE(CONTROL!$C$22, $C$13, 100%, $E$13)</f>
        <v>4.0669000000000004</v>
      </c>
      <c r="G128" s="68">
        <f>4.0682 * CHOOSE(CONTROL!$C$22, $C$13, 100%, $E$13)</f>
        <v>4.0682</v>
      </c>
      <c r="H128" s="68">
        <f>6.5779* CHOOSE(CONTROL!$C$22, $C$13, 100%, $E$13)</f>
        <v>6.5778999999999996</v>
      </c>
      <c r="I128" s="68">
        <f>6.5792 * CHOOSE(CONTROL!$C$22, $C$13, 100%, $E$13)</f>
        <v>6.5792000000000002</v>
      </c>
      <c r="J128" s="68">
        <f>4.0669 * CHOOSE(CONTROL!$C$22, $C$13, 100%, $E$13)</f>
        <v>4.0669000000000004</v>
      </c>
      <c r="K128" s="68">
        <f>4.0682 * CHOOSE(CONTROL!$C$22, $C$13, 100%, $E$13)</f>
        <v>4.0682</v>
      </c>
      <c r="L128" s="4"/>
      <c r="M128" s="4"/>
      <c r="N128" s="4"/>
    </row>
    <row r="129" spans="1:14" ht="15">
      <c r="A129" s="13">
        <v>45047</v>
      </c>
      <c r="B129" s="67">
        <f>3.3833 * CHOOSE(CONTROL!$C$22, $C$13, 100%, $E$13)</f>
        <v>3.3833000000000002</v>
      </c>
      <c r="C129" s="67">
        <f>3.3833 * CHOOSE(CONTROL!$C$22, $C$13, 100%, $E$13)</f>
        <v>3.3833000000000002</v>
      </c>
      <c r="D129" s="67">
        <f>3.3859 * CHOOSE(CONTROL!$C$22, $C$13, 100%, $E$13)</f>
        <v>3.3858999999999999</v>
      </c>
      <c r="E129" s="68">
        <f>4.0877 * CHOOSE(CONTROL!$C$22, $C$13, 100%, $E$13)</f>
        <v>4.0876999999999999</v>
      </c>
      <c r="F129" s="68">
        <f>4.0877 * CHOOSE(CONTROL!$C$22, $C$13, 100%, $E$13)</f>
        <v>4.0876999999999999</v>
      </c>
      <c r="G129" s="68">
        <f>4.0909 * CHOOSE(CONTROL!$C$22, $C$13, 100%, $E$13)</f>
        <v>4.0909000000000004</v>
      </c>
      <c r="H129" s="68">
        <f>6.5916* CHOOSE(CONTROL!$C$22, $C$13, 100%, $E$13)</f>
        <v>6.5915999999999997</v>
      </c>
      <c r="I129" s="68">
        <f>6.5949 * CHOOSE(CONTROL!$C$22, $C$13, 100%, $E$13)</f>
        <v>6.5949</v>
      </c>
      <c r="J129" s="68">
        <f>4.0877 * CHOOSE(CONTROL!$C$22, $C$13, 100%, $E$13)</f>
        <v>4.0876999999999999</v>
      </c>
      <c r="K129" s="68">
        <f>4.0909 * CHOOSE(CONTROL!$C$22, $C$13, 100%, $E$13)</f>
        <v>4.0909000000000004</v>
      </c>
      <c r="L129" s="4"/>
      <c r="M129" s="4"/>
      <c r="N129" s="4"/>
    </row>
    <row r="130" spans="1:14" ht="15">
      <c r="A130" s="13">
        <v>45078</v>
      </c>
      <c r="B130" s="67">
        <f>3.3894 * CHOOSE(CONTROL!$C$22, $C$13, 100%, $E$13)</f>
        <v>3.3894000000000002</v>
      </c>
      <c r="C130" s="67">
        <f>3.3894 * CHOOSE(CONTROL!$C$22, $C$13, 100%, $E$13)</f>
        <v>3.3894000000000002</v>
      </c>
      <c r="D130" s="67">
        <f>3.392 * CHOOSE(CONTROL!$C$22, $C$13, 100%, $E$13)</f>
        <v>3.3919999999999999</v>
      </c>
      <c r="E130" s="68">
        <f>4.0711 * CHOOSE(CONTROL!$C$22, $C$13, 100%, $E$13)</f>
        <v>4.0711000000000004</v>
      </c>
      <c r="F130" s="68">
        <f>4.0711 * CHOOSE(CONTROL!$C$22, $C$13, 100%, $E$13)</f>
        <v>4.0711000000000004</v>
      </c>
      <c r="G130" s="68">
        <f>4.0744 * CHOOSE(CONTROL!$C$22, $C$13, 100%, $E$13)</f>
        <v>4.0743999999999998</v>
      </c>
      <c r="H130" s="68">
        <f>6.6053* CHOOSE(CONTROL!$C$22, $C$13, 100%, $E$13)</f>
        <v>6.6052999999999997</v>
      </c>
      <c r="I130" s="68">
        <f>6.6086 * CHOOSE(CONTROL!$C$22, $C$13, 100%, $E$13)</f>
        <v>6.6086</v>
      </c>
      <c r="J130" s="68">
        <f>4.0711 * CHOOSE(CONTROL!$C$22, $C$13, 100%, $E$13)</f>
        <v>4.0711000000000004</v>
      </c>
      <c r="K130" s="68">
        <f>4.0744 * CHOOSE(CONTROL!$C$22, $C$13, 100%, $E$13)</f>
        <v>4.0743999999999998</v>
      </c>
      <c r="L130" s="4"/>
      <c r="M130" s="4"/>
      <c r="N130" s="4"/>
    </row>
    <row r="131" spans="1:14" ht="15">
      <c r="A131" s="13">
        <v>45108</v>
      </c>
      <c r="B131" s="67">
        <f>3.4356 * CHOOSE(CONTROL!$C$22, $C$13, 100%, $E$13)</f>
        <v>3.4356</v>
      </c>
      <c r="C131" s="67">
        <f>3.4356 * CHOOSE(CONTROL!$C$22, $C$13, 100%, $E$13)</f>
        <v>3.4356</v>
      </c>
      <c r="D131" s="67">
        <f>3.4383 * CHOOSE(CONTROL!$C$22, $C$13, 100%, $E$13)</f>
        <v>3.4382999999999999</v>
      </c>
      <c r="E131" s="68">
        <f>4.1492 * CHOOSE(CONTROL!$C$22, $C$13, 100%, $E$13)</f>
        <v>4.1492000000000004</v>
      </c>
      <c r="F131" s="68">
        <f>4.1492 * CHOOSE(CONTROL!$C$22, $C$13, 100%, $E$13)</f>
        <v>4.1492000000000004</v>
      </c>
      <c r="G131" s="68">
        <f>4.1525 * CHOOSE(CONTROL!$C$22, $C$13, 100%, $E$13)</f>
        <v>4.1524999999999999</v>
      </c>
      <c r="H131" s="68">
        <f>6.6191* CHOOSE(CONTROL!$C$22, $C$13, 100%, $E$13)</f>
        <v>6.6191000000000004</v>
      </c>
      <c r="I131" s="68">
        <f>6.6224 * CHOOSE(CONTROL!$C$22, $C$13, 100%, $E$13)</f>
        <v>6.6223999999999998</v>
      </c>
      <c r="J131" s="68">
        <f>4.1492 * CHOOSE(CONTROL!$C$22, $C$13, 100%, $E$13)</f>
        <v>4.1492000000000004</v>
      </c>
      <c r="K131" s="68">
        <f>4.1525 * CHOOSE(CONTROL!$C$22, $C$13, 100%, $E$13)</f>
        <v>4.1524999999999999</v>
      </c>
      <c r="L131" s="4"/>
      <c r="M131" s="4"/>
      <c r="N131" s="4"/>
    </row>
    <row r="132" spans="1:14" ht="15">
      <c r="A132" s="13">
        <v>45139</v>
      </c>
      <c r="B132" s="67">
        <f>3.4423 * CHOOSE(CONTROL!$C$22, $C$13, 100%, $E$13)</f>
        <v>3.4422999999999999</v>
      </c>
      <c r="C132" s="67">
        <f>3.4423 * CHOOSE(CONTROL!$C$22, $C$13, 100%, $E$13)</f>
        <v>3.4422999999999999</v>
      </c>
      <c r="D132" s="67">
        <f>3.445 * CHOOSE(CONTROL!$C$22, $C$13, 100%, $E$13)</f>
        <v>3.4449999999999998</v>
      </c>
      <c r="E132" s="68">
        <f>4.0915 * CHOOSE(CONTROL!$C$22, $C$13, 100%, $E$13)</f>
        <v>4.0914999999999999</v>
      </c>
      <c r="F132" s="68">
        <f>4.0915 * CHOOSE(CONTROL!$C$22, $C$13, 100%, $E$13)</f>
        <v>4.0914999999999999</v>
      </c>
      <c r="G132" s="68">
        <f>4.0947 * CHOOSE(CONTROL!$C$22, $C$13, 100%, $E$13)</f>
        <v>4.0946999999999996</v>
      </c>
      <c r="H132" s="68">
        <f>6.6329* CHOOSE(CONTROL!$C$22, $C$13, 100%, $E$13)</f>
        <v>6.6329000000000002</v>
      </c>
      <c r="I132" s="68">
        <f>6.6361 * CHOOSE(CONTROL!$C$22, $C$13, 100%, $E$13)</f>
        <v>6.6360999999999999</v>
      </c>
      <c r="J132" s="68">
        <f>4.0915 * CHOOSE(CONTROL!$C$22, $C$13, 100%, $E$13)</f>
        <v>4.0914999999999999</v>
      </c>
      <c r="K132" s="68">
        <f>4.0947 * CHOOSE(CONTROL!$C$22, $C$13, 100%, $E$13)</f>
        <v>4.0946999999999996</v>
      </c>
      <c r="L132" s="4"/>
      <c r="M132" s="4"/>
      <c r="N132" s="4"/>
    </row>
    <row r="133" spans="1:14" ht="15">
      <c r="A133" s="13">
        <v>45170</v>
      </c>
      <c r="B133" s="67">
        <f>3.4393 * CHOOSE(CONTROL!$C$22, $C$13, 100%, $E$13)</f>
        <v>3.4392999999999998</v>
      </c>
      <c r="C133" s="67">
        <f>3.4393 * CHOOSE(CONTROL!$C$22, $C$13, 100%, $E$13)</f>
        <v>3.4392999999999998</v>
      </c>
      <c r="D133" s="67">
        <f>3.4419 * CHOOSE(CONTROL!$C$22, $C$13, 100%, $E$13)</f>
        <v>3.4419</v>
      </c>
      <c r="E133" s="68">
        <f>4.0824 * CHOOSE(CONTROL!$C$22, $C$13, 100%, $E$13)</f>
        <v>4.0823999999999998</v>
      </c>
      <c r="F133" s="68">
        <f>4.0824 * CHOOSE(CONTROL!$C$22, $C$13, 100%, $E$13)</f>
        <v>4.0823999999999998</v>
      </c>
      <c r="G133" s="68">
        <f>4.0857 * CHOOSE(CONTROL!$C$22, $C$13, 100%, $E$13)</f>
        <v>4.0857000000000001</v>
      </c>
      <c r="H133" s="68">
        <f>6.6467* CHOOSE(CONTROL!$C$22, $C$13, 100%, $E$13)</f>
        <v>6.6467000000000001</v>
      </c>
      <c r="I133" s="68">
        <f>6.65 * CHOOSE(CONTROL!$C$22, $C$13, 100%, $E$13)</f>
        <v>6.65</v>
      </c>
      <c r="J133" s="68">
        <f>4.0824 * CHOOSE(CONTROL!$C$22, $C$13, 100%, $E$13)</f>
        <v>4.0823999999999998</v>
      </c>
      <c r="K133" s="68">
        <f>4.0857 * CHOOSE(CONTROL!$C$22, $C$13, 100%, $E$13)</f>
        <v>4.0857000000000001</v>
      </c>
      <c r="L133" s="4"/>
      <c r="M133" s="4"/>
      <c r="N133" s="4"/>
    </row>
    <row r="134" spans="1:14" ht="15">
      <c r="A134" s="13">
        <v>45200</v>
      </c>
      <c r="B134" s="67">
        <f>3.4321 * CHOOSE(CONTROL!$C$22, $C$13, 100%, $E$13)</f>
        <v>3.4321000000000002</v>
      </c>
      <c r="C134" s="67">
        <f>3.4321 * CHOOSE(CONTROL!$C$22, $C$13, 100%, $E$13)</f>
        <v>3.4321000000000002</v>
      </c>
      <c r="D134" s="67">
        <f>3.4331 * CHOOSE(CONTROL!$C$22, $C$13, 100%, $E$13)</f>
        <v>3.4331</v>
      </c>
      <c r="E134" s="68">
        <f>4.0968 * CHOOSE(CONTROL!$C$22, $C$13, 100%, $E$13)</f>
        <v>4.0968</v>
      </c>
      <c r="F134" s="68">
        <f>4.0968 * CHOOSE(CONTROL!$C$22, $C$13, 100%, $E$13)</f>
        <v>4.0968</v>
      </c>
      <c r="G134" s="68">
        <f>4.098 * CHOOSE(CONTROL!$C$22, $C$13, 100%, $E$13)</f>
        <v>4.0979999999999999</v>
      </c>
      <c r="H134" s="68">
        <f>6.6606* CHOOSE(CONTROL!$C$22, $C$13, 100%, $E$13)</f>
        <v>6.6605999999999996</v>
      </c>
      <c r="I134" s="68">
        <f>6.6618 * CHOOSE(CONTROL!$C$22, $C$13, 100%, $E$13)</f>
        <v>6.6618000000000004</v>
      </c>
      <c r="J134" s="68">
        <f>4.0968 * CHOOSE(CONTROL!$C$22, $C$13, 100%, $E$13)</f>
        <v>4.0968</v>
      </c>
      <c r="K134" s="68">
        <f>4.098 * CHOOSE(CONTROL!$C$22, $C$13, 100%, $E$13)</f>
        <v>4.0979999999999999</v>
      </c>
      <c r="L134" s="4"/>
      <c r="M134" s="4"/>
      <c r="N134" s="4"/>
    </row>
    <row r="135" spans="1:14" ht="15">
      <c r="A135" s="13">
        <v>45231</v>
      </c>
      <c r="B135" s="67">
        <f>3.4352 * CHOOSE(CONTROL!$C$22, $C$13, 100%, $E$13)</f>
        <v>3.4352</v>
      </c>
      <c r="C135" s="67">
        <f>3.4352 * CHOOSE(CONTROL!$C$22, $C$13, 100%, $E$13)</f>
        <v>3.4352</v>
      </c>
      <c r="D135" s="67">
        <f>3.4362 * CHOOSE(CONTROL!$C$22, $C$13, 100%, $E$13)</f>
        <v>3.4361999999999999</v>
      </c>
      <c r="E135" s="68">
        <f>4.1127 * CHOOSE(CONTROL!$C$22, $C$13, 100%, $E$13)</f>
        <v>4.1127000000000002</v>
      </c>
      <c r="F135" s="68">
        <f>4.1127 * CHOOSE(CONTROL!$C$22, $C$13, 100%, $E$13)</f>
        <v>4.1127000000000002</v>
      </c>
      <c r="G135" s="68">
        <f>4.114 * CHOOSE(CONTROL!$C$22, $C$13, 100%, $E$13)</f>
        <v>4.1139999999999999</v>
      </c>
      <c r="H135" s="68">
        <f>6.6744* CHOOSE(CONTROL!$C$22, $C$13, 100%, $E$13)</f>
        <v>6.6744000000000003</v>
      </c>
      <c r="I135" s="68">
        <f>6.6757 * CHOOSE(CONTROL!$C$22, $C$13, 100%, $E$13)</f>
        <v>6.6757</v>
      </c>
      <c r="J135" s="68">
        <f>4.1127 * CHOOSE(CONTROL!$C$22, $C$13, 100%, $E$13)</f>
        <v>4.1127000000000002</v>
      </c>
      <c r="K135" s="68">
        <f>4.114 * CHOOSE(CONTROL!$C$22, $C$13, 100%, $E$13)</f>
        <v>4.1139999999999999</v>
      </c>
      <c r="L135" s="4"/>
      <c r="M135" s="4"/>
      <c r="N135" s="4"/>
    </row>
    <row r="136" spans="1:14" ht="15">
      <c r="A136" s="13">
        <v>45261</v>
      </c>
      <c r="B136" s="67">
        <f>3.4352 * CHOOSE(CONTROL!$C$22, $C$13, 100%, $E$13)</f>
        <v>3.4352</v>
      </c>
      <c r="C136" s="67">
        <f>3.4352 * CHOOSE(CONTROL!$C$22, $C$13, 100%, $E$13)</f>
        <v>3.4352</v>
      </c>
      <c r="D136" s="67">
        <f>3.4362 * CHOOSE(CONTROL!$C$22, $C$13, 100%, $E$13)</f>
        <v>3.4361999999999999</v>
      </c>
      <c r="E136" s="68">
        <f>4.0781 * CHOOSE(CONTROL!$C$22, $C$13, 100%, $E$13)</f>
        <v>4.0781000000000001</v>
      </c>
      <c r="F136" s="68">
        <f>4.0781 * CHOOSE(CONTROL!$C$22, $C$13, 100%, $E$13)</f>
        <v>4.0781000000000001</v>
      </c>
      <c r="G136" s="68">
        <f>4.0794 * CHOOSE(CONTROL!$C$22, $C$13, 100%, $E$13)</f>
        <v>4.0793999999999997</v>
      </c>
      <c r="H136" s="68">
        <f>6.6883* CHOOSE(CONTROL!$C$22, $C$13, 100%, $E$13)</f>
        <v>6.6882999999999999</v>
      </c>
      <c r="I136" s="68">
        <f>6.6896 * CHOOSE(CONTROL!$C$22, $C$13, 100%, $E$13)</f>
        <v>6.6896000000000004</v>
      </c>
      <c r="J136" s="68">
        <f>4.0781 * CHOOSE(CONTROL!$C$22, $C$13, 100%, $E$13)</f>
        <v>4.0781000000000001</v>
      </c>
      <c r="K136" s="68">
        <f>4.0794 * CHOOSE(CONTROL!$C$22, $C$13, 100%, $E$13)</f>
        <v>4.0793999999999997</v>
      </c>
      <c r="L136" s="4"/>
      <c r="M136" s="4"/>
      <c r="N136" s="4"/>
    </row>
    <row r="137" spans="1:14" ht="15">
      <c r="A137" s="13">
        <v>45292</v>
      </c>
      <c r="B137" s="67">
        <f>3.4652 * CHOOSE(CONTROL!$C$22, $C$13, 100%, $E$13)</f>
        <v>3.4651999999999998</v>
      </c>
      <c r="C137" s="67">
        <f>3.4652 * CHOOSE(CONTROL!$C$22, $C$13, 100%, $E$13)</f>
        <v>3.4651999999999998</v>
      </c>
      <c r="D137" s="67">
        <f>3.4662 * CHOOSE(CONTROL!$C$22, $C$13, 100%, $E$13)</f>
        <v>3.4662000000000002</v>
      </c>
      <c r="E137" s="68">
        <f>4.1228 * CHOOSE(CONTROL!$C$22, $C$13, 100%, $E$13)</f>
        <v>4.1227999999999998</v>
      </c>
      <c r="F137" s="68">
        <f>4.1228 * CHOOSE(CONTROL!$C$22, $C$13, 100%, $E$13)</f>
        <v>4.1227999999999998</v>
      </c>
      <c r="G137" s="68">
        <f>4.1241 * CHOOSE(CONTROL!$C$22, $C$13, 100%, $E$13)</f>
        <v>4.1241000000000003</v>
      </c>
      <c r="H137" s="68">
        <f>6.7023* CHOOSE(CONTROL!$C$22, $C$13, 100%, $E$13)</f>
        <v>6.7023000000000001</v>
      </c>
      <c r="I137" s="68">
        <f>6.7036 * CHOOSE(CONTROL!$C$22, $C$13, 100%, $E$13)</f>
        <v>6.7035999999999998</v>
      </c>
      <c r="J137" s="68">
        <f>4.1228 * CHOOSE(CONTROL!$C$22, $C$13, 100%, $E$13)</f>
        <v>4.1227999999999998</v>
      </c>
      <c r="K137" s="68">
        <f>4.1241 * CHOOSE(CONTROL!$C$22, $C$13, 100%, $E$13)</f>
        <v>4.1241000000000003</v>
      </c>
      <c r="L137" s="4"/>
      <c r="M137" s="4"/>
      <c r="N137" s="4"/>
    </row>
    <row r="138" spans="1:14" ht="15">
      <c r="A138" s="13">
        <v>45323</v>
      </c>
      <c r="B138" s="67">
        <f>3.4621 * CHOOSE(CONTROL!$C$22, $C$13, 100%, $E$13)</f>
        <v>3.4621</v>
      </c>
      <c r="C138" s="67">
        <f>3.4621 * CHOOSE(CONTROL!$C$22, $C$13, 100%, $E$13)</f>
        <v>3.4621</v>
      </c>
      <c r="D138" s="67">
        <f>3.4631 * CHOOSE(CONTROL!$C$22, $C$13, 100%, $E$13)</f>
        <v>3.4630999999999998</v>
      </c>
      <c r="E138" s="68">
        <f>4.0546 * CHOOSE(CONTROL!$C$22, $C$13, 100%, $E$13)</f>
        <v>4.0545999999999998</v>
      </c>
      <c r="F138" s="68">
        <f>4.0546 * CHOOSE(CONTROL!$C$22, $C$13, 100%, $E$13)</f>
        <v>4.0545999999999998</v>
      </c>
      <c r="G138" s="68">
        <f>4.0559 * CHOOSE(CONTROL!$C$22, $C$13, 100%, $E$13)</f>
        <v>4.0559000000000003</v>
      </c>
      <c r="H138" s="68">
        <f>6.7162* CHOOSE(CONTROL!$C$22, $C$13, 100%, $E$13)</f>
        <v>6.7161999999999997</v>
      </c>
      <c r="I138" s="68">
        <f>6.7175 * CHOOSE(CONTROL!$C$22, $C$13, 100%, $E$13)</f>
        <v>6.7175000000000002</v>
      </c>
      <c r="J138" s="68">
        <f>4.0546 * CHOOSE(CONTROL!$C$22, $C$13, 100%, $E$13)</f>
        <v>4.0545999999999998</v>
      </c>
      <c r="K138" s="68">
        <f>4.0559 * CHOOSE(CONTROL!$C$22, $C$13, 100%, $E$13)</f>
        <v>4.0559000000000003</v>
      </c>
      <c r="L138" s="4"/>
      <c r="M138" s="4"/>
      <c r="N138" s="4"/>
    </row>
    <row r="139" spans="1:14" ht="15">
      <c r="A139" s="13">
        <v>45352</v>
      </c>
      <c r="B139" s="67">
        <f>3.4591 * CHOOSE(CONTROL!$C$22, $C$13, 100%, $E$13)</f>
        <v>3.4590999999999998</v>
      </c>
      <c r="C139" s="67">
        <f>3.4591 * CHOOSE(CONTROL!$C$22, $C$13, 100%, $E$13)</f>
        <v>3.4590999999999998</v>
      </c>
      <c r="D139" s="67">
        <f>3.4601 * CHOOSE(CONTROL!$C$22, $C$13, 100%, $E$13)</f>
        <v>3.4601000000000002</v>
      </c>
      <c r="E139" s="68">
        <f>4.1046 * CHOOSE(CONTROL!$C$22, $C$13, 100%, $E$13)</f>
        <v>4.1045999999999996</v>
      </c>
      <c r="F139" s="68">
        <f>4.1046 * CHOOSE(CONTROL!$C$22, $C$13, 100%, $E$13)</f>
        <v>4.1045999999999996</v>
      </c>
      <c r="G139" s="68">
        <f>4.1058 * CHOOSE(CONTROL!$C$22, $C$13, 100%, $E$13)</f>
        <v>4.1058000000000003</v>
      </c>
      <c r="H139" s="68">
        <f>6.7302* CHOOSE(CONTROL!$C$22, $C$13, 100%, $E$13)</f>
        <v>6.7302</v>
      </c>
      <c r="I139" s="68">
        <f>6.7315 * CHOOSE(CONTROL!$C$22, $C$13, 100%, $E$13)</f>
        <v>6.7314999999999996</v>
      </c>
      <c r="J139" s="68">
        <f>4.1046 * CHOOSE(CONTROL!$C$22, $C$13, 100%, $E$13)</f>
        <v>4.1045999999999996</v>
      </c>
      <c r="K139" s="68">
        <f>4.1058 * CHOOSE(CONTROL!$C$22, $C$13, 100%, $E$13)</f>
        <v>4.1058000000000003</v>
      </c>
      <c r="L139" s="4"/>
      <c r="M139" s="4"/>
      <c r="N139" s="4"/>
    </row>
    <row r="140" spans="1:14" ht="15">
      <c r="A140" s="13">
        <v>45383</v>
      </c>
      <c r="B140" s="67">
        <f>3.4562 * CHOOSE(CONTROL!$C$22, $C$13, 100%, $E$13)</f>
        <v>3.4561999999999999</v>
      </c>
      <c r="C140" s="67">
        <f>3.4562 * CHOOSE(CONTROL!$C$22, $C$13, 100%, $E$13)</f>
        <v>3.4561999999999999</v>
      </c>
      <c r="D140" s="67">
        <f>3.4572 * CHOOSE(CONTROL!$C$22, $C$13, 100%, $E$13)</f>
        <v>3.4571999999999998</v>
      </c>
      <c r="E140" s="68">
        <f>4.1563 * CHOOSE(CONTROL!$C$22, $C$13, 100%, $E$13)</f>
        <v>4.1562999999999999</v>
      </c>
      <c r="F140" s="68">
        <f>4.1563 * CHOOSE(CONTROL!$C$22, $C$13, 100%, $E$13)</f>
        <v>4.1562999999999999</v>
      </c>
      <c r="G140" s="68">
        <f>4.1575 * CHOOSE(CONTROL!$C$22, $C$13, 100%, $E$13)</f>
        <v>4.1574999999999998</v>
      </c>
      <c r="H140" s="68">
        <f>6.7443* CHOOSE(CONTROL!$C$22, $C$13, 100%, $E$13)</f>
        <v>6.7443</v>
      </c>
      <c r="I140" s="68">
        <f>6.7455 * CHOOSE(CONTROL!$C$22, $C$13, 100%, $E$13)</f>
        <v>6.7454999999999998</v>
      </c>
      <c r="J140" s="68">
        <f>4.1563 * CHOOSE(CONTROL!$C$22, $C$13, 100%, $E$13)</f>
        <v>4.1562999999999999</v>
      </c>
      <c r="K140" s="68">
        <f>4.1575 * CHOOSE(CONTROL!$C$22, $C$13, 100%, $E$13)</f>
        <v>4.1574999999999998</v>
      </c>
      <c r="L140" s="4"/>
      <c r="M140" s="4"/>
      <c r="N140" s="4"/>
    </row>
    <row r="141" spans="1:14" ht="15">
      <c r="A141" s="13">
        <v>45413</v>
      </c>
      <c r="B141" s="67">
        <f>3.4562 * CHOOSE(CONTROL!$C$22, $C$13, 100%, $E$13)</f>
        <v>3.4561999999999999</v>
      </c>
      <c r="C141" s="67">
        <f>3.4562 * CHOOSE(CONTROL!$C$22, $C$13, 100%, $E$13)</f>
        <v>3.4561999999999999</v>
      </c>
      <c r="D141" s="67">
        <f>3.4588 * CHOOSE(CONTROL!$C$22, $C$13, 100%, $E$13)</f>
        <v>3.4588000000000001</v>
      </c>
      <c r="E141" s="68">
        <f>4.1772 * CHOOSE(CONTROL!$C$22, $C$13, 100%, $E$13)</f>
        <v>4.1772</v>
      </c>
      <c r="F141" s="68">
        <f>4.1772 * CHOOSE(CONTROL!$C$22, $C$13, 100%, $E$13)</f>
        <v>4.1772</v>
      </c>
      <c r="G141" s="68">
        <f>4.1805 * CHOOSE(CONTROL!$C$22, $C$13, 100%, $E$13)</f>
        <v>4.1805000000000003</v>
      </c>
      <c r="H141" s="68">
        <f>6.7583* CHOOSE(CONTROL!$C$22, $C$13, 100%, $E$13)</f>
        <v>6.7583000000000002</v>
      </c>
      <c r="I141" s="68">
        <f>6.7616 * CHOOSE(CONTROL!$C$22, $C$13, 100%, $E$13)</f>
        <v>6.7615999999999996</v>
      </c>
      <c r="J141" s="68">
        <f>4.1772 * CHOOSE(CONTROL!$C$22, $C$13, 100%, $E$13)</f>
        <v>4.1772</v>
      </c>
      <c r="K141" s="68">
        <f>4.1805 * CHOOSE(CONTROL!$C$22, $C$13, 100%, $E$13)</f>
        <v>4.1805000000000003</v>
      </c>
      <c r="L141" s="4"/>
      <c r="M141" s="4"/>
      <c r="N141" s="4"/>
    </row>
    <row r="142" spans="1:14" ht="15">
      <c r="A142" s="13">
        <v>45444</v>
      </c>
      <c r="B142" s="67">
        <f>3.4623 * CHOOSE(CONTROL!$C$22, $C$13, 100%, $E$13)</f>
        <v>3.4622999999999999</v>
      </c>
      <c r="C142" s="67">
        <f>3.4623 * CHOOSE(CONTROL!$C$22, $C$13, 100%, $E$13)</f>
        <v>3.4622999999999999</v>
      </c>
      <c r="D142" s="67">
        <f>3.4649 * CHOOSE(CONTROL!$C$22, $C$13, 100%, $E$13)</f>
        <v>3.4649000000000001</v>
      </c>
      <c r="E142" s="68">
        <f>4.1605 * CHOOSE(CONTROL!$C$22, $C$13, 100%, $E$13)</f>
        <v>4.1604999999999999</v>
      </c>
      <c r="F142" s="68">
        <f>4.1605 * CHOOSE(CONTROL!$C$22, $C$13, 100%, $E$13)</f>
        <v>4.1604999999999999</v>
      </c>
      <c r="G142" s="68">
        <f>4.1637 * CHOOSE(CONTROL!$C$22, $C$13, 100%, $E$13)</f>
        <v>4.1637000000000004</v>
      </c>
      <c r="H142" s="68">
        <f>6.7724* CHOOSE(CONTROL!$C$22, $C$13, 100%, $E$13)</f>
        <v>6.7724000000000002</v>
      </c>
      <c r="I142" s="68">
        <f>6.7756 * CHOOSE(CONTROL!$C$22, $C$13, 100%, $E$13)</f>
        <v>6.7755999999999998</v>
      </c>
      <c r="J142" s="68">
        <f>4.1605 * CHOOSE(CONTROL!$C$22, $C$13, 100%, $E$13)</f>
        <v>4.1604999999999999</v>
      </c>
      <c r="K142" s="68">
        <f>4.1637 * CHOOSE(CONTROL!$C$22, $C$13, 100%, $E$13)</f>
        <v>4.1637000000000004</v>
      </c>
      <c r="L142" s="4"/>
      <c r="M142" s="4"/>
      <c r="N142" s="4"/>
    </row>
    <row r="143" spans="1:14" ht="15">
      <c r="A143" s="13">
        <v>45474</v>
      </c>
      <c r="B143" s="67">
        <f>3.5185 * CHOOSE(CONTROL!$C$22, $C$13, 100%, $E$13)</f>
        <v>3.5185</v>
      </c>
      <c r="C143" s="67">
        <f>3.5185 * CHOOSE(CONTROL!$C$22, $C$13, 100%, $E$13)</f>
        <v>3.5185</v>
      </c>
      <c r="D143" s="67">
        <f>3.5211 * CHOOSE(CONTROL!$C$22, $C$13, 100%, $E$13)</f>
        <v>3.5211000000000001</v>
      </c>
      <c r="E143" s="68">
        <f>4.2301 * CHOOSE(CONTROL!$C$22, $C$13, 100%, $E$13)</f>
        <v>4.2301000000000002</v>
      </c>
      <c r="F143" s="68">
        <f>4.2301 * CHOOSE(CONTROL!$C$22, $C$13, 100%, $E$13)</f>
        <v>4.2301000000000002</v>
      </c>
      <c r="G143" s="68">
        <f>4.2333 * CHOOSE(CONTROL!$C$22, $C$13, 100%, $E$13)</f>
        <v>4.2332999999999998</v>
      </c>
      <c r="H143" s="68">
        <f>6.7865* CHOOSE(CONTROL!$C$22, $C$13, 100%, $E$13)</f>
        <v>6.7865000000000002</v>
      </c>
      <c r="I143" s="68">
        <f>6.7897 * CHOOSE(CONTROL!$C$22, $C$13, 100%, $E$13)</f>
        <v>6.7896999999999998</v>
      </c>
      <c r="J143" s="68">
        <f>4.2301 * CHOOSE(CONTROL!$C$22, $C$13, 100%, $E$13)</f>
        <v>4.2301000000000002</v>
      </c>
      <c r="K143" s="68">
        <f>4.2333 * CHOOSE(CONTROL!$C$22, $C$13, 100%, $E$13)</f>
        <v>4.2332999999999998</v>
      </c>
      <c r="L143" s="4"/>
      <c r="M143" s="4"/>
      <c r="N143" s="4"/>
    </row>
    <row r="144" spans="1:14" ht="15">
      <c r="A144" s="13">
        <v>45505</v>
      </c>
      <c r="B144" s="67">
        <f>3.5251 * CHOOSE(CONTROL!$C$22, $C$13, 100%, $E$13)</f>
        <v>3.5251000000000001</v>
      </c>
      <c r="C144" s="67">
        <f>3.5251 * CHOOSE(CONTROL!$C$22, $C$13, 100%, $E$13)</f>
        <v>3.5251000000000001</v>
      </c>
      <c r="D144" s="67">
        <f>3.5278 * CHOOSE(CONTROL!$C$22, $C$13, 100%, $E$13)</f>
        <v>3.5278</v>
      </c>
      <c r="E144" s="68">
        <f>4.1718 * CHOOSE(CONTROL!$C$22, $C$13, 100%, $E$13)</f>
        <v>4.1718000000000002</v>
      </c>
      <c r="F144" s="68">
        <f>4.1718 * CHOOSE(CONTROL!$C$22, $C$13, 100%, $E$13)</f>
        <v>4.1718000000000002</v>
      </c>
      <c r="G144" s="68">
        <f>4.1751 * CHOOSE(CONTROL!$C$22, $C$13, 100%, $E$13)</f>
        <v>4.1750999999999996</v>
      </c>
      <c r="H144" s="68">
        <f>6.8006* CHOOSE(CONTROL!$C$22, $C$13, 100%, $E$13)</f>
        <v>6.8006000000000002</v>
      </c>
      <c r="I144" s="68">
        <f>6.8039 * CHOOSE(CONTROL!$C$22, $C$13, 100%, $E$13)</f>
        <v>6.8038999999999996</v>
      </c>
      <c r="J144" s="68">
        <f>4.1718 * CHOOSE(CONTROL!$C$22, $C$13, 100%, $E$13)</f>
        <v>4.1718000000000002</v>
      </c>
      <c r="K144" s="68">
        <f>4.1751 * CHOOSE(CONTROL!$C$22, $C$13, 100%, $E$13)</f>
        <v>4.1750999999999996</v>
      </c>
      <c r="L144" s="4"/>
      <c r="M144" s="4"/>
      <c r="N144" s="4"/>
    </row>
    <row r="145" spans="1:14" ht="15">
      <c r="A145" s="13">
        <v>45536</v>
      </c>
      <c r="B145" s="67">
        <f>3.5221 * CHOOSE(CONTROL!$C$22, $C$13, 100%, $E$13)</f>
        <v>3.5221</v>
      </c>
      <c r="C145" s="67">
        <f>3.5221 * CHOOSE(CONTROL!$C$22, $C$13, 100%, $E$13)</f>
        <v>3.5221</v>
      </c>
      <c r="D145" s="67">
        <f>3.5247 * CHOOSE(CONTROL!$C$22, $C$13, 100%, $E$13)</f>
        <v>3.5247000000000002</v>
      </c>
      <c r="E145" s="68">
        <f>4.1627 * CHOOSE(CONTROL!$C$22, $C$13, 100%, $E$13)</f>
        <v>4.1627000000000001</v>
      </c>
      <c r="F145" s="68">
        <f>4.1627 * CHOOSE(CONTROL!$C$22, $C$13, 100%, $E$13)</f>
        <v>4.1627000000000001</v>
      </c>
      <c r="G145" s="68">
        <f>4.166 * CHOOSE(CONTROL!$C$22, $C$13, 100%, $E$13)</f>
        <v>4.1660000000000004</v>
      </c>
      <c r="H145" s="68">
        <f>6.8148* CHOOSE(CONTROL!$C$22, $C$13, 100%, $E$13)</f>
        <v>6.8148</v>
      </c>
      <c r="I145" s="68">
        <f>6.8181 * CHOOSE(CONTROL!$C$22, $C$13, 100%, $E$13)</f>
        <v>6.8181000000000003</v>
      </c>
      <c r="J145" s="68">
        <f>4.1627 * CHOOSE(CONTROL!$C$22, $C$13, 100%, $E$13)</f>
        <v>4.1627000000000001</v>
      </c>
      <c r="K145" s="68">
        <f>4.166 * CHOOSE(CONTROL!$C$22, $C$13, 100%, $E$13)</f>
        <v>4.1660000000000004</v>
      </c>
      <c r="L145" s="4"/>
      <c r="M145" s="4"/>
      <c r="N145" s="4"/>
    </row>
    <row r="146" spans="1:14" ht="15">
      <c r="A146" s="13">
        <v>45566</v>
      </c>
      <c r="B146" s="67">
        <f>3.5152 * CHOOSE(CONTROL!$C$22, $C$13, 100%, $E$13)</f>
        <v>3.5152000000000001</v>
      </c>
      <c r="C146" s="67">
        <f>3.5152 * CHOOSE(CONTROL!$C$22, $C$13, 100%, $E$13)</f>
        <v>3.5152000000000001</v>
      </c>
      <c r="D146" s="67">
        <f>3.5162 * CHOOSE(CONTROL!$C$22, $C$13, 100%, $E$13)</f>
        <v>3.5162</v>
      </c>
      <c r="E146" s="68">
        <f>4.1773 * CHOOSE(CONTROL!$C$22, $C$13, 100%, $E$13)</f>
        <v>4.1772999999999998</v>
      </c>
      <c r="F146" s="68">
        <f>4.1773 * CHOOSE(CONTROL!$C$22, $C$13, 100%, $E$13)</f>
        <v>4.1772999999999998</v>
      </c>
      <c r="G146" s="68">
        <f>4.1785 * CHOOSE(CONTROL!$C$22, $C$13, 100%, $E$13)</f>
        <v>4.1784999999999997</v>
      </c>
      <c r="H146" s="68">
        <f>6.829* CHOOSE(CONTROL!$C$22, $C$13, 100%, $E$13)</f>
        <v>6.8289999999999997</v>
      </c>
      <c r="I146" s="68">
        <f>6.8303 * CHOOSE(CONTROL!$C$22, $C$13, 100%, $E$13)</f>
        <v>6.8303000000000003</v>
      </c>
      <c r="J146" s="68">
        <f>4.1773 * CHOOSE(CONTROL!$C$22, $C$13, 100%, $E$13)</f>
        <v>4.1772999999999998</v>
      </c>
      <c r="K146" s="68">
        <f>4.1785 * CHOOSE(CONTROL!$C$22, $C$13, 100%, $E$13)</f>
        <v>4.1784999999999997</v>
      </c>
      <c r="L146" s="4"/>
      <c r="M146" s="4"/>
      <c r="N146" s="4"/>
    </row>
    <row r="147" spans="1:14" ht="15">
      <c r="A147" s="13">
        <v>45597</v>
      </c>
      <c r="B147" s="67">
        <f>3.5183 * CHOOSE(CONTROL!$C$22, $C$13, 100%, $E$13)</f>
        <v>3.5183</v>
      </c>
      <c r="C147" s="67">
        <f>3.5183 * CHOOSE(CONTROL!$C$22, $C$13, 100%, $E$13)</f>
        <v>3.5183</v>
      </c>
      <c r="D147" s="67">
        <f>3.5193 * CHOOSE(CONTROL!$C$22, $C$13, 100%, $E$13)</f>
        <v>3.5192999999999999</v>
      </c>
      <c r="E147" s="68">
        <f>4.1934 * CHOOSE(CONTROL!$C$22, $C$13, 100%, $E$13)</f>
        <v>4.1933999999999996</v>
      </c>
      <c r="F147" s="68">
        <f>4.1934 * CHOOSE(CONTROL!$C$22, $C$13, 100%, $E$13)</f>
        <v>4.1933999999999996</v>
      </c>
      <c r="G147" s="68">
        <f>4.1946 * CHOOSE(CONTROL!$C$22, $C$13, 100%, $E$13)</f>
        <v>4.1946000000000003</v>
      </c>
      <c r="H147" s="68">
        <f>6.8432* CHOOSE(CONTROL!$C$22, $C$13, 100%, $E$13)</f>
        <v>6.8432000000000004</v>
      </c>
      <c r="I147" s="68">
        <f>6.8445 * CHOOSE(CONTROL!$C$22, $C$13, 100%, $E$13)</f>
        <v>6.8445</v>
      </c>
      <c r="J147" s="68">
        <f>4.1934 * CHOOSE(CONTROL!$C$22, $C$13, 100%, $E$13)</f>
        <v>4.1933999999999996</v>
      </c>
      <c r="K147" s="68">
        <f>4.1946 * CHOOSE(CONTROL!$C$22, $C$13, 100%, $E$13)</f>
        <v>4.1946000000000003</v>
      </c>
      <c r="L147" s="4"/>
      <c r="M147" s="4"/>
      <c r="N147" s="4"/>
    </row>
    <row r="148" spans="1:14" ht="15">
      <c r="A148" s="13">
        <v>45627</v>
      </c>
      <c r="B148" s="67">
        <f>3.5183 * CHOOSE(CONTROL!$C$22, $C$13, 100%, $E$13)</f>
        <v>3.5183</v>
      </c>
      <c r="C148" s="67">
        <f>3.5183 * CHOOSE(CONTROL!$C$22, $C$13, 100%, $E$13)</f>
        <v>3.5183</v>
      </c>
      <c r="D148" s="67">
        <f>3.5193 * CHOOSE(CONTROL!$C$22, $C$13, 100%, $E$13)</f>
        <v>3.5192999999999999</v>
      </c>
      <c r="E148" s="68">
        <f>4.1584 * CHOOSE(CONTROL!$C$22, $C$13, 100%, $E$13)</f>
        <v>4.1584000000000003</v>
      </c>
      <c r="F148" s="68">
        <f>4.1584 * CHOOSE(CONTROL!$C$22, $C$13, 100%, $E$13)</f>
        <v>4.1584000000000003</v>
      </c>
      <c r="G148" s="68">
        <f>4.1597 * CHOOSE(CONTROL!$C$22, $C$13, 100%, $E$13)</f>
        <v>4.1597</v>
      </c>
      <c r="H148" s="68">
        <f>6.8575* CHOOSE(CONTROL!$C$22, $C$13, 100%, $E$13)</f>
        <v>6.8574999999999999</v>
      </c>
      <c r="I148" s="68">
        <f>6.8588 * CHOOSE(CONTROL!$C$22, $C$13, 100%, $E$13)</f>
        <v>6.8587999999999996</v>
      </c>
      <c r="J148" s="68">
        <f>4.1584 * CHOOSE(CONTROL!$C$22, $C$13, 100%, $E$13)</f>
        <v>4.1584000000000003</v>
      </c>
      <c r="K148" s="68">
        <f>4.1597 * CHOOSE(CONTROL!$C$22, $C$13, 100%, $E$13)</f>
        <v>4.1597</v>
      </c>
      <c r="L148" s="4"/>
      <c r="M148" s="4"/>
      <c r="N148" s="4"/>
    </row>
    <row r="149" spans="1:14" ht="15">
      <c r="A149" s="13">
        <v>45658</v>
      </c>
      <c r="B149" s="67">
        <f>3.5476 * CHOOSE(CONTROL!$C$22, $C$13, 100%, $E$13)</f>
        <v>3.5476000000000001</v>
      </c>
      <c r="C149" s="67">
        <f>3.5476 * CHOOSE(CONTROL!$C$22, $C$13, 100%, $E$13)</f>
        <v>3.5476000000000001</v>
      </c>
      <c r="D149" s="67">
        <f>3.5485 * CHOOSE(CONTROL!$C$22, $C$13, 100%, $E$13)</f>
        <v>3.5485000000000002</v>
      </c>
      <c r="E149" s="68">
        <f>4.2052 * CHOOSE(CONTROL!$C$22, $C$13, 100%, $E$13)</f>
        <v>4.2051999999999996</v>
      </c>
      <c r="F149" s="68">
        <f>4.2052 * CHOOSE(CONTROL!$C$22, $C$13, 100%, $E$13)</f>
        <v>4.2051999999999996</v>
      </c>
      <c r="G149" s="68">
        <f>4.2065 * CHOOSE(CONTROL!$C$22, $C$13, 100%, $E$13)</f>
        <v>4.2065000000000001</v>
      </c>
      <c r="H149" s="68">
        <f>6.8718* CHOOSE(CONTROL!$C$22, $C$13, 100%, $E$13)</f>
        <v>6.8718000000000004</v>
      </c>
      <c r="I149" s="68">
        <f>6.8731 * CHOOSE(CONTROL!$C$22, $C$13, 100%, $E$13)</f>
        <v>6.8731</v>
      </c>
      <c r="J149" s="68">
        <f>4.2052 * CHOOSE(CONTROL!$C$22, $C$13, 100%, $E$13)</f>
        <v>4.2051999999999996</v>
      </c>
      <c r="K149" s="68">
        <f>4.2065 * CHOOSE(CONTROL!$C$22, $C$13, 100%, $E$13)</f>
        <v>4.2065000000000001</v>
      </c>
      <c r="L149" s="4"/>
      <c r="M149" s="4"/>
      <c r="N149" s="4"/>
    </row>
    <row r="150" spans="1:14" ht="15">
      <c r="A150" s="13">
        <v>45689</v>
      </c>
      <c r="B150" s="67">
        <f>3.5445 * CHOOSE(CONTROL!$C$22, $C$13, 100%, $E$13)</f>
        <v>3.5445000000000002</v>
      </c>
      <c r="C150" s="67">
        <f>3.5445 * CHOOSE(CONTROL!$C$22, $C$13, 100%, $E$13)</f>
        <v>3.5445000000000002</v>
      </c>
      <c r="D150" s="67">
        <f>3.5455 * CHOOSE(CONTROL!$C$22, $C$13, 100%, $E$13)</f>
        <v>3.5455000000000001</v>
      </c>
      <c r="E150" s="68">
        <f>4.1366 * CHOOSE(CONTROL!$C$22, $C$13, 100%, $E$13)</f>
        <v>4.1365999999999996</v>
      </c>
      <c r="F150" s="68">
        <f>4.1366 * CHOOSE(CONTROL!$C$22, $C$13, 100%, $E$13)</f>
        <v>4.1365999999999996</v>
      </c>
      <c r="G150" s="68">
        <f>4.1378 * CHOOSE(CONTROL!$C$22, $C$13, 100%, $E$13)</f>
        <v>4.1378000000000004</v>
      </c>
      <c r="H150" s="68">
        <f>6.8861* CHOOSE(CONTROL!$C$22, $C$13, 100%, $E$13)</f>
        <v>6.8860999999999999</v>
      </c>
      <c r="I150" s="68">
        <f>6.8874 * CHOOSE(CONTROL!$C$22, $C$13, 100%, $E$13)</f>
        <v>6.8874000000000004</v>
      </c>
      <c r="J150" s="68">
        <f>4.1366 * CHOOSE(CONTROL!$C$22, $C$13, 100%, $E$13)</f>
        <v>4.1365999999999996</v>
      </c>
      <c r="K150" s="68">
        <f>4.1378 * CHOOSE(CONTROL!$C$22, $C$13, 100%, $E$13)</f>
        <v>4.1378000000000004</v>
      </c>
      <c r="L150" s="4"/>
      <c r="M150" s="4"/>
      <c r="N150" s="4"/>
    </row>
    <row r="151" spans="1:14" ht="15">
      <c r="A151" s="13">
        <v>45717</v>
      </c>
      <c r="B151" s="67">
        <f>3.5415 * CHOOSE(CONTROL!$C$22, $C$13, 100%, $E$13)</f>
        <v>3.5415000000000001</v>
      </c>
      <c r="C151" s="67">
        <f>3.5415 * CHOOSE(CONTROL!$C$22, $C$13, 100%, $E$13)</f>
        <v>3.5415000000000001</v>
      </c>
      <c r="D151" s="67">
        <f>3.5425 * CHOOSE(CONTROL!$C$22, $C$13, 100%, $E$13)</f>
        <v>3.5425</v>
      </c>
      <c r="E151" s="68">
        <f>4.1869 * CHOOSE(CONTROL!$C$22, $C$13, 100%, $E$13)</f>
        <v>4.1868999999999996</v>
      </c>
      <c r="F151" s="68">
        <f>4.1869 * CHOOSE(CONTROL!$C$22, $C$13, 100%, $E$13)</f>
        <v>4.1868999999999996</v>
      </c>
      <c r="G151" s="68">
        <f>4.1882 * CHOOSE(CONTROL!$C$22, $C$13, 100%, $E$13)</f>
        <v>4.1882000000000001</v>
      </c>
      <c r="H151" s="68">
        <f>6.9004* CHOOSE(CONTROL!$C$22, $C$13, 100%, $E$13)</f>
        <v>6.9004000000000003</v>
      </c>
      <c r="I151" s="68">
        <f>6.9017 * CHOOSE(CONTROL!$C$22, $C$13, 100%, $E$13)</f>
        <v>6.9016999999999999</v>
      </c>
      <c r="J151" s="68">
        <f>4.1869 * CHOOSE(CONTROL!$C$22, $C$13, 100%, $E$13)</f>
        <v>4.1868999999999996</v>
      </c>
      <c r="K151" s="68">
        <f>4.1882 * CHOOSE(CONTROL!$C$22, $C$13, 100%, $E$13)</f>
        <v>4.1882000000000001</v>
      </c>
      <c r="L151" s="4"/>
      <c r="M151" s="4"/>
      <c r="N151" s="4"/>
    </row>
    <row r="152" spans="1:14" ht="15">
      <c r="A152" s="13">
        <v>45748</v>
      </c>
      <c r="B152" s="67">
        <f>3.5386 * CHOOSE(CONTROL!$C$22, $C$13, 100%, $E$13)</f>
        <v>3.5386000000000002</v>
      </c>
      <c r="C152" s="67">
        <f>3.5386 * CHOOSE(CONTROL!$C$22, $C$13, 100%, $E$13)</f>
        <v>3.5386000000000002</v>
      </c>
      <c r="D152" s="67">
        <f>3.5396 * CHOOSE(CONTROL!$C$22, $C$13, 100%, $E$13)</f>
        <v>3.5396000000000001</v>
      </c>
      <c r="E152" s="68">
        <f>4.239 * CHOOSE(CONTROL!$C$22, $C$13, 100%, $E$13)</f>
        <v>4.2389999999999999</v>
      </c>
      <c r="F152" s="68">
        <f>4.239 * CHOOSE(CONTROL!$C$22, $C$13, 100%, $E$13)</f>
        <v>4.2389999999999999</v>
      </c>
      <c r="G152" s="68">
        <f>4.2403 * CHOOSE(CONTROL!$C$22, $C$13, 100%, $E$13)</f>
        <v>4.2403000000000004</v>
      </c>
      <c r="H152" s="68">
        <f>6.9148* CHOOSE(CONTROL!$C$22, $C$13, 100%, $E$13)</f>
        <v>6.9147999999999996</v>
      </c>
      <c r="I152" s="68">
        <f>6.9161 * CHOOSE(CONTROL!$C$22, $C$13, 100%, $E$13)</f>
        <v>6.9161000000000001</v>
      </c>
      <c r="J152" s="68">
        <f>4.239 * CHOOSE(CONTROL!$C$22, $C$13, 100%, $E$13)</f>
        <v>4.2389999999999999</v>
      </c>
      <c r="K152" s="68">
        <f>4.2403 * CHOOSE(CONTROL!$C$22, $C$13, 100%, $E$13)</f>
        <v>4.2403000000000004</v>
      </c>
      <c r="L152" s="4"/>
      <c r="M152" s="4"/>
      <c r="N152" s="4"/>
    </row>
    <row r="153" spans="1:14" ht="15">
      <c r="A153" s="13">
        <v>45778</v>
      </c>
      <c r="B153" s="67">
        <f>3.5386 * CHOOSE(CONTROL!$C$22, $C$13, 100%, $E$13)</f>
        <v>3.5386000000000002</v>
      </c>
      <c r="C153" s="67">
        <f>3.5386 * CHOOSE(CONTROL!$C$22, $C$13, 100%, $E$13)</f>
        <v>3.5386000000000002</v>
      </c>
      <c r="D153" s="67">
        <f>3.5413 * CHOOSE(CONTROL!$C$22, $C$13, 100%, $E$13)</f>
        <v>3.5413000000000001</v>
      </c>
      <c r="E153" s="68">
        <f>4.2602 * CHOOSE(CONTROL!$C$22, $C$13, 100%, $E$13)</f>
        <v>4.2602000000000002</v>
      </c>
      <c r="F153" s="68">
        <f>4.2602 * CHOOSE(CONTROL!$C$22, $C$13, 100%, $E$13)</f>
        <v>4.2602000000000002</v>
      </c>
      <c r="G153" s="68">
        <f>4.2634 * CHOOSE(CONTROL!$C$22, $C$13, 100%, $E$13)</f>
        <v>4.2633999999999999</v>
      </c>
      <c r="H153" s="68">
        <f>6.9292* CHOOSE(CONTROL!$C$22, $C$13, 100%, $E$13)</f>
        <v>6.9291999999999998</v>
      </c>
      <c r="I153" s="68">
        <f>6.9325 * CHOOSE(CONTROL!$C$22, $C$13, 100%, $E$13)</f>
        <v>6.9325000000000001</v>
      </c>
      <c r="J153" s="68">
        <f>4.2602 * CHOOSE(CONTROL!$C$22, $C$13, 100%, $E$13)</f>
        <v>4.2602000000000002</v>
      </c>
      <c r="K153" s="68">
        <f>4.2634 * CHOOSE(CONTROL!$C$22, $C$13, 100%, $E$13)</f>
        <v>4.2633999999999999</v>
      </c>
      <c r="L153" s="4"/>
      <c r="M153" s="4"/>
      <c r="N153" s="4"/>
    </row>
    <row r="154" spans="1:14" ht="15">
      <c r="A154" s="13">
        <v>45809</v>
      </c>
      <c r="B154" s="67">
        <f>3.5447 * CHOOSE(CONTROL!$C$22, $C$13, 100%, $E$13)</f>
        <v>3.5447000000000002</v>
      </c>
      <c r="C154" s="67">
        <f>3.5447 * CHOOSE(CONTROL!$C$22, $C$13, 100%, $E$13)</f>
        <v>3.5447000000000002</v>
      </c>
      <c r="D154" s="67">
        <f>3.5473 * CHOOSE(CONTROL!$C$22, $C$13, 100%, $E$13)</f>
        <v>3.5472999999999999</v>
      </c>
      <c r="E154" s="68">
        <f>4.2433 * CHOOSE(CONTROL!$C$22, $C$13, 100%, $E$13)</f>
        <v>4.2432999999999996</v>
      </c>
      <c r="F154" s="68">
        <f>4.2433 * CHOOSE(CONTROL!$C$22, $C$13, 100%, $E$13)</f>
        <v>4.2432999999999996</v>
      </c>
      <c r="G154" s="68">
        <f>4.2465 * CHOOSE(CONTROL!$C$22, $C$13, 100%, $E$13)</f>
        <v>4.2465000000000002</v>
      </c>
      <c r="H154" s="68">
        <f>6.9436* CHOOSE(CONTROL!$C$22, $C$13, 100%, $E$13)</f>
        <v>6.9436</v>
      </c>
      <c r="I154" s="68">
        <f>6.9469 * CHOOSE(CONTROL!$C$22, $C$13, 100%, $E$13)</f>
        <v>6.9469000000000003</v>
      </c>
      <c r="J154" s="68">
        <f>4.2433 * CHOOSE(CONTROL!$C$22, $C$13, 100%, $E$13)</f>
        <v>4.2432999999999996</v>
      </c>
      <c r="K154" s="68">
        <f>4.2465 * CHOOSE(CONTROL!$C$22, $C$13, 100%, $E$13)</f>
        <v>4.2465000000000002</v>
      </c>
      <c r="L154" s="4"/>
      <c r="M154" s="4"/>
      <c r="N154" s="4"/>
    </row>
    <row r="155" spans="1:14" ht="15">
      <c r="A155" s="13">
        <v>45839</v>
      </c>
      <c r="B155" s="67">
        <f>3.5989 * CHOOSE(CONTROL!$C$22, $C$13, 100%, $E$13)</f>
        <v>3.5989</v>
      </c>
      <c r="C155" s="67">
        <f>3.5989 * CHOOSE(CONTROL!$C$22, $C$13, 100%, $E$13)</f>
        <v>3.5989</v>
      </c>
      <c r="D155" s="67">
        <f>3.6015 * CHOOSE(CONTROL!$C$22, $C$13, 100%, $E$13)</f>
        <v>3.6015000000000001</v>
      </c>
      <c r="E155" s="68">
        <f>4.3194 * CHOOSE(CONTROL!$C$22, $C$13, 100%, $E$13)</f>
        <v>4.3193999999999999</v>
      </c>
      <c r="F155" s="68">
        <f>4.3194 * CHOOSE(CONTROL!$C$22, $C$13, 100%, $E$13)</f>
        <v>4.3193999999999999</v>
      </c>
      <c r="G155" s="68">
        <f>4.3227 * CHOOSE(CONTROL!$C$22, $C$13, 100%, $E$13)</f>
        <v>4.3227000000000002</v>
      </c>
      <c r="H155" s="68">
        <f>6.9581* CHOOSE(CONTROL!$C$22, $C$13, 100%, $E$13)</f>
        <v>6.9581</v>
      </c>
      <c r="I155" s="68">
        <f>6.9614 * CHOOSE(CONTROL!$C$22, $C$13, 100%, $E$13)</f>
        <v>6.9614000000000003</v>
      </c>
      <c r="J155" s="68">
        <f>4.3194 * CHOOSE(CONTROL!$C$22, $C$13, 100%, $E$13)</f>
        <v>4.3193999999999999</v>
      </c>
      <c r="K155" s="68">
        <f>4.3227 * CHOOSE(CONTROL!$C$22, $C$13, 100%, $E$13)</f>
        <v>4.3227000000000002</v>
      </c>
      <c r="L155" s="4"/>
      <c r="M155" s="4"/>
      <c r="N155" s="4"/>
    </row>
    <row r="156" spans="1:14" ht="15">
      <c r="A156" s="13">
        <v>45870</v>
      </c>
      <c r="B156" s="67">
        <f>3.6055 * CHOOSE(CONTROL!$C$22, $C$13, 100%, $E$13)</f>
        <v>3.6055000000000001</v>
      </c>
      <c r="C156" s="67">
        <f>3.6055 * CHOOSE(CONTROL!$C$22, $C$13, 100%, $E$13)</f>
        <v>3.6055000000000001</v>
      </c>
      <c r="D156" s="67">
        <f>3.6082 * CHOOSE(CONTROL!$C$22, $C$13, 100%, $E$13)</f>
        <v>3.6082000000000001</v>
      </c>
      <c r="E156" s="68">
        <f>4.2607 * CHOOSE(CONTROL!$C$22, $C$13, 100%, $E$13)</f>
        <v>4.2606999999999999</v>
      </c>
      <c r="F156" s="68">
        <f>4.2607 * CHOOSE(CONTROL!$C$22, $C$13, 100%, $E$13)</f>
        <v>4.2606999999999999</v>
      </c>
      <c r="G156" s="68">
        <f>4.2639 * CHOOSE(CONTROL!$C$22, $C$13, 100%, $E$13)</f>
        <v>4.2638999999999996</v>
      </c>
      <c r="H156" s="68">
        <f>6.9726* CHOOSE(CONTROL!$C$22, $C$13, 100%, $E$13)</f>
        <v>6.9725999999999999</v>
      </c>
      <c r="I156" s="68">
        <f>6.9759 * CHOOSE(CONTROL!$C$22, $C$13, 100%, $E$13)</f>
        <v>6.9759000000000002</v>
      </c>
      <c r="J156" s="68">
        <f>4.2607 * CHOOSE(CONTROL!$C$22, $C$13, 100%, $E$13)</f>
        <v>4.2606999999999999</v>
      </c>
      <c r="K156" s="68">
        <f>4.2639 * CHOOSE(CONTROL!$C$22, $C$13, 100%, $E$13)</f>
        <v>4.2638999999999996</v>
      </c>
      <c r="L156" s="4"/>
      <c r="M156" s="4"/>
      <c r="N156" s="4"/>
    </row>
    <row r="157" spans="1:14" ht="15">
      <c r="A157" s="13">
        <v>45901</v>
      </c>
      <c r="B157" s="67">
        <f>3.6025 * CHOOSE(CONTROL!$C$22, $C$13, 100%, $E$13)</f>
        <v>3.6025</v>
      </c>
      <c r="C157" s="67">
        <f>3.6025 * CHOOSE(CONTROL!$C$22, $C$13, 100%, $E$13)</f>
        <v>3.6025</v>
      </c>
      <c r="D157" s="67">
        <f>3.6051 * CHOOSE(CONTROL!$C$22, $C$13, 100%, $E$13)</f>
        <v>3.6051000000000002</v>
      </c>
      <c r="E157" s="68">
        <f>4.2515 * CHOOSE(CONTROL!$C$22, $C$13, 100%, $E$13)</f>
        <v>4.2515000000000001</v>
      </c>
      <c r="F157" s="68">
        <f>4.2515 * CHOOSE(CONTROL!$C$22, $C$13, 100%, $E$13)</f>
        <v>4.2515000000000001</v>
      </c>
      <c r="G157" s="68">
        <f>4.2548 * CHOOSE(CONTROL!$C$22, $C$13, 100%, $E$13)</f>
        <v>4.2548000000000004</v>
      </c>
      <c r="H157" s="68">
        <f>6.9871* CHOOSE(CONTROL!$C$22, $C$13, 100%, $E$13)</f>
        <v>6.9870999999999999</v>
      </c>
      <c r="I157" s="68">
        <f>6.9904 * CHOOSE(CONTROL!$C$22, $C$13, 100%, $E$13)</f>
        <v>6.9904000000000002</v>
      </c>
      <c r="J157" s="68">
        <f>4.2515 * CHOOSE(CONTROL!$C$22, $C$13, 100%, $E$13)</f>
        <v>4.2515000000000001</v>
      </c>
      <c r="K157" s="68">
        <f>4.2548 * CHOOSE(CONTROL!$C$22, $C$13, 100%, $E$13)</f>
        <v>4.2548000000000004</v>
      </c>
      <c r="L157" s="4"/>
      <c r="M157" s="4"/>
      <c r="N157" s="4"/>
    </row>
    <row r="158" spans="1:14" ht="15">
      <c r="A158" s="13">
        <v>45931</v>
      </c>
      <c r="B158" s="67">
        <f>3.596 * CHOOSE(CONTROL!$C$22, $C$13, 100%, $E$13)</f>
        <v>3.5960000000000001</v>
      </c>
      <c r="C158" s="67">
        <f>3.596 * CHOOSE(CONTROL!$C$22, $C$13, 100%, $E$13)</f>
        <v>3.5960000000000001</v>
      </c>
      <c r="D158" s="67">
        <f>3.5969 * CHOOSE(CONTROL!$C$22, $C$13, 100%, $E$13)</f>
        <v>3.5969000000000002</v>
      </c>
      <c r="E158" s="68">
        <f>4.2663 * CHOOSE(CONTROL!$C$22, $C$13, 100%, $E$13)</f>
        <v>4.2663000000000002</v>
      </c>
      <c r="F158" s="68">
        <f>4.2663 * CHOOSE(CONTROL!$C$22, $C$13, 100%, $E$13)</f>
        <v>4.2663000000000002</v>
      </c>
      <c r="G158" s="68">
        <f>4.2676 * CHOOSE(CONTROL!$C$22, $C$13, 100%, $E$13)</f>
        <v>4.2675999999999998</v>
      </c>
      <c r="H158" s="68">
        <f>7.0017* CHOOSE(CONTROL!$C$22, $C$13, 100%, $E$13)</f>
        <v>7.0016999999999996</v>
      </c>
      <c r="I158" s="68">
        <f>7.003 * CHOOSE(CONTROL!$C$22, $C$13, 100%, $E$13)</f>
        <v>7.0030000000000001</v>
      </c>
      <c r="J158" s="68">
        <f>4.2663 * CHOOSE(CONTROL!$C$22, $C$13, 100%, $E$13)</f>
        <v>4.2663000000000002</v>
      </c>
      <c r="K158" s="68">
        <f>4.2676 * CHOOSE(CONTROL!$C$22, $C$13, 100%, $E$13)</f>
        <v>4.2675999999999998</v>
      </c>
      <c r="L158" s="4"/>
      <c r="M158" s="4"/>
      <c r="N158" s="4"/>
    </row>
    <row r="159" spans="1:14" ht="15">
      <c r="A159" s="13">
        <v>45962</v>
      </c>
      <c r="B159" s="67">
        <f>3.599 * CHOOSE(CONTROL!$C$22, $C$13, 100%, $E$13)</f>
        <v>3.5990000000000002</v>
      </c>
      <c r="C159" s="67">
        <f>3.599 * CHOOSE(CONTROL!$C$22, $C$13, 100%, $E$13)</f>
        <v>3.5990000000000002</v>
      </c>
      <c r="D159" s="67">
        <f>3.6 * CHOOSE(CONTROL!$C$22, $C$13, 100%, $E$13)</f>
        <v>3.6</v>
      </c>
      <c r="E159" s="68">
        <f>4.2825 * CHOOSE(CONTROL!$C$22, $C$13, 100%, $E$13)</f>
        <v>4.2824999999999998</v>
      </c>
      <c r="F159" s="68">
        <f>4.2825 * CHOOSE(CONTROL!$C$22, $C$13, 100%, $E$13)</f>
        <v>4.2824999999999998</v>
      </c>
      <c r="G159" s="68">
        <f>4.2838 * CHOOSE(CONTROL!$C$22, $C$13, 100%, $E$13)</f>
        <v>4.2838000000000003</v>
      </c>
      <c r="H159" s="68">
        <f>7.0163* CHOOSE(CONTROL!$C$22, $C$13, 100%, $E$13)</f>
        <v>7.0163000000000002</v>
      </c>
      <c r="I159" s="68">
        <f>7.0176 * CHOOSE(CONTROL!$C$22, $C$13, 100%, $E$13)</f>
        <v>7.0175999999999998</v>
      </c>
      <c r="J159" s="68">
        <f>4.2825 * CHOOSE(CONTROL!$C$22, $C$13, 100%, $E$13)</f>
        <v>4.2824999999999998</v>
      </c>
      <c r="K159" s="68">
        <f>4.2838 * CHOOSE(CONTROL!$C$22, $C$13, 100%, $E$13)</f>
        <v>4.2838000000000003</v>
      </c>
    </row>
    <row r="160" spans="1:14" ht="15">
      <c r="A160" s="13">
        <v>45992</v>
      </c>
      <c r="B160" s="67">
        <f>3.599 * CHOOSE(CONTROL!$C$22, $C$13, 100%, $E$13)</f>
        <v>3.5990000000000002</v>
      </c>
      <c r="C160" s="67">
        <f>3.599 * CHOOSE(CONTROL!$C$22, $C$13, 100%, $E$13)</f>
        <v>3.5990000000000002</v>
      </c>
      <c r="D160" s="67">
        <f>3.6 * CHOOSE(CONTROL!$C$22, $C$13, 100%, $E$13)</f>
        <v>3.6</v>
      </c>
      <c r="E160" s="68">
        <f>4.2473 * CHOOSE(CONTROL!$C$22, $C$13, 100%, $E$13)</f>
        <v>4.2473000000000001</v>
      </c>
      <c r="F160" s="68">
        <f>4.2473 * CHOOSE(CONTROL!$C$22, $C$13, 100%, $E$13)</f>
        <v>4.2473000000000001</v>
      </c>
      <c r="G160" s="68">
        <f>4.2486 * CHOOSE(CONTROL!$C$22, $C$13, 100%, $E$13)</f>
        <v>4.2485999999999997</v>
      </c>
      <c r="H160" s="68">
        <f>7.0309* CHOOSE(CONTROL!$C$22, $C$13, 100%, $E$13)</f>
        <v>7.0308999999999999</v>
      </c>
      <c r="I160" s="68">
        <f>7.0322 * CHOOSE(CONTROL!$C$22, $C$13, 100%, $E$13)</f>
        <v>7.0321999999999996</v>
      </c>
      <c r="J160" s="68">
        <f>4.2473 * CHOOSE(CONTROL!$C$22, $C$13, 100%, $E$13)</f>
        <v>4.2473000000000001</v>
      </c>
      <c r="K160" s="68">
        <f>4.2486 * CHOOSE(CONTROL!$C$22, $C$13, 100%, $E$13)</f>
        <v>4.2485999999999997</v>
      </c>
    </row>
    <row r="161" spans="1:11" ht="15">
      <c r="A161" s="13">
        <v>46023</v>
      </c>
      <c r="B161" s="67">
        <f>3.6288 * CHOOSE(CONTROL!$C$22, $C$13, 100%, $E$13)</f>
        <v>3.6288</v>
      </c>
      <c r="C161" s="67">
        <f>3.6288 * CHOOSE(CONTROL!$C$22, $C$13, 100%, $E$13)</f>
        <v>3.6288</v>
      </c>
      <c r="D161" s="67">
        <f>3.6298 * CHOOSE(CONTROL!$C$22, $C$13, 100%, $E$13)</f>
        <v>3.6297999999999999</v>
      </c>
      <c r="E161" s="68">
        <f>4.3063 * CHOOSE(CONTROL!$C$22, $C$13, 100%, $E$13)</f>
        <v>4.3063000000000002</v>
      </c>
      <c r="F161" s="68">
        <f>4.3063 * CHOOSE(CONTROL!$C$22, $C$13, 100%, $E$13)</f>
        <v>4.3063000000000002</v>
      </c>
      <c r="G161" s="68">
        <f>4.3076 * CHOOSE(CONTROL!$C$22, $C$13, 100%, $E$13)</f>
        <v>4.3075999999999999</v>
      </c>
      <c r="H161" s="68">
        <f>7.0455* CHOOSE(CONTROL!$C$22, $C$13, 100%, $E$13)</f>
        <v>7.0454999999999997</v>
      </c>
      <c r="I161" s="68">
        <f>7.0468 * CHOOSE(CONTROL!$C$22, $C$13, 100%, $E$13)</f>
        <v>7.0468000000000002</v>
      </c>
      <c r="J161" s="68">
        <f>4.3063 * CHOOSE(CONTROL!$C$22, $C$13, 100%, $E$13)</f>
        <v>4.3063000000000002</v>
      </c>
      <c r="K161" s="68">
        <f>4.3076 * CHOOSE(CONTROL!$C$22, $C$13, 100%, $E$13)</f>
        <v>4.3075999999999999</v>
      </c>
    </row>
    <row r="162" spans="1:11" ht="15">
      <c r="A162" s="13">
        <v>46054</v>
      </c>
      <c r="B162" s="67">
        <f>3.6257 * CHOOSE(CONTROL!$C$22, $C$13, 100%, $E$13)</f>
        <v>3.6257000000000001</v>
      </c>
      <c r="C162" s="67">
        <f>3.6257 * CHOOSE(CONTROL!$C$22, $C$13, 100%, $E$13)</f>
        <v>3.6257000000000001</v>
      </c>
      <c r="D162" s="67">
        <f>3.6267 * CHOOSE(CONTROL!$C$22, $C$13, 100%, $E$13)</f>
        <v>3.6267</v>
      </c>
      <c r="E162" s="68">
        <f>4.236 * CHOOSE(CONTROL!$C$22, $C$13, 100%, $E$13)</f>
        <v>4.2359999999999998</v>
      </c>
      <c r="F162" s="68">
        <f>4.236 * CHOOSE(CONTROL!$C$22, $C$13, 100%, $E$13)</f>
        <v>4.2359999999999998</v>
      </c>
      <c r="G162" s="68">
        <f>4.2372 * CHOOSE(CONTROL!$C$22, $C$13, 100%, $E$13)</f>
        <v>4.2371999999999996</v>
      </c>
      <c r="H162" s="68">
        <f>7.0602* CHOOSE(CONTROL!$C$22, $C$13, 100%, $E$13)</f>
        <v>7.0602</v>
      </c>
      <c r="I162" s="68">
        <f>7.0615 * CHOOSE(CONTROL!$C$22, $C$13, 100%, $E$13)</f>
        <v>7.0614999999999997</v>
      </c>
      <c r="J162" s="68">
        <f>4.236 * CHOOSE(CONTROL!$C$22, $C$13, 100%, $E$13)</f>
        <v>4.2359999999999998</v>
      </c>
      <c r="K162" s="68">
        <f>4.2372 * CHOOSE(CONTROL!$C$22, $C$13, 100%, $E$13)</f>
        <v>4.2371999999999996</v>
      </c>
    </row>
    <row r="163" spans="1:11" ht="15">
      <c r="A163" s="13">
        <v>46082</v>
      </c>
      <c r="B163" s="67">
        <f>3.6227 * CHOOSE(CONTROL!$C$22, $C$13, 100%, $E$13)</f>
        <v>3.6227</v>
      </c>
      <c r="C163" s="67">
        <f>3.6227 * CHOOSE(CONTROL!$C$22, $C$13, 100%, $E$13)</f>
        <v>3.6227</v>
      </c>
      <c r="D163" s="67">
        <f>3.6237 * CHOOSE(CONTROL!$C$22, $C$13, 100%, $E$13)</f>
        <v>3.6236999999999999</v>
      </c>
      <c r="E163" s="68">
        <f>4.2876 * CHOOSE(CONTROL!$C$22, $C$13, 100%, $E$13)</f>
        <v>4.2876000000000003</v>
      </c>
      <c r="F163" s="68">
        <f>4.2876 * CHOOSE(CONTROL!$C$22, $C$13, 100%, $E$13)</f>
        <v>4.2876000000000003</v>
      </c>
      <c r="G163" s="68">
        <f>4.2889 * CHOOSE(CONTROL!$C$22, $C$13, 100%, $E$13)</f>
        <v>4.2888999999999999</v>
      </c>
      <c r="H163" s="68">
        <f>7.0749* CHOOSE(CONTROL!$C$22, $C$13, 100%, $E$13)</f>
        <v>7.0749000000000004</v>
      </c>
      <c r="I163" s="68">
        <f>7.0762 * CHOOSE(CONTROL!$C$22, $C$13, 100%, $E$13)</f>
        <v>7.0762</v>
      </c>
      <c r="J163" s="68">
        <f>4.2876 * CHOOSE(CONTROL!$C$22, $C$13, 100%, $E$13)</f>
        <v>4.2876000000000003</v>
      </c>
      <c r="K163" s="68">
        <f>4.2889 * CHOOSE(CONTROL!$C$22, $C$13, 100%, $E$13)</f>
        <v>4.2888999999999999</v>
      </c>
    </row>
    <row r="164" spans="1:11" ht="15">
      <c r="A164" s="13">
        <v>46113</v>
      </c>
      <c r="B164" s="67">
        <f>3.62 * CHOOSE(CONTROL!$C$22, $C$13, 100%, $E$13)</f>
        <v>3.62</v>
      </c>
      <c r="C164" s="67">
        <f>3.62 * CHOOSE(CONTROL!$C$22, $C$13, 100%, $E$13)</f>
        <v>3.62</v>
      </c>
      <c r="D164" s="67">
        <f>3.6209 * CHOOSE(CONTROL!$C$22, $C$13, 100%, $E$13)</f>
        <v>3.6208999999999998</v>
      </c>
      <c r="E164" s="68">
        <f>4.3412 * CHOOSE(CONTROL!$C$22, $C$13, 100%, $E$13)</f>
        <v>4.3411999999999997</v>
      </c>
      <c r="F164" s="68">
        <f>4.3412 * CHOOSE(CONTROL!$C$22, $C$13, 100%, $E$13)</f>
        <v>4.3411999999999997</v>
      </c>
      <c r="G164" s="68">
        <f>4.3425 * CHOOSE(CONTROL!$C$22, $C$13, 100%, $E$13)</f>
        <v>4.3425000000000002</v>
      </c>
      <c r="H164" s="68">
        <f>7.0897* CHOOSE(CONTROL!$C$22, $C$13, 100%, $E$13)</f>
        <v>7.0896999999999997</v>
      </c>
      <c r="I164" s="68">
        <f>7.091 * CHOOSE(CONTROL!$C$22, $C$13, 100%, $E$13)</f>
        <v>7.0910000000000002</v>
      </c>
      <c r="J164" s="68">
        <f>4.3412 * CHOOSE(CONTROL!$C$22, $C$13, 100%, $E$13)</f>
        <v>4.3411999999999997</v>
      </c>
      <c r="K164" s="68">
        <f>4.3425 * CHOOSE(CONTROL!$C$22, $C$13, 100%, $E$13)</f>
        <v>4.3425000000000002</v>
      </c>
    </row>
    <row r="165" spans="1:11" ht="15">
      <c r="A165" s="13">
        <v>46143</v>
      </c>
      <c r="B165" s="67">
        <f>3.62 * CHOOSE(CONTROL!$C$22, $C$13, 100%, $E$13)</f>
        <v>3.62</v>
      </c>
      <c r="C165" s="67">
        <f>3.62 * CHOOSE(CONTROL!$C$22, $C$13, 100%, $E$13)</f>
        <v>3.62</v>
      </c>
      <c r="D165" s="67">
        <f>3.6226 * CHOOSE(CONTROL!$C$22, $C$13, 100%, $E$13)</f>
        <v>3.6225999999999998</v>
      </c>
      <c r="E165" s="68">
        <f>4.3628 * CHOOSE(CONTROL!$C$22, $C$13, 100%, $E$13)</f>
        <v>4.3628</v>
      </c>
      <c r="F165" s="68">
        <f>4.3628 * CHOOSE(CONTROL!$C$22, $C$13, 100%, $E$13)</f>
        <v>4.3628</v>
      </c>
      <c r="G165" s="68">
        <f>4.3661 * CHOOSE(CONTROL!$C$22, $C$13, 100%, $E$13)</f>
        <v>4.3661000000000003</v>
      </c>
      <c r="H165" s="68">
        <f>7.1044* CHOOSE(CONTROL!$C$22, $C$13, 100%, $E$13)</f>
        <v>7.1044</v>
      </c>
      <c r="I165" s="68">
        <f>7.1077 * CHOOSE(CONTROL!$C$22, $C$13, 100%, $E$13)</f>
        <v>7.1077000000000004</v>
      </c>
      <c r="J165" s="68">
        <f>4.3628 * CHOOSE(CONTROL!$C$22, $C$13, 100%, $E$13)</f>
        <v>4.3628</v>
      </c>
      <c r="K165" s="68">
        <f>4.3661 * CHOOSE(CONTROL!$C$22, $C$13, 100%, $E$13)</f>
        <v>4.3661000000000003</v>
      </c>
    </row>
    <row r="166" spans="1:11" ht="15">
      <c r="A166" s="13">
        <v>46174</v>
      </c>
      <c r="B166" s="67">
        <f>3.626 * CHOOSE(CONTROL!$C$22, $C$13, 100%, $E$13)</f>
        <v>3.6259999999999999</v>
      </c>
      <c r="C166" s="67">
        <f>3.626 * CHOOSE(CONTROL!$C$22, $C$13, 100%, $E$13)</f>
        <v>3.6259999999999999</v>
      </c>
      <c r="D166" s="67">
        <f>3.6287 * CHOOSE(CONTROL!$C$22, $C$13, 100%, $E$13)</f>
        <v>3.6286999999999998</v>
      </c>
      <c r="E166" s="68">
        <f>4.3454 * CHOOSE(CONTROL!$C$22, $C$13, 100%, $E$13)</f>
        <v>4.3453999999999997</v>
      </c>
      <c r="F166" s="68">
        <f>4.3454 * CHOOSE(CONTROL!$C$22, $C$13, 100%, $E$13)</f>
        <v>4.3453999999999997</v>
      </c>
      <c r="G166" s="68">
        <f>4.3487 * CHOOSE(CONTROL!$C$22, $C$13, 100%, $E$13)</f>
        <v>4.3487</v>
      </c>
      <c r="H166" s="68">
        <f>7.1192* CHOOSE(CONTROL!$C$22, $C$13, 100%, $E$13)</f>
        <v>7.1192000000000002</v>
      </c>
      <c r="I166" s="68">
        <f>7.1225 * CHOOSE(CONTROL!$C$22, $C$13, 100%, $E$13)</f>
        <v>7.1224999999999996</v>
      </c>
      <c r="J166" s="68">
        <f>4.3454 * CHOOSE(CONTROL!$C$22, $C$13, 100%, $E$13)</f>
        <v>4.3453999999999997</v>
      </c>
      <c r="K166" s="68">
        <f>4.3487 * CHOOSE(CONTROL!$C$22, $C$13, 100%, $E$13)</f>
        <v>4.3487</v>
      </c>
    </row>
    <row r="167" spans="1:11" ht="15">
      <c r="A167" s="13">
        <v>46204</v>
      </c>
      <c r="B167" s="67">
        <f>3.6807 * CHOOSE(CONTROL!$C$22, $C$13, 100%, $E$13)</f>
        <v>3.6806999999999999</v>
      </c>
      <c r="C167" s="67">
        <f>3.6807 * CHOOSE(CONTROL!$C$22, $C$13, 100%, $E$13)</f>
        <v>3.6806999999999999</v>
      </c>
      <c r="D167" s="67">
        <f>3.6833 * CHOOSE(CONTROL!$C$22, $C$13, 100%, $E$13)</f>
        <v>3.6833</v>
      </c>
      <c r="E167" s="68">
        <f>4.4213 * CHOOSE(CONTROL!$C$22, $C$13, 100%, $E$13)</f>
        <v>4.4212999999999996</v>
      </c>
      <c r="F167" s="68">
        <f>4.4213 * CHOOSE(CONTROL!$C$22, $C$13, 100%, $E$13)</f>
        <v>4.4212999999999996</v>
      </c>
      <c r="G167" s="68">
        <f>4.4245 * CHOOSE(CONTROL!$C$22, $C$13, 100%, $E$13)</f>
        <v>4.4245000000000001</v>
      </c>
      <c r="H167" s="68">
        <f>7.1341* CHOOSE(CONTROL!$C$22, $C$13, 100%, $E$13)</f>
        <v>7.1341000000000001</v>
      </c>
      <c r="I167" s="68">
        <f>7.1373 * CHOOSE(CONTROL!$C$22, $C$13, 100%, $E$13)</f>
        <v>7.1372999999999998</v>
      </c>
      <c r="J167" s="68">
        <f>4.4213 * CHOOSE(CONTROL!$C$22, $C$13, 100%, $E$13)</f>
        <v>4.4212999999999996</v>
      </c>
      <c r="K167" s="68">
        <f>4.4245 * CHOOSE(CONTROL!$C$22, $C$13, 100%, $E$13)</f>
        <v>4.4245000000000001</v>
      </c>
    </row>
    <row r="168" spans="1:11" ht="15">
      <c r="A168" s="13">
        <v>46235</v>
      </c>
      <c r="B168" s="67">
        <f>3.6874 * CHOOSE(CONTROL!$C$22, $C$13, 100%, $E$13)</f>
        <v>3.6873999999999998</v>
      </c>
      <c r="C168" s="67">
        <f>3.6874 * CHOOSE(CONTROL!$C$22, $C$13, 100%, $E$13)</f>
        <v>3.6873999999999998</v>
      </c>
      <c r="D168" s="67">
        <f>3.69 * CHOOSE(CONTROL!$C$22, $C$13, 100%, $E$13)</f>
        <v>3.69</v>
      </c>
      <c r="E168" s="68">
        <f>4.3609 * CHOOSE(CONTROL!$C$22, $C$13, 100%, $E$13)</f>
        <v>4.3609</v>
      </c>
      <c r="F168" s="68">
        <f>4.3609 * CHOOSE(CONTROL!$C$22, $C$13, 100%, $E$13)</f>
        <v>4.3609</v>
      </c>
      <c r="G168" s="68">
        <f>4.3642 * CHOOSE(CONTROL!$C$22, $C$13, 100%, $E$13)</f>
        <v>4.3642000000000003</v>
      </c>
      <c r="H168" s="68">
        <f>7.1489* CHOOSE(CONTROL!$C$22, $C$13, 100%, $E$13)</f>
        <v>7.1489000000000003</v>
      </c>
      <c r="I168" s="68">
        <f>7.1522 * CHOOSE(CONTROL!$C$22, $C$13, 100%, $E$13)</f>
        <v>7.1521999999999997</v>
      </c>
      <c r="J168" s="68">
        <f>4.3609 * CHOOSE(CONTROL!$C$22, $C$13, 100%, $E$13)</f>
        <v>4.3609</v>
      </c>
      <c r="K168" s="68">
        <f>4.3642 * CHOOSE(CONTROL!$C$22, $C$13, 100%, $E$13)</f>
        <v>4.3642000000000003</v>
      </c>
    </row>
    <row r="169" spans="1:11" ht="15">
      <c r="A169" s="13">
        <v>46266</v>
      </c>
      <c r="B169" s="67">
        <f>3.6843 * CHOOSE(CONTROL!$C$22, $C$13, 100%, $E$13)</f>
        <v>3.6842999999999999</v>
      </c>
      <c r="C169" s="67">
        <f>3.6843 * CHOOSE(CONTROL!$C$22, $C$13, 100%, $E$13)</f>
        <v>3.6842999999999999</v>
      </c>
      <c r="D169" s="67">
        <f>3.6869 * CHOOSE(CONTROL!$C$22, $C$13, 100%, $E$13)</f>
        <v>3.6869000000000001</v>
      </c>
      <c r="E169" s="68">
        <f>4.3516 * CHOOSE(CONTROL!$C$22, $C$13, 100%, $E$13)</f>
        <v>4.3516000000000004</v>
      </c>
      <c r="F169" s="68">
        <f>4.3516 * CHOOSE(CONTROL!$C$22, $C$13, 100%, $E$13)</f>
        <v>4.3516000000000004</v>
      </c>
      <c r="G169" s="68">
        <f>4.3549 * CHOOSE(CONTROL!$C$22, $C$13, 100%, $E$13)</f>
        <v>4.3548999999999998</v>
      </c>
      <c r="H169" s="68">
        <f>7.1638* CHOOSE(CONTROL!$C$22, $C$13, 100%, $E$13)</f>
        <v>7.1638000000000002</v>
      </c>
      <c r="I169" s="68">
        <f>7.1671 * CHOOSE(CONTROL!$C$22, $C$13, 100%, $E$13)</f>
        <v>7.1670999999999996</v>
      </c>
      <c r="J169" s="68">
        <f>4.3516 * CHOOSE(CONTROL!$C$22, $C$13, 100%, $E$13)</f>
        <v>4.3516000000000004</v>
      </c>
      <c r="K169" s="68">
        <f>4.3549 * CHOOSE(CONTROL!$C$22, $C$13, 100%, $E$13)</f>
        <v>4.3548999999999998</v>
      </c>
    </row>
    <row r="170" spans="1:11" ht="15">
      <c r="A170" s="13">
        <v>46296</v>
      </c>
      <c r="B170" s="67">
        <f>3.6781 * CHOOSE(CONTROL!$C$22, $C$13, 100%, $E$13)</f>
        <v>3.6781000000000001</v>
      </c>
      <c r="C170" s="67">
        <f>3.6781 * CHOOSE(CONTROL!$C$22, $C$13, 100%, $E$13)</f>
        <v>3.6781000000000001</v>
      </c>
      <c r="D170" s="67">
        <f>3.6791 * CHOOSE(CONTROL!$C$22, $C$13, 100%, $E$13)</f>
        <v>3.6791</v>
      </c>
      <c r="E170" s="68">
        <f>4.3671 * CHOOSE(CONTROL!$C$22, $C$13, 100%, $E$13)</f>
        <v>4.3670999999999998</v>
      </c>
      <c r="F170" s="68">
        <f>4.3671 * CHOOSE(CONTROL!$C$22, $C$13, 100%, $E$13)</f>
        <v>4.3670999999999998</v>
      </c>
      <c r="G170" s="68">
        <f>4.3684 * CHOOSE(CONTROL!$C$22, $C$13, 100%, $E$13)</f>
        <v>4.3684000000000003</v>
      </c>
      <c r="H170" s="68">
        <f>7.1788* CHOOSE(CONTROL!$C$22, $C$13, 100%, $E$13)</f>
        <v>7.1787999999999998</v>
      </c>
      <c r="I170" s="68">
        <f>7.18 * CHOOSE(CONTROL!$C$22, $C$13, 100%, $E$13)</f>
        <v>7.18</v>
      </c>
      <c r="J170" s="68">
        <f>4.3671 * CHOOSE(CONTROL!$C$22, $C$13, 100%, $E$13)</f>
        <v>4.3670999999999998</v>
      </c>
      <c r="K170" s="68">
        <f>4.3684 * CHOOSE(CONTROL!$C$22, $C$13, 100%, $E$13)</f>
        <v>4.3684000000000003</v>
      </c>
    </row>
    <row r="171" spans="1:11" ht="15">
      <c r="A171" s="13">
        <v>46327</v>
      </c>
      <c r="B171" s="67">
        <f>3.6811 * CHOOSE(CONTROL!$C$22, $C$13, 100%, $E$13)</f>
        <v>3.6810999999999998</v>
      </c>
      <c r="C171" s="67">
        <f>3.6811 * CHOOSE(CONTROL!$C$22, $C$13, 100%, $E$13)</f>
        <v>3.6810999999999998</v>
      </c>
      <c r="D171" s="67">
        <f>3.6821 * CHOOSE(CONTROL!$C$22, $C$13, 100%, $E$13)</f>
        <v>3.6821000000000002</v>
      </c>
      <c r="E171" s="68">
        <f>4.3836 * CHOOSE(CONTROL!$C$22, $C$13, 100%, $E$13)</f>
        <v>4.3836000000000004</v>
      </c>
      <c r="F171" s="68">
        <f>4.3836 * CHOOSE(CONTROL!$C$22, $C$13, 100%, $E$13)</f>
        <v>4.3836000000000004</v>
      </c>
      <c r="G171" s="68">
        <f>4.3849 * CHOOSE(CONTROL!$C$22, $C$13, 100%, $E$13)</f>
        <v>4.3849</v>
      </c>
      <c r="H171" s="68">
        <f>7.1937* CHOOSE(CONTROL!$C$22, $C$13, 100%, $E$13)</f>
        <v>7.1936999999999998</v>
      </c>
      <c r="I171" s="68">
        <f>7.195 * CHOOSE(CONTROL!$C$22, $C$13, 100%, $E$13)</f>
        <v>7.1950000000000003</v>
      </c>
      <c r="J171" s="68">
        <f>4.3836 * CHOOSE(CONTROL!$C$22, $C$13, 100%, $E$13)</f>
        <v>4.3836000000000004</v>
      </c>
      <c r="K171" s="68">
        <f>4.3849 * CHOOSE(CONTROL!$C$22, $C$13, 100%, $E$13)</f>
        <v>4.3849</v>
      </c>
    </row>
    <row r="172" spans="1:11" ht="15">
      <c r="A172" s="13">
        <v>46357</v>
      </c>
      <c r="B172" s="67">
        <f>3.6811 * CHOOSE(CONTROL!$C$22, $C$13, 100%, $E$13)</f>
        <v>3.6810999999999998</v>
      </c>
      <c r="C172" s="67">
        <f>3.6811 * CHOOSE(CONTROL!$C$22, $C$13, 100%, $E$13)</f>
        <v>3.6810999999999998</v>
      </c>
      <c r="D172" s="67">
        <f>3.6821 * CHOOSE(CONTROL!$C$22, $C$13, 100%, $E$13)</f>
        <v>3.6821000000000002</v>
      </c>
      <c r="E172" s="68">
        <f>4.3475 * CHOOSE(CONTROL!$C$22, $C$13, 100%, $E$13)</f>
        <v>4.3475000000000001</v>
      </c>
      <c r="F172" s="68">
        <f>4.3475 * CHOOSE(CONTROL!$C$22, $C$13, 100%, $E$13)</f>
        <v>4.3475000000000001</v>
      </c>
      <c r="G172" s="68">
        <f>4.3488 * CHOOSE(CONTROL!$C$22, $C$13, 100%, $E$13)</f>
        <v>4.3487999999999998</v>
      </c>
      <c r="H172" s="68">
        <f>7.2087* CHOOSE(CONTROL!$C$22, $C$13, 100%, $E$13)</f>
        <v>7.2087000000000003</v>
      </c>
      <c r="I172" s="68">
        <f>7.21 * CHOOSE(CONTROL!$C$22, $C$13, 100%, $E$13)</f>
        <v>7.21</v>
      </c>
      <c r="J172" s="68">
        <f>4.3475 * CHOOSE(CONTROL!$C$22, $C$13, 100%, $E$13)</f>
        <v>4.3475000000000001</v>
      </c>
      <c r="K172" s="68">
        <f>4.3488 * CHOOSE(CONTROL!$C$22, $C$13, 100%, $E$13)</f>
        <v>4.3487999999999998</v>
      </c>
    </row>
    <row r="173" spans="1:11" ht="15">
      <c r="A173" s="13">
        <v>46388</v>
      </c>
      <c r="B173" s="67">
        <f>3.7098 * CHOOSE(CONTROL!$C$22, $C$13, 100%, $E$13)</f>
        <v>3.7098</v>
      </c>
      <c r="C173" s="67">
        <f>3.7098 * CHOOSE(CONTROL!$C$22, $C$13, 100%, $E$13)</f>
        <v>3.7098</v>
      </c>
      <c r="D173" s="67">
        <f>3.7108 * CHOOSE(CONTROL!$C$22, $C$13, 100%, $E$13)</f>
        <v>3.7107999999999999</v>
      </c>
      <c r="E173" s="68">
        <f>4.4079 * CHOOSE(CONTROL!$C$22, $C$13, 100%, $E$13)</f>
        <v>4.4078999999999997</v>
      </c>
      <c r="F173" s="68">
        <f>4.4079 * CHOOSE(CONTROL!$C$22, $C$13, 100%, $E$13)</f>
        <v>4.4078999999999997</v>
      </c>
      <c r="G173" s="68">
        <f>4.4092 * CHOOSE(CONTROL!$C$22, $C$13, 100%, $E$13)</f>
        <v>4.4092000000000002</v>
      </c>
      <c r="H173" s="68">
        <f>7.2237* CHOOSE(CONTROL!$C$22, $C$13, 100%, $E$13)</f>
        <v>7.2237</v>
      </c>
      <c r="I173" s="68">
        <f>7.225 * CHOOSE(CONTROL!$C$22, $C$13, 100%, $E$13)</f>
        <v>7.2249999999999996</v>
      </c>
      <c r="J173" s="68">
        <f>4.4079 * CHOOSE(CONTROL!$C$22, $C$13, 100%, $E$13)</f>
        <v>4.4078999999999997</v>
      </c>
      <c r="K173" s="68">
        <f>4.4092 * CHOOSE(CONTROL!$C$22, $C$13, 100%, $E$13)</f>
        <v>4.4092000000000002</v>
      </c>
    </row>
    <row r="174" spans="1:11" ht="15">
      <c r="A174" s="13">
        <v>46419</v>
      </c>
      <c r="B174" s="67">
        <f>3.7067 * CHOOSE(CONTROL!$C$22, $C$13, 100%, $E$13)</f>
        <v>3.7067000000000001</v>
      </c>
      <c r="C174" s="67">
        <f>3.7067 * CHOOSE(CONTROL!$C$22, $C$13, 100%, $E$13)</f>
        <v>3.7067000000000001</v>
      </c>
      <c r="D174" s="67">
        <f>3.7077 * CHOOSE(CONTROL!$C$22, $C$13, 100%, $E$13)</f>
        <v>3.7077</v>
      </c>
      <c r="E174" s="68">
        <f>4.3359 * CHOOSE(CONTROL!$C$22, $C$13, 100%, $E$13)</f>
        <v>4.3358999999999996</v>
      </c>
      <c r="F174" s="68">
        <f>4.3359 * CHOOSE(CONTROL!$C$22, $C$13, 100%, $E$13)</f>
        <v>4.3358999999999996</v>
      </c>
      <c r="G174" s="68">
        <f>4.3371 * CHOOSE(CONTROL!$C$22, $C$13, 100%, $E$13)</f>
        <v>4.3371000000000004</v>
      </c>
      <c r="H174" s="68">
        <f>7.2388* CHOOSE(CONTROL!$C$22, $C$13, 100%, $E$13)</f>
        <v>7.2388000000000003</v>
      </c>
      <c r="I174" s="68">
        <f>7.24 * CHOOSE(CONTROL!$C$22, $C$13, 100%, $E$13)</f>
        <v>7.24</v>
      </c>
      <c r="J174" s="68">
        <f>4.3359 * CHOOSE(CONTROL!$C$22, $C$13, 100%, $E$13)</f>
        <v>4.3358999999999996</v>
      </c>
      <c r="K174" s="68">
        <f>4.3371 * CHOOSE(CONTROL!$C$22, $C$13, 100%, $E$13)</f>
        <v>4.3371000000000004</v>
      </c>
    </row>
    <row r="175" spans="1:11" ht="15">
      <c r="A175" s="13">
        <v>46447</v>
      </c>
      <c r="B175" s="67">
        <f>3.7037 * CHOOSE(CONTROL!$C$22, $C$13, 100%, $E$13)</f>
        <v>3.7037</v>
      </c>
      <c r="C175" s="67">
        <f>3.7037 * CHOOSE(CONTROL!$C$22, $C$13, 100%, $E$13)</f>
        <v>3.7037</v>
      </c>
      <c r="D175" s="67">
        <f>3.7047 * CHOOSE(CONTROL!$C$22, $C$13, 100%, $E$13)</f>
        <v>3.7046999999999999</v>
      </c>
      <c r="E175" s="68">
        <f>4.3889 * CHOOSE(CONTROL!$C$22, $C$13, 100%, $E$13)</f>
        <v>4.3888999999999996</v>
      </c>
      <c r="F175" s="68">
        <f>4.3889 * CHOOSE(CONTROL!$C$22, $C$13, 100%, $E$13)</f>
        <v>4.3888999999999996</v>
      </c>
      <c r="G175" s="68">
        <f>4.3902 * CHOOSE(CONTROL!$C$22, $C$13, 100%, $E$13)</f>
        <v>4.3902000000000001</v>
      </c>
      <c r="H175" s="68">
        <f>7.2538* CHOOSE(CONTROL!$C$22, $C$13, 100%, $E$13)</f>
        <v>7.2538</v>
      </c>
      <c r="I175" s="68">
        <f>7.2551 * CHOOSE(CONTROL!$C$22, $C$13, 100%, $E$13)</f>
        <v>7.2550999999999997</v>
      </c>
      <c r="J175" s="68">
        <f>4.3889 * CHOOSE(CONTROL!$C$22, $C$13, 100%, $E$13)</f>
        <v>4.3888999999999996</v>
      </c>
      <c r="K175" s="68">
        <f>4.3902 * CHOOSE(CONTROL!$C$22, $C$13, 100%, $E$13)</f>
        <v>4.3902000000000001</v>
      </c>
    </row>
    <row r="176" spans="1:11" ht="15">
      <c r="A176" s="13">
        <v>46478</v>
      </c>
      <c r="B176" s="67">
        <f>3.701 * CHOOSE(CONTROL!$C$22, $C$13, 100%, $E$13)</f>
        <v>3.7010000000000001</v>
      </c>
      <c r="C176" s="67">
        <f>3.701 * CHOOSE(CONTROL!$C$22, $C$13, 100%, $E$13)</f>
        <v>3.7010000000000001</v>
      </c>
      <c r="D176" s="67">
        <f>3.702 * CHOOSE(CONTROL!$C$22, $C$13, 100%, $E$13)</f>
        <v>3.702</v>
      </c>
      <c r="E176" s="68">
        <f>4.4439 * CHOOSE(CONTROL!$C$22, $C$13, 100%, $E$13)</f>
        <v>4.4439000000000002</v>
      </c>
      <c r="F176" s="68">
        <f>4.4439 * CHOOSE(CONTROL!$C$22, $C$13, 100%, $E$13)</f>
        <v>4.4439000000000002</v>
      </c>
      <c r="G176" s="68">
        <f>4.4452 * CHOOSE(CONTROL!$C$22, $C$13, 100%, $E$13)</f>
        <v>4.4451999999999998</v>
      </c>
      <c r="H176" s="68">
        <f>7.269* CHOOSE(CONTROL!$C$22, $C$13, 100%, $E$13)</f>
        <v>7.2690000000000001</v>
      </c>
      <c r="I176" s="68">
        <f>7.2702 * CHOOSE(CONTROL!$C$22, $C$13, 100%, $E$13)</f>
        <v>7.2702</v>
      </c>
      <c r="J176" s="68">
        <f>4.4439 * CHOOSE(CONTROL!$C$22, $C$13, 100%, $E$13)</f>
        <v>4.4439000000000002</v>
      </c>
      <c r="K176" s="68">
        <f>4.4452 * CHOOSE(CONTROL!$C$22, $C$13, 100%, $E$13)</f>
        <v>4.4451999999999998</v>
      </c>
    </row>
    <row r="177" spans="1:11" ht="15">
      <c r="A177" s="13">
        <v>46508</v>
      </c>
      <c r="B177" s="67">
        <f>3.701 * CHOOSE(CONTROL!$C$22, $C$13, 100%, $E$13)</f>
        <v>3.7010000000000001</v>
      </c>
      <c r="C177" s="67">
        <f>3.701 * CHOOSE(CONTROL!$C$22, $C$13, 100%, $E$13)</f>
        <v>3.7010000000000001</v>
      </c>
      <c r="D177" s="67">
        <f>3.7037 * CHOOSE(CONTROL!$C$22, $C$13, 100%, $E$13)</f>
        <v>3.7037</v>
      </c>
      <c r="E177" s="68">
        <f>4.4661 * CHOOSE(CONTROL!$C$22, $C$13, 100%, $E$13)</f>
        <v>4.4661</v>
      </c>
      <c r="F177" s="68">
        <f>4.4661 * CHOOSE(CONTROL!$C$22, $C$13, 100%, $E$13)</f>
        <v>4.4661</v>
      </c>
      <c r="G177" s="68">
        <f>4.4694 * CHOOSE(CONTROL!$C$22, $C$13, 100%, $E$13)</f>
        <v>4.4694000000000003</v>
      </c>
      <c r="H177" s="68">
        <f>7.2841* CHOOSE(CONTROL!$C$22, $C$13, 100%, $E$13)</f>
        <v>7.2840999999999996</v>
      </c>
      <c r="I177" s="68">
        <f>7.2874 * CHOOSE(CONTROL!$C$22, $C$13, 100%, $E$13)</f>
        <v>7.2873999999999999</v>
      </c>
      <c r="J177" s="68">
        <f>4.4661 * CHOOSE(CONTROL!$C$22, $C$13, 100%, $E$13)</f>
        <v>4.4661</v>
      </c>
      <c r="K177" s="68">
        <f>4.4694 * CHOOSE(CONTROL!$C$22, $C$13, 100%, $E$13)</f>
        <v>4.4694000000000003</v>
      </c>
    </row>
    <row r="178" spans="1:11" ht="15">
      <c r="A178" s="13">
        <v>46539</v>
      </c>
      <c r="B178" s="67">
        <f>3.7071 * CHOOSE(CONTROL!$C$22, $C$13, 100%, $E$13)</f>
        <v>3.7071000000000001</v>
      </c>
      <c r="C178" s="67">
        <f>3.7071 * CHOOSE(CONTROL!$C$22, $C$13, 100%, $E$13)</f>
        <v>3.7071000000000001</v>
      </c>
      <c r="D178" s="67">
        <f>3.7097 * CHOOSE(CONTROL!$C$22, $C$13, 100%, $E$13)</f>
        <v>3.7097000000000002</v>
      </c>
      <c r="E178" s="68">
        <f>4.4481 * CHOOSE(CONTROL!$C$22, $C$13, 100%, $E$13)</f>
        <v>4.4481000000000002</v>
      </c>
      <c r="F178" s="68">
        <f>4.4481 * CHOOSE(CONTROL!$C$22, $C$13, 100%, $E$13)</f>
        <v>4.4481000000000002</v>
      </c>
      <c r="G178" s="68">
        <f>4.4514 * CHOOSE(CONTROL!$C$22, $C$13, 100%, $E$13)</f>
        <v>4.4513999999999996</v>
      </c>
      <c r="H178" s="68">
        <f>7.2993* CHOOSE(CONTROL!$C$22, $C$13, 100%, $E$13)</f>
        <v>7.2992999999999997</v>
      </c>
      <c r="I178" s="68">
        <f>7.3025 * CHOOSE(CONTROL!$C$22, $C$13, 100%, $E$13)</f>
        <v>7.3025000000000002</v>
      </c>
      <c r="J178" s="68">
        <f>4.4481 * CHOOSE(CONTROL!$C$22, $C$13, 100%, $E$13)</f>
        <v>4.4481000000000002</v>
      </c>
      <c r="K178" s="68">
        <f>4.4514 * CHOOSE(CONTROL!$C$22, $C$13, 100%, $E$13)</f>
        <v>4.4513999999999996</v>
      </c>
    </row>
    <row r="179" spans="1:11" ht="15">
      <c r="A179" s="13">
        <v>46569</v>
      </c>
      <c r="B179" s="67">
        <f>3.7587 * CHOOSE(CONTROL!$C$22, $C$13, 100%, $E$13)</f>
        <v>3.7587000000000002</v>
      </c>
      <c r="C179" s="67">
        <f>3.7587 * CHOOSE(CONTROL!$C$22, $C$13, 100%, $E$13)</f>
        <v>3.7587000000000002</v>
      </c>
      <c r="D179" s="67">
        <f>3.7613 * CHOOSE(CONTROL!$C$22, $C$13, 100%, $E$13)</f>
        <v>3.7612999999999999</v>
      </c>
      <c r="E179" s="68">
        <f>4.5253 * CHOOSE(CONTROL!$C$22, $C$13, 100%, $E$13)</f>
        <v>4.5252999999999997</v>
      </c>
      <c r="F179" s="68">
        <f>4.5253 * CHOOSE(CONTROL!$C$22, $C$13, 100%, $E$13)</f>
        <v>4.5252999999999997</v>
      </c>
      <c r="G179" s="68">
        <f>4.5285 * CHOOSE(CONTROL!$C$22, $C$13, 100%, $E$13)</f>
        <v>4.5285000000000002</v>
      </c>
      <c r="H179" s="68">
        <f>7.3145* CHOOSE(CONTROL!$C$22, $C$13, 100%, $E$13)</f>
        <v>7.3144999999999998</v>
      </c>
      <c r="I179" s="68">
        <f>7.3177 * CHOOSE(CONTROL!$C$22, $C$13, 100%, $E$13)</f>
        <v>7.3177000000000003</v>
      </c>
      <c r="J179" s="68">
        <f>4.5253 * CHOOSE(CONTROL!$C$22, $C$13, 100%, $E$13)</f>
        <v>4.5252999999999997</v>
      </c>
      <c r="K179" s="68">
        <f>4.5285 * CHOOSE(CONTROL!$C$22, $C$13, 100%, $E$13)</f>
        <v>4.5285000000000002</v>
      </c>
    </row>
    <row r="180" spans="1:11" ht="15">
      <c r="A180" s="13">
        <v>46600</v>
      </c>
      <c r="B180" s="67">
        <f>3.7654 * CHOOSE(CONTROL!$C$22, $C$13, 100%, $E$13)</f>
        <v>3.7654000000000001</v>
      </c>
      <c r="C180" s="67">
        <f>3.7654 * CHOOSE(CONTROL!$C$22, $C$13, 100%, $E$13)</f>
        <v>3.7654000000000001</v>
      </c>
      <c r="D180" s="67">
        <f>3.768 * CHOOSE(CONTROL!$C$22, $C$13, 100%, $E$13)</f>
        <v>3.7679999999999998</v>
      </c>
      <c r="E180" s="68">
        <f>4.4633 * CHOOSE(CONTROL!$C$22, $C$13, 100%, $E$13)</f>
        <v>4.4633000000000003</v>
      </c>
      <c r="F180" s="68">
        <f>4.4633 * CHOOSE(CONTROL!$C$22, $C$13, 100%, $E$13)</f>
        <v>4.4633000000000003</v>
      </c>
      <c r="G180" s="68">
        <f>4.4666 * CHOOSE(CONTROL!$C$22, $C$13, 100%, $E$13)</f>
        <v>4.4665999999999997</v>
      </c>
      <c r="H180" s="68">
        <f>7.3297* CHOOSE(CONTROL!$C$22, $C$13, 100%, $E$13)</f>
        <v>7.3296999999999999</v>
      </c>
      <c r="I180" s="68">
        <f>7.333 * CHOOSE(CONTROL!$C$22, $C$13, 100%, $E$13)</f>
        <v>7.3330000000000002</v>
      </c>
      <c r="J180" s="68">
        <f>4.4633 * CHOOSE(CONTROL!$C$22, $C$13, 100%, $E$13)</f>
        <v>4.4633000000000003</v>
      </c>
      <c r="K180" s="68">
        <f>4.4666 * CHOOSE(CONTROL!$C$22, $C$13, 100%, $E$13)</f>
        <v>4.4665999999999997</v>
      </c>
    </row>
    <row r="181" spans="1:11" ht="15">
      <c r="A181" s="13">
        <v>46631</v>
      </c>
      <c r="B181" s="67">
        <f>3.7623 * CHOOSE(CONTROL!$C$22, $C$13, 100%, $E$13)</f>
        <v>3.7623000000000002</v>
      </c>
      <c r="C181" s="67">
        <f>3.7623 * CHOOSE(CONTROL!$C$22, $C$13, 100%, $E$13)</f>
        <v>3.7623000000000002</v>
      </c>
      <c r="D181" s="67">
        <f>3.7649 * CHOOSE(CONTROL!$C$22, $C$13, 100%, $E$13)</f>
        <v>3.7648999999999999</v>
      </c>
      <c r="E181" s="68">
        <f>4.4538 * CHOOSE(CONTROL!$C$22, $C$13, 100%, $E$13)</f>
        <v>4.4538000000000002</v>
      </c>
      <c r="F181" s="68">
        <f>4.4538 * CHOOSE(CONTROL!$C$22, $C$13, 100%, $E$13)</f>
        <v>4.4538000000000002</v>
      </c>
      <c r="G181" s="68">
        <f>4.457 * CHOOSE(CONTROL!$C$22, $C$13, 100%, $E$13)</f>
        <v>4.4569999999999999</v>
      </c>
      <c r="H181" s="68">
        <f>7.345* CHOOSE(CONTROL!$C$22, $C$13, 100%, $E$13)</f>
        <v>7.3449999999999998</v>
      </c>
      <c r="I181" s="68">
        <f>7.3482 * CHOOSE(CONTROL!$C$22, $C$13, 100%, $E$13)</f>
        <v>7.3482000000000003</v>
      </c>
      <c r="J181" s="68">
        <f>4.4538 * CHOOSE(CONTROL!$C$22, $C$13, 100%, $E$13)</f>
        <v>4.4538000000000002</v>
      </c>
      <c r="K181" s="68">
        <f>4.457 * CHOOSE(CONTROL!$C$22, $C$13, 100%, $E$13)</f>
        <v>4.4569999999999999</v>
      </c>
    </row>
    <row r="182" spans="1:11" ht="15">
      <c r="A182" s="13">
        <v>46661</v>
      </c>
      <c r="B182" s="67">
        <f>3.7564 * CHOOSE(CONTROL!$C$22, $C$13, 100%, $E$13)</f>
        <v>3.7564000000000002</v>
      </c>
      <c r="C182" s="67">
        <f>3.7564 * CHOOSE(CONTROL!$C$22, $C$13, 100%, $E$13)</f>
        <v>3.7564000000000002</v>
      </c>
      <c r="D182" s="67">
        <f>3.7574 * CHOOSE(CONTROL!$C$22, $C$13, 100%, $E$13)</f>
        <v>3.7574000000000001</v>
      </c>
      <c r="E182" s="68">
        <f>4.47 * CHOOSE(CONTROL!$C$22, $C$13, 100%, $E$13)</f>
        <v>4.47</v>
      </c>
      <c r="F182" s="68">
        <f>4.47 * CHOOSE(CONTROL!$C$22, $C$13, 100%, $E$13)</f>
        <v>4.47</v>
      </c>
      <c r="G182" s="68">
        <f>4.4713 * CHOOSE(CONTROL!$C$22, $C$13, 100%, $E$13)</f>
        <v>4.4713000000000003</v>
      </c>
      <c r="H182" s="68">
        <f>7.3603* CHOOSE(CONTROL!$C$22, $C$13, 100%, $E$13)</f>
        <v>7.3602999999999996</v>
      </c>
      <c r="I182" s="68">
        <f>7.3616 * CHOOSE(CONTROL!$C$22, $C$13, 100%, $E$13)</f>
        <v>7.3616000000000001</v>
      </c>
      <c r="J182" s="68">
        <f>4.47 * CHOOSE(CONTROL!$C$22, $C$13, 100%, $E$13)</f>
        <v>4.47</v>
      </c>
      <c r="K182" s="68">
        <f>4.4713 * CHOOSE(CONTROL!$C$22, $C$13, 100%, $E$13)</f>
        <v>4.4713000000000003</v>
      </c>
    </row>
    <row r="183" spans="1:11" ht="15">
      <c r="A183" s="13">
        <v>46692</v>
      </c>
      <c r="B183" s="67">
        <f>3.7595 * CHOOSE(CONTROL!$C$22, $C$13, 100%, $E$13)</f>
        <v>3.7595000000000001</v>
      </c>
      <c r="C183" s="67">
        <f>3.7595 * CHOOSE(CONTROL!$C$22, $C$13, 100%, $E$13)</f>
        <v>3.7595000000000001</v>
      </c>
      <c r="D183" s="67">
        <f>3.7604 * CHOOSE(CONTROL!$C$22, $C$13, 100%, $E$13)</f>
        <v>3.7604000000000002</v>
      </c>
      <c r="E183" s="68">
        <f>4.4869 * CHOOSE(CONTROL!$C$22, $C$13, 100%, $E$13)</f>
        <v>4.4869000000000003</v>
      </c>
      <c r="F183" s="68">
        <f>4.4869 * CHOOSE(CONTROL!$C$22, $C$13, 100%, $E$13)</f>
        <v>4.4869000000000003</v>
      </c>
      <c r="G183" s="68">
        <f>4.4882 * CHOOSE(CONTROL!$C$22, $C$13, 100%, $E$13)</f>
        <v>4.4882</v>
      </c>
      <c r="H183" s="68">
        <f>7.3756* CHOOSE(CONTROL!$C$22, $C$13, 100%, $E$13)</f>
        <v>7.3756000000000004</v>
      </c>
      <c r="I183" s="68">
        <f>7.3769 * CHOOSE(CONTROL!$C$22, $C$13, 100%, $E$13)</f>
        <v>7.3769</v>
      </c>
      <c r="J183" s="68">
        <f>4.4869 * CHOOSE(CONTROL!$C$22, $C$13, 100%, $E$13)</f>
        <v>4.4869000000000003</v>
      </c>
      <c r="K183" s="68">
        <f>4.4882 * CHOOSE(CONTROL!$C$22, $C$13, 100%, $E$13)</f>
        <v>4.4882</v>
      </c>
    </row>
    <row r="184" spans="1:11" ht="15">
      <c r="A184" s="13">
        <v>46722</v>
      </c>
      <c r="B184" s="67">
        <f>3.7595 * CHOOSE(CONTROL!$C$22, $C$13, 100%, $E$13)</f>
        <v>3.7595000000000001</v>
      </c>
      <c r="C184" s="67">
        <f>3.7595 * CHOOSE(CONTROL!$C$22, $C$13, 100%, $E$13)</f>
        <v>3.7595000000000001</v>
      </c>
      <c r="D184" s="67">
        <f>3.7604 * CHOOSE(CONTROL!$C$22, $C$13, 100%, $E$13)</f>
        <v>3.7604000000000002</v>
      </c>
      <c r="E184" s="68">
        <f>4.4499 * CHOOSE(CONTROL!$C$22, $C$13, 100%, $E$13)</f>
        <v>4.4499000000000004</v>
      </c>
      <c r="F184" s="68">
        <f>4.4499 * CHOOSE(CONTROL!$C$22, $C$13, 100%, $E$13)</f>
        <v>4.4499000000000004</v>
      </c>
      <c r="G184" s="68">
        <f>4.4512 * CHOOSE(CONTROL!$C$22, $C$13, 100%, $E$13)</f>
        <v>4.4512</v>
      </c>
      <c r="H184" s="68">
        <f>7.391* CHOOSE(CONTROL!$C$22, $C$13, 100%, $E$13)</f>
        <v>7.391</v>
      </c>
      <c r="I184" s="68">
        <f>7.3923 * CHOOSE(CONTROL!$C$22, $C$13, 100%, $E$13)</f>
        <v>7.3922999999999996</v>
      </c>
      <c r="J184" s="68">
        <f>4.4499 * CHOOSE(CONTROL!$C$22, $C$13, 100%, $E$13)</f>
        <v>4.4499000000000004</v>
      </c>
      <c r="K184" s="68">
        <f>4.4512 * CHOOSE(CONTROL!$C$22, $C$13, 100%, $E$13)</f>
        <v>4.4512</v>
      </c>
    </row>
    <row r="185" spans="1:11" ht="15">
      <c r="A185" s="13">
        <v>46753</v>
      </c>
      <c r="B185" s="67">
        <f>3.7926 * CHOOSE(CONTROL!$C$22, $C$13, 100%, $E$13)</f>
        <v>3.7926000000000002</v>
      </c>
      <c r="C185" s="67">
        <f>3.7926 * CHOOSE(CONTROL!$C$22, $C$13, 100%, $E$13)</f>
        <v>3.7926000000000002</v>
      </c>
      <c r="D185" s="67">
        <f>3.7936 * CHOOSE(CONTROL!$C$22, $C$13, 100%, $E$13)</f>
        <v>3.7936000000000001</v>
      </c>
      <c r="E185" s="68">
        <f>4.5119 * CHOOSE(CONTROL!$C$22, $C$13, 100%, $E$13)</f>
        <v>4.5118999999999998</v>
      </c>
      <c r="F185" s="68">
        <f>4.5119 * CHOOSE(CONTROL!$C$22, $C$13, 100%, $E$13)</f>
        <v>4.5118999999999998</v>
      </c>
      <c r="G185" s="68">
        <f>4.5132 * CHOOSE(CONTROL!$C$22, $C$13, 100%, $E$13)</f>
        <v>4.5132000000000003</v>
      </c>
      <c r="H185" s="68">
        <f>7.4064* CHOOSE(CONTROL!$C$22, $C$13, 100%, $E$13)</f>
        <v>7.4063999999999997</v>
      </c>
      <c r="I185" s="68">
        <f>7.4077 * CHOOSE(CONTROL!$C$22, $C$13, 100%, $E$13)</f>
        <v>7.4077000000000002</v>
      </c>
      <c r="J185" s="68">
        <f>4.5119 * CHOOSE(CONTROL!$C$22, $C$13, 100%, $E$13)</f>
        <v>4.5118999999999998</v>
      </c>
      <c r="K185" s="68">
        <f>4.5132 * CHOOSE(CONTROL!$C$22, $C$13, 100%, $E$13)</f>
        <v>4.5132000000000003</v>
      </c>
    </row>
    <row r="186" spans="1:11" ht="15">
      <c r="A186" s="13">
        <v>46784</v>
      </c>
      <c r="B186" s="67">
        <f>3.7896 * CHOOSE(CONTROL!$C$22, $C$13, 100%, $E$13)</f>
        <v>3.7896000000000001</v>
      </c>
      <c r="C186" s="67">
        <f>3.7896 * CHOOSE(CONTROL!$C$22, $C$13, 100%, $E$13)</f>
        <v>3.7896000000000001</v>
      </c>
      <c r="D186" s="67">
        <f>3.7905 * CHOOSE(CONTROL!$C$22, $C$13, 100%, $E$13)</f>
        <v>3.7905000000000002</v>
      </c>
      <c r="E186" s="68">
        <f>4.438 * CHOOSE(CONTROL!$C$22, $C$13, 100%, $E$13)</f>
        <v>4.4379999999999997</v>
      </c>
      <c r="F186" s="68">
        <f>4.438 * CHOOSE(CONTROL!$C$22, $C$13, 100%, $E$13)</f>
        <v>4.4379999999999997</v>
      </c>
      <c r="G186" s="68">
        <f>4.4393 * CHOOSE(CONTROL!$C$22, $C$13, 100%, $E$13)</f>
        <v>4.4393000000000002</v>
      </c>
      <c r="H186" s="68">
        <f>7.4218* CHOOSE(CONTROL!$C$22, $C$13, 100%, $E$13)</f>
        <v>7.4218000000000002</v>
      </c>
      <c r="I186" s="68">
        <f>7.4231 * CHOOSE(CONTROL!$C$22, $C$13, 100%, $E$13)</f>
        <v>7.4230999999999998</v>
      </c>
      <c r="J186" s="68">
        <f>4.438 * CHOOSE(CONTROL!$C$22, $C$13, 100%, $E$13)</f>
        <v>4.4379999999999997</v>
      </c>
      <c r="K186" s="68">
        <f>4.4393 * CHOOSE(CONTROL!$C$22, $C$13, 100%, $E$13)</f>
        <v>4.4393000000000002</v>
      </c>
    </row>
    <row r="187" spans="1:11" ht="15">
      <c r="A187" s="13">
        <v>46813</v>
      </c>
      <c r="B187" s="67">
        <f>3.7865 * CHOOSE(CONTROL!$C$22, $C$13, 100%, $E$13)</f>
        <v>3.7865000000000002</v>
      </c>
      <c r="C187" s="67">
        <f>3.7865 * CHOOSE(CONTROL!$C$22, $C$13, 100%, $E$13)</f>
        <v>3.7865000000000002</v>
      </c>
      <c r="D187" s="67">
        <f>3.7875 * CHOOSE(CONTROL!$C$22, $C$13, 100%, $E$13)</f>
        <v>3.7875000000000001</v>
      </c>
      <c r="E187" s="68">
        <f>4.4925 * CHOOSE(CONTROL!$C$22, $C$13, 100%, $E$13)</f>
        <v>4.4924999999999997</v>
      </c>
      <c r="F187" s="68">
        <f>4.4925 * CHOOSE(CONTROL!$C$22, $C$13, 100%, $E$13)</f>
        <v>4.4924999999999997</v>
      </c>
      <c r="G187" s="68">
        <f>4.4938 * CHOOSE(CONTROL!$C$22, $C$13, 100%, $E$13)</f>
        <v>4.4938000000000002</v>
      </c>
      <c r="H187" s="68">
        <f>7.4373* CHOOSE(CONTROL!$C$22, $C$13, 100%, $E$13)</f>
        <v>7.4372999999999996</v>
      </c>
      <c r="I187" s="68">
        <f>7.4386 * CHOOSE(CONTROL!$C$22, $C$13, 100%, $E$13)</f>
        <v>7.4386000000000001</v>
      </c>
      <c r="J187" s="68">
        <f>4.4925 * CHOOSE(CONTROL!$C$22, $C$13, 100%, $E$13)</f>
        <v>4.4924999999999997</v>
      </c>
      <c r="K187" s="68">
        <f>4.4938 * CHOOSE(CONTROL!$C$22, $C$13, 100%, $E$13)</f>
        <v>4.4938000000000002</v>
      </c>
    </row>
    <row r="188" spans="1:11" ht="15">
      <c r="A188" s="13">
        <v>46844</v>
      </c>
      <c r="B188" s="67">
        <f>3.7839 * CHOOSE(CONTROL!$C$22, $C$13, 100%, $E$13)</f>
        <v>3.7839</v>
      </c>
      <c r="C188" s="67">
        <f>3.7839 * CHOOSE(CONTROL!$C$22, $C$13, 100%, $E$13)</f>
        <v>3.7839</v>
      </c>
      <c r="D188" s="67">
        <f>3.7849 * CHOOSE(CONTROL!$C$22, $C$13, 100%, $E$13)</f>
        <v>3.7848999999999999</v>
      </c>
      <c r="E188" s="68">
        <f>4.549 * CHOOSE(CONTROL!$C$22, $C$13, 100%, $E$13)</f>
        <v>4.5490000000000004</v>
      </c>
      <c r="F188" s="68">
        <f>4.549 * CHOOSE(CONTROL!$C$22, $C$13, 100%, $E$13)</f>
        <v>4.5490000000000004</v>
      </c>
      <c r="G188" s="68">
        <f>4.5503 * CHOOSE(CONTROL!$C$22, $C$13, 100%, $E$13)</f>
        <v>4.5503</v>
      </c>
      <c r="H188" s="68">
        <f>7.4528* CHOOSE(CONTROL!$C$22, $C$13, 100%, $E$13)</f>
        <v>7.4527999999999999</v>
      </c>
      <c r="I188" s="68">
        <f>7.4541 * CHOOSE(CONTROL!$C$22, $C$13, 100%, $E$13)</f>
        <v>7.4541000000000004</v>
      </c>
      <c r="J188" s="68">
        <f>4.549 * CHOOSE(CONTROL!$C$22, $C$13, 100%, $E$13)</f>
        <v>4.5490000000000004</v>
      </c>
      <c r="K188" s="68">
        <f>4.5503 * CHOOSE(CONTROL!$C$22, $C$13, 100%, $E$13)</f>
        <v>4.5503</v>
      </c>
    </row>
    <row r="189" spans="1:11" ht="15">
      <c r="A189" s="13">
        <v>46874</v>
      </c>
      <c r="B189" s="67">
        <f>3.7839 * CHOOSE(CONTROL!$C$22, $C$13, 100%, $E$13)</f>
        <v>3.7839</v>
      </c>
      <c r="C189" s="67">
        <f>3.7839 * CHOOSE(CONTROL!$C$22, $C$13, 100%, $E$13)</f>
        <v>3.7839</v>
      </c>
      <c r="D189" s="67">
        <f>3.7866 * CHOOSE(CONTROL!$C$22, $C$13, 100%, $E$13)</f>
        <v>3.7866</v>
      </c>
      <c r="E189" s="68">
        <f>4.5718 * CHOOSE(CONTROL!$C$22, $C$13, 100%, $E$13)</f>
        <v>4.5717999999999996</v>
      </c>
      <c r="F189" s="68">
        <f>4.5718 * CHOOSE(CONTROL!$C$22, $C$13, 100%, $E$13)</f>
        <v>4.5717999999999996</v>
      </c>
      <c r="G189" s="68">
        <f>4.575 * CHOOSE(CONTROL!$C$22, $C$13, 100%, $E$13)</f>
        <v>4.5750000000000002</v>
      </c>
      <c r="H189" s="68">
        <f>7.4683* CHOOSE(CONTROL!$C$22, $C$13, 100%, $E$13)</f>
        <v>7.4683000000000002</v>
      </c>
      <c r="I189" s="68">
        <f>7.4716 * CHOOSE(CONTROL!$C$22, $C$13, 100%, $E$13)</f>
        <v>7.4715999999999996</v>
      </c>
      <c r="J189" s="68">
        <f>4.5718 * CHOOSE(CONTROL!$C$22, $C$13, 100%, $E$13)</f>
        <v>4.5717999999999996</v>
      </c>
      <c r="K189" s="68">
        <f>4.575 * CHOOSE(CONTROL!$C$22, $C$13, 100%, $E$13)</f>
        <v>4.5750000000000002</v>
      </c>
    </row>
    <row r="190" spans="1:11" ht="15">
      <c r="A190" s="13">
        <v>46905</v>
      </c>
      <c r="B190" s="67">
        <f>3.79 * CHOOSE(CONTROL!$C$22, $C$13, 100%, $E$13)</f>
        <v>3.79</v>
      </c>
      <c r="C190" s="67">
        <f>3.79 * CHOOSE(CONTROL!$C$22, $C$13, 100%, $E$13)</f>
        <v>3.79</v>
      </c>
      <c r="D190" s="67">
        <f>3.7926 * CHOOSE(CONTROL!$C$22, $C$13, 100%, $E$13)</f>
        <v>3.7926000000000002</v>
      </c>
      <c r="E190" s="68">
        <f>4.5532 * CHOOSE(CONTROL!$C$22, $C$13, 100%, $E$13)</f>
        <v>4.5532000000000004</v>
      </c>
      <c r="F190" s="68">
        <f>4.5532 * CHOOSE(CONTROL!$C$22, $C$13, 100%, $E$13)</f>
        <v>4.5532000000000004</v>
      </c>
      <c r="G190" s="68">
        <f>4.5565 * CHOOSE(CONTROL!$C$22, $C$13, 100%, $E$13)</f>
        <v>4.5564999999999998</v>
      </c>
      <c r="H190" s="68">
        <f>7.4839* CHOOSE(CONTROL!$C$22, $C$13, 100%, $E$13)</f>
        <v>7.4839000000000002</v>
      </c>
      <c r="I190" s="68">
        <f>7.4871 * CHOOSE(CONTROL!$C$22, $C$13, 100%, $E$13)</f>
        <v>7.4870999999999999</v>
      </c>
      <c r="J190" s="68">
        <f>4.5532 * CHOOSE(CONTROL!$C$22, $C$13, 100%, $E$13)</f>
        <v>4.5532000000000004</v>
      </c>
      <c r="K190" s="68">
        <f>4.5565 * CHOOSE(CONTROL!$C$22, $C$13, 100%, $E$13)</f>
        <v>4.5564999999999998</v>
      </c>
    </row>
    <row r="191" spans="1:11" ht="15">
      <c r="A191" s="13">
        <v>46935</v>
      </c>
      <c r="B191" s="67">
        <f>3.8518 * CHOOSE(CONTROL!$C$22, $C$13, 100%, $E$13)</f>
        <v>3.8517999999999999</v>
      </c>
      <c r="C191" s="67">
        <f>3.8518 * CHOOSE(CONTROL!$C$22, $C$13, 100%, $E$13)</f>
        <v>3.8517999999999999</v>
      </c>
      <c r="D191" s="67">
        <f>3.8544 * CHOOSE(CONTROL!$C$22, $C$13, 100%, $E$13)</f>
        <v>3.8544</v>
      </c>
      <c r="E191" s="68">
        <f>4.6316 * CHOOSE(CONTROL!$C$22, $C$13, 100%, $E$13)</f>
        <v>4.6315999999999997</v>
      </c>
      <c r="F191" s="68">
        <f>4.6316 * CHOOSE(CONTROL!$C$22, $C$13, 100%, $E$13)</f>
        <v>4.6315999999999997</v>
      </c>
      <c r="G191" s="68">
        <f>4.6348 * CHOOSE(CONTROL!$C$22, $C$13, 100%, $E$13)</f>
        <v>4.6348000000000003</v>
      </c>
      <c r="H191" s="68">
        <f>7.4995* CHOOSE(CONTROL!$C$22, $C$13, 100%, $E$13)</f>
        <v>7.4995000000000003</v>
      </c>
      <c r="I191" s="68">
        <f>7.5027 * CHOOSE(CONTROL!$C$22, $C$13, 100%, $E$13)</f>
        <v>7.5026999999999999</v>
      </c>
      <c r="J191" s="68">
        <f>4.6316 * CHOOSE(CONTROL!$C$22, $C$13, 100%, $E$13)</f>
        <v>4.6315999999999997</v>
      </c>
      <c r="K191" s="68">
        <f>4.6348 * CHOOSE(CONTROL!$C$22, $C$13, 100%, $E$13)</f>
        <v>4.6348000000000003</v>
      </c>
    </row>
    <row r="192" spans="1:11" ht="15">
      <c r="A192" s="13">
        <v>46966</v>
      </c>
      <c r="B192" s="67">
        <f>3.8585 * CHOOSE(CONTROL!$C$22, $C$13, 100%, $E$13)</f>
        <v>3.8584999999999998</v>
      </c>
      <c r="C192" s="67">
        <f>3.8585 * CHOOSE(CONTROL!$C$22, $C$13, 100%, $E$13)</f>
        <v>3.8584999999999998</v>
      </c>
      <c r="D192" s="67">
        <f>3.8611 * CHOOSE(CONTROL!$C$22, $C$13, 100%, $E$13)</f>
        <v>3.8611</v>
      </c>
      <c r="E192" s="68">
        <f>4.5679 * CHOOSE(CONTROL!$C$22, $C$13, 100%, $E$13)</f>
        <v>4.5678999999999998</v>
      </c>
      <c r="F192" s="68">
        <f>4.5679 * CHOOSE(CONTROL!$C$22, $C$13, 100%, $E$13)</f>
        <v>4.5678999999999998</v>
      </c>
      <c r="G192" s="68">
        <f>4.5711 * CHOOSE(CONTROL!$C$22, $C$13, 100%, $E$13)</f>
        <v>4.5711000000000004</v>
      </c>
      <c r="H192" s="68">
        <f>7.5151* CHOOSE(CONTROL!$C$22, $C$13, 100%, $E$13)</f>
        <v>7.5151000000000003</v>
      </c>
      <c r="I192" s="68">
        <f>7.5183 * CHOOSE(CONTROL!$C$22, $C$13, 100%, $E$13)</f>
        <v>7.5183</v>
      </c>
      <c r="J192" s="68">
        <f>4.5679 * CHOOSE(CONTROL!$C$22, $C$13, 100%, $E$13)</f>
        <v>4.5678999999999998</v>
      </c>
      <c r="K192" s="68">
        <f>4.5711 * CHOOSE(CONTROL!$C$22, $C$13, 100%, $E$13)</f>
        <v>4.5711000000000004</v>
      </c>
    </row>
    <row r="193" spans="1:11" ht="15">
      <c r="A193" s="13">
        <v>46997</v>
      </c>
      <c r="B193" s="67">
        <f>3.8554 * CHOOSE(CONTROL!$C$22, $C$13, 100%, $E$13)</f>
        <v>3.8553999999999999</v>
      </c>
      <c r="C193" s="67">
        <f>3.8554 * CHOOSE(CONTROL!$C$22, $C$13, 100%, $E$13)</f>
        <v>3.8553999999999999</v>
      </c>
      <c r="D193" s="67">
        <f>3.858 * CHOOSE(CONTROL!$C$22, $C$13, 100%, $E$13)</f>
        <v>3.8580000000000001</v>
      </c>
      <c r="E193" s="68">
        <f>4.5582 * CHOOSE(CONTROL!$C$22, $C$13, 100%, $E$13)</f>
        <v>4.5582000000000003</v>
      </c>
      <c r="F193" s="68">
        <f>4.5582 * CHOOSE(CONTROL!$C$22, $C$13, 100%, $E$13)</f>
        <v>4.5582000000000003</v>
      </c>
      <c r="G193" s="68">
        <f>4.5614 * CHOOSE(CONTROL!$C$22, $C$13, 100%, $E$13)</f>
        <v>4.5613999999999999</v>
      </c>
      <c r="H193" s="68">
        <f>7.5307* CHOOSE(CONTROL!$C$22, $C$13, 100%, $E$13)</f>
        <v>7.5307000000000004</v>
      </c>
      <c r="I193" s="68">
        <f>7.534 * CHOOSE(CONTROL!$C$22, $C$13, 100%, $E$13)</f>
        <v>7.5339999999999998</v>
      </c>
      <c r="J193" s="68">
        <f>4.5582 * CHOOSE(CONTROL!$C$22, $C$13, 100%, $E$13)</f>
        <v>4.5582000000000003</v>
      </c>
      <c r="K193" s="68">
        <f>4.5614 * CHOOSE(CONTROL!$C$22, $C$13, 100%, $E$13)</f>
        <v>4.5613999999999999</v>
      </c>
    </row>
    <row r="194" spans="1:11" ht="15">
      <c r="A194" s="13">
        <v>47027</v>
      </c>
      <c r="B194" s="67">
        <f>3.8498 * CHOOSE(CONTROL!$C$22, $C$13, 100%, $E$13)</f>
        <v>3.8498000000000001</v>
      </c>
      <c r="C194" s="67">
        <f>3.8498 * CHOOSE(CONTROL!$C$22, $C$13, 100%, $E$13)</f>
        <v>3.8498000000000001</v>
      </c>
      <c r="D194" s="67">
        <f>3.8508 * CHOOSE(CONTROL!$C$22, $C$13, 100%, $E$13)</f>
        <v>3.8508</v>
      </c>
      <c r="E194" s="68">
        <f>4.5751 * CHOOSE(CONTROL!$C$22, $C$13, 100%, $E$13)</f>
        <v>4.5750999999999999</v>
      </c>
      <c r="F194" s="68">
        <f>4.5751 * CHOOSE(CONTROL!$C$22, $C$13, 100%, $E$13)</f>
        <v>4.5750999999999999</v>
      </c>
      <c r="G194" s="68">
        <f>4.5764 * CHOOSE(CONTROL!$C$22, $C$13, 100%, $E$13)</f>
        <v>4.5763999999999996</v>
      </c>
      <c r="H194" s="68">
        <f>7.5464* CHOOSE(CONTROL!$C$22, $C$13, 100%, $E$13)</f>
        <v>7.5464000000000002</v>
      </c>
      <c r="I194" s="68">
        <f>7.5477 * CHOOSE(CONTROL!$C$22, $C$13, 100%, $E$13)</f>
        <v>7.5476999999999999</v>
      </c>
      <c r="J194" s="68">
        <f>4.5751 * CHOOSE(CONTROL!$C$22, $C$13, 100%, $E$13)</f>
        <v>4.5750999999999999</v>
      </c>
      <c r="K194" s="68">
        <f>4.5764 * CHOOSE(CONTROL!$C$22, $C$13, 100%, $E$13)</f>
        <v>4.5763999999999996</v>
      </c>
    </row>
    <row r="195" spans="1:11" ht="15">
      <c r="A195" s="13">
        <v>47058</v>
      </c>
      <c r="B195" s="67">
        <f>3.8529 * CHOOSE(CONTROL!$C$22, $C$13, 100%, $E$13)</f>
        <v>3.8529</v>
      </c>
      <c r="C195" s="67">
        <f>3.8529 * CHOOSE(CONTROL!$C$22, $C$13, 100%, $E$13)</f>
        <v>3.8529</v>
      </c>
      <c r="D195" s="67">
        <f>3.8539 * CHOOSE(CONTROL!$C$22, $C$13, 100%, $E$13)</f>
        <v>3.8538999999999999</v>
      </c>
      <c r="E195" s="68">
        <f>4.5924 * CHOOSE(CONTROL!$C$22, $C$13, 100%, $E$13)</f>
        <v>4.5923999999999996</v>
      </c>
      <c r="F195" s="68">
        <f>4.5924 * CHOOSE(CONTROL!$C$22, $C$13, 100%, $E$13)</f>
        <v>4.5923999999999996</v>
      </c>
      <c r="G195" s="68">
        <f>4.5937 * CHOOSE(CONTROL!$C$22, $C$13, 100%, $E$13)</f>
        <v>4.5937000000000001</v>
      </c>
      <c r="H195" s="68">
        <f>7.5621* CHOOSE(CONTROL!$C$22, $C$13, 100%, $E$13)</f>
        <v>7.5621</v>
      </c>
      <c r="I195" s="68">
        <f>7.5634 * CHOOSE(CONTROL!$C$22, $C$13, 100%, $E$13)</f>
        <v>7.5633999999999997</v>
      </c>
      <c r="J195" s="68">
        <f>4.5924 * CHOOSE(CONTROL!$C$22, $C$13, 100%, $E$13)</f>
        <v>4.5923999999999996</v>
      </c>
      <c r="K195" s="68">
        <f>4.5937 * CHOOSE(CONTROL!$C$22, $C$13, 100%, $E$13)</f>
        <v>4.5937000000000001</v>
      </c>
    </row>
    <row r="196" spans="1:11" ht="15">
      <c r="A196" s="13">
        <v>47088</v>
      </c>
      <c r="B196" s="67">
        <f>3.8529 * CHOOSE(CONTROL!$C$22, $C$13, 100%, $E$13)</f>
        <v>3.8529</v>
      </c>
      <c r="C196" s="67">
        <f>3.8529 * CHOOSE(CONTROL!$C$22, $C$13, 100%, $E$13)</f>
        <v>3.8529</v>
      </c>
      <c r="D196" s="67">
        <f>3.8539 * CHOOSE(CONTROL!$C$22, $C$13, 100%, $E$13)</f>
        <v>3.8538999999999999</v>
      </c>
      <c r="E196" s="68">
        <f>4.5545 * CHOOSE(CONTROL!$C$22, $C$13, 100%, $E$13)</f>
        <v>4.5545</v>
      </c>
      <c r="F196" s="68">
        <f>4.5545 * CHOOSE(CONTROL!$C$22, $C$13, 100%, $E$13)</f>
        <v>4.5545</v>
      </c>
      <c r="G196" s="68">
        <f>4.5558 * CHOOSE(CONTROL!$C$22, $C$13, 100%, $E$13)</f>
        <v>4.5557999999999996</v>
      </c>
      <c r="H196" s="68">
        <f>7.5779* CHOOSE(CONTROL!$C$22, $C$13, 100%, $E$13)</f>
        <v>7.5778999999999996</v>
      </c>
      <c r="I196" s="68">
        <f>7.5792 * CHOOSE(CONTROL!$C$22, $C$13, 100%, $E$13)</f>
        <v>7.5792000000000002</v>
      </c>
      <c r="J196" s="68">
        <f>4.5545 * CHOOSE(CONTROL!$C$22, $C$13, 100%, $E$13)</f>
        <v>4.5545</v>
      </c>
      <c r="K196" s="68">
        <f>4.5558 * CHOOSE(CONTROL!$C$22, $C$13, 100%, $E$13)</f>
        <v>4.5557999999999996</v>
      </c>
    </row>
    <row r="197" spans="1:11" ht="15">
      <c r="A197" s="13">
        <v>47119</v>
      </c>
      <c r="B197" s="67">
        <f>3.8828 * CHOOSE(CONTROL!$C$22, $C$13, 100%, $E$13)</f>
        <v>3.8828</v>
      </c>
      <c r="C197" s="67">
        <f>3.8828 * CHOOSE(CONTROL!$C$22, $C$13, 100%, $E$13)</f>
        <v>3.8828</v>
      </c>
      <c r="D197" s="67">
        <f>3.8838 * CHOOSE(CONTROL!$C$22, $C$13, 100%, $E$13)</f>
        <v>3.8837999999999999</v>
      </c>
      <c r="E197" s="68">
        <f>4.6181 * CHOOSE(CONTROL!$C$22, $C$13, 100%, $E$13)</f>
        <v>4.6181000000000001</v>
      </c>
      <c r="F197" s="68">
        <f>4.6181 * CHOOSE(CONTROL!$C$22, $C$13, 100%, $E$13)</f>
        <v>4.6181000000000001</v>
      </c>
      <c r="G197" s="68">
        <f>4.6194 * CHOOSE(CONTROL!$C$22, $C$13, 100%, $E$13)</f>
        <v>4.6193999999999997</v>
      </c>
      <c r="H197" s="68">
        <f>7.5937* CHOOSE(CONTROL!$C$22, $C$13, 100%, $E$13)</f>
        <v>7.5937000000000001</v>
      </c>
      <c r="I197" s="68">
        <f>7.595 * CHOOSE(CONTROL!$C$22, $C$13, 100%, $E$13)</f>
        <v>7.5949999999999998</v>
      </c>
      <c r="J197" s="68">
        <f>4.6181 * CHOOSE(CONTROL!$C$22, $C$13, 100%, $E$13)</f>
        <v>4.6181000000000001</v>
      </c>
      <c r="K197" s="68">
        <f>4.6194 * CHOOSE(CONTROL!$C$22, $C$13, 100%, $E$13)</f>
        <v>4.6193999999999997</v>
      </c>
    </row>
    <row r="198" spans="1:11" ht="15">
      <c r="A198" s="13">
        <v>47150</v>
      </c>
      <c r="B198" s="67">
        <f>3.8798 * CHOOSE(CONTROL!$C$22, $C$13, 100%, $E$13)</f>
        <v>3.8797999999999999</v>
      </c>
      <c r="C198" s="67">
        <f>3.8798 * CHOOSE(CONTROL!$C$22, $C$13, 100%, $E$13)</f>
        <v>3.8797999999999999</v>
      </c>
      <c r="D198" s="67">
        <f>3.8808 * CHOOSE(CONTROL!$C$22, $C$13, 100%, $E$13)</f>
        <v>3.8807999999999998</v>
      </c>
      <c r="E198" s="68">
        <f>4.5424 * CHOOSE(CONTROL!$C$22, $C$13, 100%, $E$13)</f>
        <v>4.5423999999999998</v>
      </c>
      <c r="F198" s="68">
        <f>4.5424 * CHOOSE(CONTROL!$C$22, $C$13, 100%, $E$13)</f>
        <v>4.5423999999999998</v>
      </c>
      <c r="G198" s="68">
        <f>4.5437 * CHOOSE(CONTROL!$C$22, $C$13, 100%, $E$13)</f>
        <v>4.5437000000000003</v>
      </c>
      <c r="H198" s="68">
        <f>7.6095* CHOOSE(CONTROL!$C$22, $C$13, 100%, $E$13)</f>
        <v>7.6094999999999997</v>
      </c>
      <c r="I198" s="68">
        <f>7.6108 * CHOOSE(CONTROL!$C$22, $C$13, 100%, $E$13)</f>
        <v>7.6108000000000002</v>
      </c>
      <c r="J198" s="68">
        <f>4.5424 * CHOOSE(CONTROL!$C$22, $C$13, 100%, $E$13)</f>
        <v>4.5423999999999998</v>
      </c>
      <c r="K198" s="68">
        <f>4.5437 * CHOOSE(CONTROL!$C$22, $C$13, 100%, $E$13)</f>
        <v>4.5437000000000003</v>
      </c>
    </row>
    <row r="199" spans="1:11" ht="15">
      <c r="A199" s="13">
        <v>47178</v>
      </c>
      <c r="B199" s="67">
        <f>3.8767 * CHOOSE(CONTROL!$C$22, $C$13, 100%, $E$13)</f>
        <v>3.8767</v>
      </c>
      <c r="C199" s="67">
        <f>3.8767 * CHOOSE(CONTROL!$C$22, $C$13, 100%, $E$13)</f>
        <v>3.8767</v>
      </c>
      <c r="D199" s="67">
        <f>3.8777 * CHOOSE(CONTROL!$C$22, $C$13, 100%, $E$13)</f>
        <v>3.8776999999999999</v>
      </c>
      <c r="E199" s="68">
        <f>4.5983 * CHOOSE(CONTROL!$C$22, $C$13, 100%, $E$13)</f>
        <v>4.5983000000000001</v>
      </c>
      <c r="F199" s="68">
        <f>4.5983 * CHOOSE(CONTROL!$C$22, $C$13, 100%, $E$13)</f>
        <v>4.5983000000000001</v>
      </c>
      <c r="G199" s="68">
        <f>4.5996 * CHOOSE(CONTROL!$C$22, $C$13, 100%, $E$13)</f>
        <v>4.5995999999999997</v>
      </c>
      <c r="H199" s="68">
        <f>7.6254* CHOOSE(CONTROL!$C$22, $C$13, 100%, $E$13)</f>
        <v>7.6254</v>
      </c>
      <c r="I199" s="68">
        <f>7.6266 * CHOOSE(CONTROL!$C$22, $C$13, 100%, $E$13)</f>
        <v>7.6265999999999998</v>
      </c>
      <c r="J199" s="68">
        <f>4.5983 * CHOOSE(CONTROL!$C$22, $C$13, 100%, $E$13)</f>
        <v>4.5983000000000001</v>
      </c>
      <c r="K199" s="68">
        <f>4.5996 * CHOOSE(CONTROL!$C$22, $C$13, 100%, $E$13)</f>
        <v>4.5995999999999997</v>
      </c>
    </row>
    <row r="200" spans="1:11" ht="15">
      <c r="A200" s="13">
        <v>47209</v>
      </c>
      <c r="B200" s="67">
        <f>3.8743 * CHOOSE(CONTROL!$C$22, $C$13, 100%, $E$13)</f>
        <v>3.8742999999999999</v>
      </c>
      <c r="C200" s="67">
        <f>3.8743 * CHOOSE(CONTROL!$C$22, $C$13, 100%, $E$13)</f>
        <v>3.8742999999999999</v>
      </c>
      <c r="D200" s="67">
        <f>3.8752 * CHOOSE(CONTROL!$C$22, $C$13, 100%, $E$13)</f>
        <v>3.8752</v>
      </c>
      <c r="E200" s="68">
        <f>4.6563 * CHOOSE(CONTROL!$C$22, $C$13, 100%, $E$13)</f>
        <v>4.6562999999999999</v>
      </c>
      <c r="F200" s="68">
        <f>4.6563 * CHOOSE(CONTROL!$C$22, $C$13, 100%, $E$13)</f>
        <v>4.6562999999999999</v>
      </c>
      <c r="G200" s="68">
        <f>4.6576 * CHOOSE(CONTROL!$C$22, $C$13, 100%, $E$13)</f>
        <v>4.6576000000000004</v>
      </c>
      <c r="H200" s="68">
        <f>7.6412* CHOOSE(CONTROL!$C$22, $C$13, 100%, $E$13)</f>
        <v>7.6412000000000004</v>
      </c>
      <c r="I200" s="68">
        <f>7.6425 * CHOOSE(CONTROL!$C$22, $C$13, 100%, $E$13)</f>
        <v>7.6425000000000001</v>
      </c>
      <c r="J200" s="68">
        <f>4.6563 * CHOOSE(CONTROL!$C$22, $C$13, 100%, $E$13)</f>
        <v>4.6562999999999999</v>
      </c>
      <c r="K200" s="68">
        <f>4.6576 * CHOOSE(CONTROL!$C$22, $C$13, 100%, $E$13)</f>
        <v>4.6576000000000004</v>
      </c>
    </row>
    <row r="201" spans="1:11" ht="15">
      <c r="A201" s="13">
        <v>47239</v>
      </c>
      <c r="B201" s="67">
        <f>3.8743 * CHOOSE(CONTROL!$C$22, $C$13, 100%, $E$13)</f>
        <v>3.8742999999999999</v>
      </c>
      <c r="C201" s="67">
        <f>3.8743 * CHOOSE(CONTROL!$C$22, $C$13, 100%, $E$13)</f>
        <v>3.8742999999999999</v>
      </c>
      <c r="D201" s="67">
        <f>3.8769 * CHOOSE(CONTROL!$C$22, $C$13, 100%, $E$13)</f>
        <v>3.8769</v>
      </c>
      <c r="E201" s="68">
        <f>4.6797 * CHOOSE(CONTROL!$C$22, $C$13, 100%, $E$13)</f>
        <v>4.6797000000000004</v>
      </c>
      <c r="F201" s="68">
        <f>4.6797 * CHOOSE(CONTROL!$C$22, $C$13, 100%, $E$13)</f>
        <v>4.6797000000000004</v>
      </c>
      <c r="G201" s="68">
        <f>4.683 * CHOOSE(CONTROL!$C$22, $C$13, 100%, $E$13)</f>
        <v>4.6829999999999998</v>
      </c>
      <c r="H201" s="68">
        <f>7.6572* CHOOSE(CONTROL!$C$22, $C$13, 100%, $E$13)</f>
        <v>7.6571999999999996</v>
      </c>
      <c r="I201" s="68">
        <f>7.6604 * CHOOSE(CONTROL!$C$22, $C$13, 100%, $E$13)</f>
        <v>7.6604000000000001</v>
      </c>
      <c r="J201" s="68">
        <f>4.6797 * CHOOSE(CONTROL!$C$22, $C$13, 100%, $E$13)</f>
        <v>4.6797000000000004</v>
      </c>
      <c r="K201" s="68">
        <f>4.683 * CHOOSE(CONTROL!$C$22, $C$13, 100%, $E$13)</f>
        <v>4.6829999999999998</v>
      </c>
    </row>
    <row r="202" spans="1:11" ht="15">
      <c r="A202" s="13">
        <v>47270</v>
      </c>
      <c r="B202" s="67">
        <f>3.8803 * CHOOSE(CONTROL!$C$22, $C$13, 100%, $E$13)</f>
        <v>3.8803000000000001</v>
      </c>
      <c r="C202" s="67">
        <f>3.8803 * CHOOSE(CONTROL!$C$22, $C$13, 100%, $E$13)</f>
        <v>3.8803000000000001</v>
      </c>
      <c r="D202" s="67">
        <f>3.883 * CHOOSE(CONTROL!$C$22, $C$13, 100%, $E$13)</f>
        <v>3.883</v>
      </c>
      <c r="E202" s="68">
        <f>4.6606 * CHOOSE(CONTROL!$C$22, $C$13, 100%, $E$13)</f>
        <v>4.6605999999999996</v>
      </c>
      <c r="F202" s="68">
        <f>4.6606 * CHOOSE(CONTROL!$C$22, $C$13, 100%, $E$13)</f>
        <v>4.6605999999999996</v>
      </c>
      <c r="G202" s="68">
        <f>4.6638 * CHOOSE(CONTROL!$C$22, $C$13, 100%, $E$13)</f>
        <v>4.6638000000000002</v>
      </c>
      <c r="H202" s="68">
        <f>7.6731* CHOOSE(CONTROL!$C$22, $C$13, 100%, $E$13)</f>
        <v>7.6730999999999998</v>
      </c>
      <c r="I202" s="68">
        <f>7.6764 * CHOOSE(CONTROL!$C$22, $C$13, 100%, $E$13)</f>
        <v>7.6764000000000001</v>
      </c>
      <c r="J202" s="68">
        <f>4.6606 * CHOOSE(CONTROL!$C$22, $C$13, 100%, $E$13)</f>
        <v>4.6605999999999996</v>
      </c>
      <c r="K202" s="68">
        <f>4.6638 * CHOOSE(CONTROL!$C$22, $C$13, 100%, $E$13)</f>
        <v>4.6638000000000002</v>
      </c>
    </row>
    <row r="203" spans="1:11" ht="15">
      <c r="A203" s="13">
        <v>47300</v>
      </c>
      <c r="B203" s="67">
        <f>3.9341 * CHOOSE(CONTROL!$C$22, $C$13, 100%, $E$13)</f>
        <v>3.9340999999999999</v>
      </c>
      <c r="C203" s="67">
        <f>3.9341 * CHOOSE(CONTROL!$C$22, $C$13, 100%, $E$13)</f>
        <v>3.9340999999999999</v>
      </c>
      <c r="D203" s="67">
        <f>3.9367 * CHOOSE(CONTROL!$C$22, $C$13, 100%, $E$13)</f>
        <v>3.9367000000000001</v>
      </c>
      <c r="E203" s="68">
        <f>4.7415 * CHOOSE(CONTROL!$C$22, $C$13, 100%, $E$13)</f>
        <v>4.7415000000000003</v>
      </c>
      <c r="F203" s="68">
        <f>4.7415 * CHOOSE(CONTROL!$C$22, $C$13, 100%, $E$13)</f>
        <v>4.7415000000000003</v>
      </c>
      <c r="G203" s="68">
        <f>4.7447 * CHOOSE(CONTROL!$C$22, $C$13, 100%, $E$13)</f>
        <v>4.7446999999999999</v>
      </c>
      <c r="H203" s="68">
        <f>7.6891* CHOOSE(CONTROL!$C$22, $C$13, 100%, $E$13)</f>
        <v>7.6890999999999998</v>
      </c>
      <c r="I203" s="68">
        <f>7.6924 * CHOOSE(CONTROL!$C$22, $C$13, 100%, $E$13)</f>
        <v>7.6924000000000001</v>
      </c>
      <c r="J203" s="68">
        <f>4.7415 * CHOOSE(CONTROL!$C$22, $C$13, 100%, $E$13)</f>
        <v>4.7415000000000003</v>
      </c>
      <c r="K203" s="68">
        <f>4.7447 * CHOOSE(CONTROL!$C$22, $C$13, 100%, $E$13)</f>
        <v>4.7446999999999999</v>
      </c>
    </row>
    <row r="204" spans="1:11" ht="15">
      <c r="A204" s="13">
        <v>47331</v>
      </c>
      <c r="B204" s="67">
        <f>3.9407 * CHOOSE(CONTROL!$C$22, $C$13, 100%, $E$13)</f>
        <v>3.9407000000000001</v>
      </c>
      <c r="C204" s="67">
        <f>3.9407 * CHOOSE(CONTROL!$C$22, $C$13, 100%, $E$13)</f>
        <v>3.9407000000000001</v>
      </c>
      <c r="D204" s="67">
        <f>3.9434 * CHOOSE(CONTROL!$C$22, $C$13, 100%, $E$13)</f>
        <v>3.9434</v>
      </c>
      <c r="E204" s="68">
        <f>4.676 * CHOOSE(CONTROL!$C$22, $C$13, 100%, $E$13)</f>
        <v>4.6760000000000002</v>
      </c>
      <c r="F204" s="68">
        <f>4.676 * CHOOSE(CONTROL!$C$22, $C$13, 100%, $E$13)</f>
        <v>4.6760000000000002</v>
      </c>
      <c r="G204" s="68">
        <f>4.6793 * CHOOSE(CONTROL!$C$22, $C$13, 100%, $E$13)</f>
        <v>4.6792999999999996</v>
      </c>
      <c r="H204" s="68">
        <f>7.7051* CHOOSE(CONTROL!$C$22, $C$13, 100%, $E$13)</f>
        <v>7.7050999999999998</v>
      </c>
      <c r="I204" s="68">
        <f>7.7084 * CHOOSE(CONTROL!$C$22, $C$13, 100%, $E$13)</f>
        <v>7.7084000000000001</v>
      </c>
      <c r="J204" s="68">
        <f>4.676 * CHOOSE(CONTROL!$C$22, $C$13, 100%, $E$13)</f>
        <v>4.6760000000000002</v>
      </c>
      <c r="K204" s="68">
        <f>4.6793 * CHOOSE(CONTROL!$C$22, $C$13, 100%, $E$13)</f>
        <v>4.6792999999999996</v>
      </c>
    </row>
    <row r="205" spans="1:11" ht="15">
      <c r="A205" s="13">
        <v>47362</v>
      </c>
      <c r="B205" s="67">
        <f>3.9377 * CHOOSE(CONTROL!$C$22, $C$13, 100%, $E$13)</f>
        <v>3.9377</v>
      </c>
      <c r="C205" s="67">
        <f>3.9377 * CHOOSE(CONTROL!$C$22, $C$13, 100%, $E$13)</f>
        <v>3.9377</v>
      </c>
      <c r="D205" s="67">
        <f>3.9403 * CHOOSE(CONTROL!$C$22, $C$13, 100%, $E$13)</f>
        <v>3.9403000000000001</v>
      </c>
      <c r="E205" s="68">
        <f>4.6661 * CHOOSE(CONTROL!$C$22, $C$13, 100%, $E$13)</f>
        <v>4.6661000000000001</v>
      </c>
      <c r="F205" s="68">
        <f>4.6661 * CHOOSE(CONTROL!$C$22, $C$13, 100%, $E$13)</f>
        <v>4.6661000000000001</v>
      </c>
      <c r="G205" s="68">
        <f>4.6694 * CHOOSE(CONTROL!$C$22, $C$13, 100%, $E$13)</f>
        <v>4.6694000000000004</v>
      </c>
      <c r="H205" s="68">
        <f>7.7212* CHOOSE(CONTROL!$C$22, $C$13, 100%, $E$13)</f>
        <v>7.7211999999999996</v>
      </c>
      <c r="I205" s="68">
        <f>7.7244 * CHOOSE(CONTROL!$C$22, $C$13, 100%, $E$13)</f>
        <v>7.7244000000000002</v>
      </c>
      <c r="J205" s="68">
        <f>4.6661 * CHOOSE(CONTROL!$C$22, $C$13, 100%, $E$13)</f>
        <v>4.6661000000000001</v>
      </c>
      <c r="K205" s="68">
        <f>4.6694 * CHOOSE(CONTROL!$C$22, $C$13, 100%, $E$13)</f>
        <v>4.6694000000000004</v>
      </c>
    </row>
    <row r="206" spans="1:11" ht="15">
      <c r="A206" s="13">
        <v>47392</v>
      </c>
      <c r="B206" s="67">
        <f>3.9325 * CHOOSE(CONTROL!$C$22, $C$13, 100%, $E$13)</f>
        <v>3.9325000000000001</v>
      </c>
      <c r="C206" s="67">
        <f>3.9325 * CHOOSE(CONTROL!$C$22, $C$13, 100%, $E$13)</f>
        <v>3.9325000000000001</v>
      </c>
      <c r="D206" s="67">
        <f>3.9335 * CHOOSE(CONTROL!$C$22, $C$13, 100%, $E$13)</f>
        <v>3.9335</v>
      </c>
      <c r="E206" s="68">
        <f>4.6838 * CHOOSE(CONTROL!$C$22, $C$13, 100%, $E$13)</f>
        <v>4.6837999999999997</v>
      </c>
      <c r="F206" s="68">
        <f>4.6838 * CHOOSE(CONTROL!$C$22, $C$13, 100%, $E$13)</f>
        <v>4.6837999999999997</v>
      </c>
      <c r="G206" s="68">
        <f>4.6851 * CHOOSE(CONTROL!$C$22, $C$13, 100%, $E$13)</f>
        <v>4.6851000000000003</v>
      </c>
      <c r="H206" s="68">
        <f>7.7373* CHOOSE(CONTROL!$C$22, $C$13, 100%, $E$13)</f>
        <v>7.7373000000000003</v>
      </c>
      <c r="I206" s="68">
        <f>7.7385 * CHOOSE(CONTROL!$C$22, $C$13, 100%, $E$13)</f>
        <v>7.7385000000000002</v>
      </c>
      <c r="J206" s="68">
        <f>4.6838 * CHOOSE(CONTROL!$C$22, $C$13, 100%, $E$13)</f>
        <v>4.6837999999999997</v>
      </c>
      <c r="K206" s="68">
        <f>4.6851 * CHOOSE(CONTROL!$C$22, $C$13, 100%, $E$13)</f>
        <v>4.6851000000000003</v>
      </c>
    </row>
    <row r="207" spans="1:11" ht="15">
      <c r="A207" s="13">
        <v>47423</v>
      </c>
      <c r="B207" s="67">
        <f>3.9355 * CHOOSE(CONTROL!$C$22, $C$13, 100%, $E$13)</f>
        <v>3.9355000000000002</v>
      </c>
      <c r="C207" s="67">
        <f>3.9355 * CHOOSE(CONTROL!$C$22, $C$13, 100%, $E$13)</f>
        <v>3.9355000000000002</v>
      </c>
      <c r="D207" s="67">
        <f>3.9365 * CHOOSE(CONTROL!$C$22, $C$13, 100%, $E$13)</f>
        <v>3.9365000000000001</v>
      </c>
      <c r="E207" s="68">
        <f>4.7015 * CHOOSE(CONTROL!$C$22, $C$13, 100%, $E$13)</f>
        <v>4.7015000000000002</v>
      </c>
      <c r="F207" s="68">
        <f>4.7015 * CHOOSE(CONTROL!$C$22, $C$13, 100%, $E$13)</f>
        <v>4.7015000000000002</v>
      </c>
      <c r="G207" s="68">
        <f>4.7028 * CHOOSE(CONTROL!$C$22, $C$13, 100%, $E$13)</f>
        <v>4.7027999999999999</v>
      </c>
      <c r="H207" s="68">
        <f>7.7534* CHOOSE(CONTROL!$C$22, $C$13, 100%, $E$13)</f>
        <v>7.7534000000000001</v>
      </c>
      <c r="I207" s="68">
        <f>7.7547 * CHOOSE(CONTROL!$C$22, $C$13, 100%, $E$13)</f>
        <v>7.7546999999999997</v>
      </c>
      <c r="J207" s="68">
        <f>4.7015 * CHOOSE(CONTROL!$C$22, $C$13, 100%, $E$13)</f>
        <v>4.7015000000000002</v>
      </c>
      <c r="K207" s="68">
        <f>4.7028 * CHOOSE(CONTROL!$C$22, $C$13, 100%, $E$13)</f>
        <v>4.7027999999999999</v>
      </c>
    </row>
    <row r="208" spans="1:11" ht="15">
      <c r="A208" s="13">
        <v>47453</v>
      </c>
      <c r="B208" s="67">
        <f>3.9355 * CHOOSE(CONTROL!$C$22, $C$13, 100%, $E$13)</f>
        <v>3.9355000000000002</v>
      </c>
      <c r="C208" s="67">
        <f>3.9355 * CHOOSE(CONTROL!$C$22, $C$13, 100%, $E$13)</f>
        <v>3.9355000000000002</v>
      </c>
      <c r="D208" s="67">
        <f>3.9365 * CHOOSE(CONTROL!$C$22, $C$13, 100%, $E$13)</f>
        <v>3.9365000000000001</v>
      </c>
      <c r="E208" s="68">
        <f>4.6626 * CHOOSE(CONTROL!$C$22, $C$13, 100%, $E$13)</f>
        <v>4.6626000000000003</v>
      </c>
      <c r="F208" s="68">
        <f>4.6626 * CHOOSE(CONTROL!$C$22, $C$13, 100%, $E$13)</f>
        <v>4.6626000000000003</v>
      </c>
      <c r="G208" s="68">
        <f>4.6639 * CHOOSE(CONTROL!$C$22, $C$13, 100%, $E$13)</f>
        <v>4.6638999999999999</v>
      </c>
      <c r="H208" s="68">
        <f>7.7695* CHOOSE(CONTROL!$C$22, $C$13, 100%, $E$13)</f>
        <v>7.7694999999999999</v>
      </c>
      <c r="I208" s="68">
        <f>7.7708 * CHOOSE(CONTROL!$C$22, $C$13, 100%, $E$13)</f>
        <v>7.7708000000000004</v>
      </c>
      <c r="J208" s="68">
        <f>4.6626 * CHOOSE(CONTROL!$C$22, $C$13, 100%, $E$13)</f>
        <v>4.6626000000000003</v>
      </c>
      <c r="K208" s="68">
        <f>4.6639 * CHOOSE(CONTROL!$C$22, $C$13, 100%, $E$13)</f>
        <v>4.6638999999999999</v>
      </c>
    </row>
    <row r="209" spans="1:11" ht="15">
      <c r="A209" s="13">
        <v>47484</v>
      </c>
      <c r="B209" s="67">
        <f>3.9695 * CHOOSE(CONTROL!$C$22, $C$13, 100%, $E$13)</f>
        <v>3.9695</v>
      </c>
      <c r="C209" s="67">
        <f>3.9695 * CHOOSE(CONTROL!$C$22, $C$13, 100%, $E$13)</f>
        <v>3.9695</v>
      </c>
      <c r="D209" s="67">
        <f>3.9705 * CHOOSE(CONTROL!$C$22, $C$13, 100%, $E$13)</f>
        <v>3.9704999999999999</v>
      </c>
      <c r="E209" s="68">
        <f>4.7284 * CHOOSE(CONTROL!$C$22, $C$13, 100%, $E$13)</f>
        <v>4.7283999999999997</v>
      </c>
      <c r="F209" s="68">
        <f>4.7284 * CHOOSE(CONTROL!$C$22, $C$13, 100%, $E$13)</f>
        <v>4.7283999999999997</v>
      </c>
      <c r="G209" s="68">
        <f>4.7297 * CHOOSE(CONTROL!$C$22, $C$13, 100%, $E$13)</f>
        <v>4.7297000000000002</v>
      </c>
      <c r="H209" s="68">
        <f>7.7857* CHOOSE(CONTROL!$C$22, $C$13, 100%, $E$13)</f>
        <v>7.7857000000000003</v>
      </c>
      <c r="I209" s="68">
        <f>7.787 * CHOOSE(CONTROL!$C$22, $C$13, 100%, $E$13)</f>
        <v>7.7869999999999999</v>
      </c>
      <c r="J209" s="68">
        <f>4.7284 * CHOOSE(CONTROL!$C$22, $C$13, 100%, $E$13)</f>
        <v>4.7283999999999997</v>
      </c>
      <c r="K209" s="68">
        <f>4.7297 * CHOOSE(CONTROL!$C$22, $C$13, 100%, $E$13)</f>
        <v>4.7297000000000002</v>
      </c>
    </row>
    <row r="210" spans="1:11" ht="15">
      <c r="A210" s="13">
        <v>47515</v>
      </c>
      <c r="B210" s="67">
        <f>3.9664 * CHOOSE(CONTROL!$C$22, $C$13, 100%, $E$13)</f>
        <v>3.9664000000000001</v>
      </c>
      <c r="C210" s="67">
        <f>3.9664 * CHOOSE(CONTROL!$C$22, $C$13, 100%, $E$13)</f>
        <v>3.9664000000000001</v>
      </c>
      <c r="D210" s="67">
        <f>3.9674 * CHOOSE(CONTROL!$C$22, $C$13, 100%, $E$13)</f>
        <v>3.9674</v>
      </c>
      <c r="E210" s="68">
        <f>4.6508 * CHOOSE(CONTROL!$C$22, $C$13, 100%, $E$13)</f>
        <v>4.6508000000000003</v>
      </c>
      <c r="F210" s="68">
        <f>4.6508 * CHOOSE(CONTROL!$C$22, $C$13, 100%, $E$13)</f>
        <v>4.6508000000000003</v>
      </c>
      <c r="G210" s="68">
        <f>4.6521 * CHOOSE(CONTROL!$C$22, $C$13, 100%, $E$13)</f>
        <v>4.6520999999999999</v>
      </c>
      <c r="H210" s="68">
        <f>7.8019* CHOOSE(CONTROL!$C$22, $C$13, 100%, $E$13)</f>
        <v>7.8018999999999998</v>
      </c>
      <c r="I210" s="68">
        <f>7.8032 * CHOOSE(CONTROL!$C$22, $C$13, 100%, $E$13)</f>
        <v>7.8032000000000004</v>
      </c>
      <c r="J210" s="68">
        <f>4.6508 * CHOOSE(CONTROL!$C$22, $C$13, 100%, $E$13)</f>
        <v>4.6508000000000003</v>
      </c>
      <c r="K210" s="68">
        <f>4.6521 * CHOOSE(CONTROL!$C$22, $C$13, 100%, $E$13)</f>
        <v>4.6520999999999999</v>
      </c>
    </row>
    <row r="211" spans="1:11" ht="15">
      <c r="A211" s="13">
        <v>47543</v>
      </c>
      <c r="B211" s="67">
        <f>3.9634 * CHOOSE(CONTROL!$C$22, $C$13, 100%, $E$13)</f>
        <v>3.9634</v>
      </c>
      <c r="C211" s="67">
        <f>3.9634 * CHOOSE(CONTROL!$C$22, $C$13, 100%, $E$13)</f>
        <v>3.9634</v>
      </c>
      <c r="D211" s="67">
        <f>3.9644 * CHOOSE(CONTROL!$C$22, $C$13, 100%, $E$13)</f>
        <v>3.9643999999999999</v>
      </c>
      <c r="E211" s="68">
        <f>4.7082 * CHOOSE(CONTROL!$C$22, $C$13, 100%, $E$13)</f>
        <v>4.7081999999999997</v>
      </c>
      <c r="F211" s="68">
        <f>4.7082 * CHOOSE(CONTROL!$C$22, $C$13, 100%, $E$13)</f>
        <v>4.7081999999999997</v>
      </c>
      <c r="G211" s="68">
        <f>4.7095 * CHOOSE(CONTROL!$C$22, $C$13, 100%, $E$13)</f>
        <v>4.7095000000000002</v>
      </c>
      <c r="H211" s="68">
        <f>7.8182* CHOOSE(CONTROL!$C$22, $C$13, 100%, $E$13)</f>
        <v>7.8182</v>
      </c>
      <c r="I211" s="68">
        <f>7.8195 * CHOOSE(CONTROL!$C$22, $C$13, 100%, $E$13)</f>
        <v>7.8194999999999997</v>
      </c>
      <c r="J211" s="68">
        <f>4.7082 * CHOOSE(CONTROL!$C$22, $C$13, 100%, $E$13)</f>
        <v>4.7081999999999997</v>
      </c>
      <c r="K211" s="68">
        <f>4.7095 * CHOOSE(CONTROL!$C$22, $C$13, 100%, $E$13)</f>
        <v>4.7095000000000002</v>
      </c>
    </row>
    <row r="212" spans="1:11" ht="15">
      <c r="A212" s="13">
        <v>47574</v>
      </c>
      <c r="B212" s="67">
        <f>3.961 * CHOOSE(CONTROL!$C$22, $C$13, 100%, $E$13)</f>
        <v>3.9609999999999999</v>
      </c>
      <c r="C212" s="67">
        <f>3.961 * CHOOSE(CONTROL!$C$22, $C$13, 100%, $E$13)</f>
        <v>3.9609999999999999</v>
      </c>
      <c r="D212" s="67">
        <f>3.962 * CHOOSE(CONTROL!$C$22, $C$13, 100%, $E$13)</f>
        <v>3.9620000000000002</v>
      </c>
      <c r="E212" s="68">
        <f>4.7679 * CHOOSE(CONTROL!$C$22, $C$13, 100%, $E$13)</f>
        <v>4.7679</v>
      </c>
      <c r="F212" s="68">
        <f>4.7679 * CHOOSE(CONTROL!$C$22, $C$13, 100%, $E$13)</f>
        <v>4.7679</v>
      </c>
      <c r="G212" s="68">
        <f>4.7692 * CHOOSE(CONTROL!$C$22, $C$13, 100%, $E$13)</f>
        <v>4.7691999999999997</v>
      </c>
      <c r="H212" s="68">
        <f>7.8345* CHOOSE(CONTROL!$C$22, $C$13, 100%, $E$13)</f>
        <v>7.8345000000000002</v>
      </c>
      <c r="I212" s="68">
        <f>7.8358 * CHOOSE(CONTROL!$C$22, $C$13, 100%, $E$13)</f>
        <v>7.8357999999999999</v>
      </c>
      <c r="J212" s="68">
        <f>4.7679 * CHOOSE(CONTROL!$C$22, $C$13, 100%, $E$13)</f>
        <v>4.7679</v>
      </c>
      <c r="K212" s="68">
        <f>4.7692 * CHOOSE(CONTROL!$C$22, $C$13, 100%, $E$13)</f>
        <v>4.7691999999999997</v>
      </c>
    </row>
    <row r="213" spans="1:11" ht="15">
      <c r="A213" s="13">
        <v>47604</v>
      </c>
      <c r="B213" s="67">
        <f>3.961 * CHOOSE(CONTROL!$C$22, $C$13, 100%, $E$13)</f>
        <v>3.9609999999999999</v>
      </c>
      <c r="C213" s="67">
        <f>3.961 * CHOOSE(CONTROL!$C$22, $C$13, 100%, $E$13)</f>
        <v>3.9609999999999999</v>
      </c>
      <c r="D213" s="67">
        <f>3.9636 * CHOOSE(CONTROL!$C$22, $C$13, 100%, $E$13)</f>
        <v>3.9636</v>
      </c>
      <c r="E213" s="68">
        <f>4.7918 * CHOOSE(CONTROL!$C$22, $C$13, 100%, $E$13)</f>
        <v>4.7918000000000003</v>
      </c>
      <c r="F213" s="68">
        <f>4.7918 * CHOOSE(CONTROL!$C$22, $C$13, 100%, $E$13)</f>
        <v>4.7918000000000003</v>
      </c>
      <c r="G213" s="68">
        <f>4.7951 * CHOOSE(CONTROL!$C$22, $C$13, 100%, $E$13)</f>
        <v>4.7950999999999997</v>
      </c>
      <c r="H213" s="68">
        <f>7.8508* CHOOSE(CONTROL!$C$22, $C$13, 100%, $E$13)</f>
        <v>7.8507999999999996</v>
      </c>
      <c r="I213" s="68">
        <f>7.8541 * CHOOSE(CONTROL!$C$22, $C$13, 100%, $E$13)</f>
        <v>7.8540999999999999</v>
      </c>
      <c r="J213" s="68">
        <f>4.7918 * CHOOSE(CONTROL!$C$22, $C$13, 100%, $E$13)</f>
        <v>4.7918000000000003</v>
      </c>
      <c r="K213" s="68">
        <f>4.7951 * CHOOSE(CONTROL!$C$22, $C$13, 100%, $E$13)</f>
        <v>4.7950999999999997</v>
      </c>
    </row>
    <row r="214" spans="1:11" ht="15">
      <c r="A214" s="13">
        <v>47635</v>
      </c>
      <c r="B214" s="67">
        <f>3.9671 * CHOOSE(CONTROL!$C$22, $C$13, 100%, $E$13)</f>
        <v>3.9670999999999998</v>
      </c>
      <c r="C214" s="67">
        <f>3.9671 * CHOOSE(CONTROL!$C$22, $C$13, 100%, $E$13)</f>
        <v>3.9670999999999998</v>
      </c>
      <c r="D214" s="67">
        <f>3.9697 * CHOOSE(CONTROL!$C$22, $C$13, 100%, $E$13)</f>
        <v>3.9697</v>
      </c>
      <c r="E214" s="68">
        <f>4.7721 * CHOOSE(CONTROL!$C$22, $C$13, 100%, $E$13)</f>
        <v>4.7721</v>
      </c>
      <c r="F214" s="68">
        <f>4.7721 * CHOOSE(CONTROL!$C$22, $C$13, 100%, $E$13)</f>
        <v>4.7721</v>
      </c>
      <c r="G214" s="68">
        <f>4.7754 * CHOOSE(CONTROL!$C$22, $C$13, 100%, $E$13)</f>
        <v>4.7754000000000003</v>
      </c>
      <c r="H214" s="68">
        <f>7.8672* CHOOSE(CONTROL!$C$22, $C$13, 100%, $E$13)</f>
        <v>7.8672000000000004</v>
      </c>
      <c r="I214" s="68">
        <f>7.8704 * CHOOSE(CONTROL!$C$22, $C$13, 100%, $E$13)</f>
        <v>7.8704000000000001</v>
      </c>
      <c r="J214" s="68">
        <f>4.7721 * CHOOSE(CONTROL!$C$22, $C$13, 100%, $E$13)</f>
        <v>4.7721</v>
      </c>
      <c r="K214" s="68">
        <f>4.7754 * CHOOSE(CONTROL!$C$22, $C$13, 100%, $E$13)</f>
        <v>4.7754000000000003</v>
      </c>
    </row>
    <row r="215" spans="1:11" ht="15">
      <c r="A215" s="13">
        <v>47665</v>
      </c>
      <c r="B215" s="67">
        <f>4.0298 * CHOOSE(CONTROL!$C$22, $C$13, 100%, $E$13)</f>
        <v>4.0297999999999998</v>
      </c>
      <c r="C215" s="67">
        <f>4.0298 * CHOOSE(CONTROL!$C$22, $C$13, 100%, $E$13)</f>
        <v>4.0297999999999998</v>
      </c>
      <c r="D215" s="67">
        <f>4.0324 * CHOOSE(CONTROL!$C$22, $C$13, 100%, $E$13)</f>
        <v>4.0324</v>
      </c>
      <c r="E215" s="68">
        <f>4.8562 * CHOOSE(CONTROL!$C$22, $C$13, 100%, $E$13)</f>
        <v>4.8562000000000003</v>
      </c>
      <c r="F215" s="68">
        <f>4.8562 * CHOOSE(CONTROL!$C$22, $C$13, 100%, $E$13)</f>
        <v>4.8562000000000003</v>
      </c>
      <c r="G215" s="68">
        <f>4.8594 * CHOOSE(CONTROL!$C$22, $C$13, 100%, $E$13)</f>
        <v>4.8593999999999999</v>
      </c>
      <c r="H215" s="68">
        <f>7.8835* CHOOSE(CONTROL!$C$22, $C$13, 100%, $E$13)</f>
        <v>7.8834999999999997</v>
      </c>
      <c r="I215" s="68">
        <f>7.8868 * CHOOSE(CONTROL!$C$22, $C$13, 100%, $E$13)</f>
        <v>7.8868</v>
      </c>
      <c r="J215" s="68">
        <f>4.8562 * CHOOSE(CONTROL!$C$22, $C$13, 100%, $E$13)</f>
        <v>4.8562000000000003</v>
      </c>
      <c r="K215" s="68">
        <f>4.8594 * CHOOSE(CONTROL!$C$22, $C$13, 100%, $E$13)</f>
        <v>4.8593999999999999</v>
      </c>
    </row>
    <row r="216" spans="1:11" ht="15">
      <c r="A216" s="13">
        <v>47696</v>
      </c>
      <c r="B216" s="67">
        <f>4.0365 * CHOOSE(CONTROL!$C$22, $C$13, 100%, $E$13)</f>
        <v>4.0365000000000002</v>
      </c>
      <c r="C216" s="67">
        <f>4.0365 * CHOOSE(CONTROL!$C$22, $C$13, 100%, $E$13)</f>
        <v>4.0365000000000002</v>
      </c>
      <c r="D216" s="67">
        <f>4.0391 * CHOOSE(CONTROL!$C$22, $C$13, 100%, $E$13)</f>
        <v>4.0391000000000004</v>
      </c>
      <c r="E216" s="68">
        <f>4.7889 * CHOOSE(CONTROL!$C$22, $C$13, 100%, $E$13)</f>
        <v>4.7888999999999999</v>
      </c>
      <c r="F216" s="68">
        <f>4.7889 * CHOOSE(CONTROL!$C$22, $C$13, 100%, $E$13)</f>
        <v>4.7888999999999999</v>
      </c>
      <c r="G216" s="68">
        <f>4.7922 * CHOOSE(CONTROL!$C$22, $C$13, 100%, $E$13)</f>
        <v>4.7922000000000002</v>
      </c>
      <c r="H216" s="68">
        <f>7.9* CHOOSE(CONTROL!$C$22, $C$13, 100%, $E$13)</f>
        <v>7.9</v>
      </c>
      <c r="I216" s="68">
        <f>7.9032 * CHOOSE(CONTROL!$C$22, $C$13, 100%, $E$13)</f>
        <v>7.9032</v>
      </c>
      <c r="J216" s="68">
        <f>4.7889 * CHOOSE(CONTROL!$C$22, $C$13, 100%, $E$13)</f>
        <v>4.7888999999999999</v>
      </c>
      <c r="K216" s="68">
        <f>4.7922 * CHOOSE(CONTROL!$C$22, $C$13, 100%, $E$13)</f>
        <v>4.7922000000000002</v>
      </c>
    </row>
    <row r="217" spans="1:11" ht="15">
      <c r="A217" s="13">
        <v>47727</v>
      </c>
      <c r="B217" s="67">
        <f>4.0334 * CHOOSE(CONTROL!$C$22, $C$13, 100%, $E$13)</f>
        <v>4.0334000000000003</v>
      </c>
      <c r="C217" s="67">
        <f>4.0334 * CHOOSE(CONTROL!$C$22, $C$13, 100%, $E$13)</f>
        <v>4.0334000000000003</v>
      </c>
      <c r="D217" s="67">
        <f>4.0361 * CHOOSE(CONTROL!$C$22, $C$13, 100%, $E$13)</f>
        <v>4.0361000000000002</v>
      </c>
      <c r="E217" s="68">
        <f>4.7788 * CHOOSE(CONTROL!$C$22, $C$13, 100%, $E$13)</f>
        <v>4.7788000000000004</v>
      </c>
      <c r="F217" s="68">
        <f>4.7788 * CHOOSE(CONTROL!$C$22, $C$13, 100%, $E$13)</f>
        <v>4.7788000000000004</v>
      </c>
      <c r="G217" s="68">
        <f>4.7821 * CHOOSE(CONTROL!$C$22, $C$13, 100%, $E$13)</f>
        <v>4.7820999999999998</v>
      </c>
      <c r="H217" s="68">
        <f>7.9164* CHOOSE(CONTROL!$C$22, $C$13, 100%, $E$13)</f>
        <v>7.9164000000000003</v>
      </c>
      <c r="I217" s="68">
        <f>7.9197 * CHOOSE(CONTROL!$C$22, $C$13, 100%, $E$13)</f>
        <v>7.9196999999999997</v>
      </c>
      <c r="J217" s="68">
        <f>4.7788 * CHOOSE(CONTROL!$C$22, $C$13, 100%, $E$13)</f>
        <v>4.7788000000000004</v>
      </c>
      <c r="K217" s="68">
        <f>4.7821 * CHOOSE(CONTROL!$C$22, $C$13, 100%, $E$13)</f>
        <v>4.7820999999999998</v>
      </c>
    </row>
    <row r="218" spans="1:11" ht="15">
      <c r="A218" s="13">
        <v>47757</v>
      </c>
      <c r="B218" s="67">
        <f>4.0286 * CHOOSE(CONTROL!$C$22, $C$13, 100%, $E$13)</f>
        <v>4.0286</v>
      </c>
      <c r="C218" s="67">
        <f>4.0286 * CHOOSE(CONTROL!$C$22, $C$13, 100%, $E$13)</f>
        <v>4.0286</v>
      </c>
      <c r="D218" s="67">
        <f>4.0295 * CHOOSE(CONTROL!$C$22, $C$13, 100%, $E$13)</f>
        <v>4.0294999999999996</v>
      </c>
      <c r="E218" s="68">
        <f>4.7974 * CHOOSE(CONTROL!$C$22, $C$13, 100%, $E$13)</f>
        <v>4.7973999999999997</v>
      </c>
      <c r="F218" s="68">
        <f>4.7974 * CHOOSE(CONTROL!$C$22, $C$13, 100%, $E$13)</f>
        <v>4.7973999999999997</v>
      </c>
      <c r="G218" s="68">
        <f>4.7987 * CHOOSE(CONTROL!$C$22, $C$13, 100%, $E$13)</f>
        <v>4.7987000000000002</v>
      </c>
      <c r="H218" s="68">
        <f>7.9329* CHOOSE(CONTROL!$C$22, $C$13, 100%, $E$13)</f>
        <v>7.9329000000000001</v>
      </c>
      <c r="I218" s="68">
        <f>7.9342 * CHOOSE(CONTROL!$C$22, $C$13, 100%, $E$13)</f>
        <v>7.9341999999999997</v>
      </c>
      <c r="J218" s="68">
        <f>4.7974 * CHOOSE(CONTROL!$C$22, $C$13, 100%, $E$13)</f>
        <v>4.7973999999999997</v>
      </c>
      <c r="K218" s="68">
        <f>4.7987 * CHOOSE(CONTROL!$C$22, $C$13, 100%, $E$13)</f>
        <v>4.7987000000000002</v>
      </c>
    </row>
    <row r="219" spans="1:11" ht="15">
      <c r="A219" s="13">
        <v>47788</v>
      </c>
      <c r="B219" s="67">
        <f>4.0316 * CHOOSE(CONTROL!$C$22, $C$13, 100%, $E$13)</f>
        <v>4.0316000000000001</v>
      </c>
      <c r="C219" s="67">
        <f>4.0316 * CHOOSE(CONTROL!$C$22, $C$13, 100%, $E$13)</f>
        <v>4.0316000000000001</v>
      </c>
      <c r="D219" s="67">
        <f>4.0326 * CHOOSE(CONTROL!$C$22, $C$13, 100%, $E$13)</f>
        <v>4.0326000000000004</v>
      </c>
      <c r="E219" s="68">
        <f>4.8155 * CHOOSE(CONTROL!$C$22, $C$13, 100%, $E$13)</f>
        <v>4.8155000000000001</v>
      </c>
      <c r="F219" s="68">
        <f>4.8155 * CHOOSE(CONTROL!$C$22, $C$13, 100%, $E$13)</f>
        <v>4.8155000000000001</v>
      </c>
      <c r="G219" s="68">
        <f>4.8167 * CHOOSE(CONTROL!$C$22, $C$13, 100%, $E$13)</f>
        <v>4.8167</v>
      </c>
      <c r="H219" s="68">
        <f>7.9495* CHOOSE(CONTROL!$C$22, $C$13, 100%, $E$13)</f>
        <v>7.9494999999999996</v>
      </c>
      <c r="I219" s="68">
        <f>7.9507 * CHOOSE(CONTROL!$C$22, $C$13, 100%, $E$13)</f>
        <v>7.9507000000000003</v>
      </c>
      <c r="J219" s="68">
        <f>4.8155 * CHOOSE(CONTROL!$C$22, $C$13, 100%, $E$13)</f>
        <v>4.8155000000000001</v>
      </c>
      <c r="K219" s="68">
        <f>4.8167 * CHOOSE(CONTROL!$C$22, $C$13, 100%, $E$13)</f>
        <v>4.8167</v>
      </c>
    </row>
    <row r="220" spans="1:11" ht="15">
      <c r="A220" s="13">
        <v>47818</v>
      </c>
      <c r="B220" s="67">
        <f>4.0316 * CHOOSE(CONTROL!$C$22, $C$13, 100%, $E$13)</f>
        <v>4.0316000000000001</v>
      </c>
      <c r="C220" s="67">
        <f>4.0316 * CHOOSE(CONTROL!$C$22, $C$13, 100%, $E$13)</f>
        <v>4.0316000000000001</v>
      </c>
      <c r="D220" s="67">
        <f>4.0326 * CHOOSE(CONTROL!$C$22, $C$13, 100%, $E$13)</f>
        <v>4.0326000000000004</v>
      </c>
      <c r="E220" s="68">
        <f>4.7755 * CHOOSE(CONTROL!$C$22, $C$13, 100%, $E$13)</f>
        <v>4.7755000000000001</v>
      </c>
      <c r="F220" s="68">
        <f>4.7755 * CHOOSE(CONTROL!$C$22, $C$13, 100%, $E$13)</f>
        <v>4.7755000000000001</v>
      </c>
      <c r="G220" s="68">
        <f>4.7768 * CHOOSE(CONTROL!$C$22, $C$13, 100%, $E$13)</f>
        <v>4.7767999999999997</v>
      </c>
      <c r="H220" s="68">
        <f>7.966* CHOOSE(CONTROL!$C$22, $C$13, 100%, $E$13)</f>
        <v>7.9660000000000002</v>
      </c>
      <c r="I220" s="68">
        <f>7.9673 * CHOOSE(CONTROL!$C$22, $C$13, 100%, $E$13)</f>
        <v>7.9672999999999998</v>
      </c>
      <c r="J220" s="68">
        <f>4.7755 * CHOOSE(CONTROL!$C$22, $C$13, 100%, $E$13)</f>
        <v>4.7755000000000001</v>
      </c>
      <c r="K220" s="68">
        <f>4.7768 * CHOOSE(CONTROL!$C$22, $C$13, 100%, $E$13)</f>
        <v>4.7767999999999997</v>
      </c>
    </row>
    <row r="221" spans="1:11" ht="15">
      <c r="A221" s="13">
        <v>47849</v>
      </c>
      <c r="B221" s="67">
        <f>4.065 * CHOOSE(CONTROL!$C$22, $C$13, 100%, $E$13)</f>
        <v>4.0650000000000004</v>
      </c>
      <c r="C221" s="67">
        <f>4.065 * CHOOSE(CONTROL!$C$22, $C$13, 100%, $E$13)</f>
        <v>4.0650000000000004</v>
      </c>
      <c r="D221" s="67">
        <f>4.066 * CHOOSE(CONTROL!$C$22, $C$13, 100%, $E$13)</f>
        <v>4.0659999999999998</v>
      </c>
      <c r="E221" s="68">
        <f>4.8568 * CHOOSE(CONTROL!$C$22, $C$13, 100%, $E$13)</f>
        <v>4.8567999999999998</v>
      </c>
      <c r="F221" s="68">
        <f>4.8568 * CHOOSE(CONTROL!$C$22, $C$13, 100%, $E$13)</f>
        <v>4.8567999999999998</v>
      </c>
      <c r="G221" s="68">
        <f>4.8581 * CHOOSE(CONTROL!$C$22, $C$13, 100%, $E$13)</f>
        <v>4.8581000000000003</v>
      </c>
      <c r="H221" s="68">
        <f>7.9826* CHOOSE(CONTROL!$C$22, $C$13, 100%, $E$13)</f>
        <v>7.9825999999999997</v>
      </c>
      <c r="I221" s="68">
        <f>7.9839 * CHOOSE(CONTROL!$C$22, $C$13, 100%, $E$13)</f>
        <v>7.9839000000000002</v>
      </c>
      <c r="J221" s="68">
        <f>4.8568 * CHOOSE(CONTROL!$C$22, $C$13, 100%, $E$13)</f>
        <v>4.8567999999999998</v>
      </c>
      <c r="K221" s="68">
        <f>4.8581 * CHOOSE(CONTROL!$C$22, $C$13, 100%, $E$13)</f>
        <v>4.8581000000000003</v>
      </c>
    </row>
    <row r="222" spans="1:11" ht="15">
      <c r="A222" s="13">
        <v>47880</v>
      </c>
      <c r="B222" s="67">
        <f>4.062 * CHOOSE(CONTROL!$C$22, $C$13, 100%, $E$13)</f>
        <v>4.0620000000000003</v>
      </c>
      <c r="C222" s="67">
        <f>4.062 * CHOOSE(CONTROL!$C$22, $C$13, 100%, $E$13)</f>
        <v>4.0620000000000003</v>
      </c>
      <c r="D222" s="67">
        <f>4.063 * CHOOSE(CONTROL!$C$22, $C$13, 100%, $E$13)</f>
        <v>4.0629999999999997</v>
      </c>
      <c r="E222" s="68">
        <f>4.7772 * CHOOSE(CONTROL!$C$22, $C$13, 100%, $E$13)</f>
        <v>4.7771999999999997</v>
      </c>
      <c r="F222" s="68">
        <f>4.7772 * CHOOSE(CONTROL!$C$22, $C$13, 100%, $E$13)</f>
        <v>4.7771999999999997</v>
      </c>
      <c r="G222" s="68">
        <f>4.7785 * CHOOSE(CONTROL!$C$22, $C$13, 100%, $E$13)</f>
        <v>4.7785000000000002</v>
      </c>
      <c r="H222" s="68">
        <f>7.9992* CHOOSE(CONTROL!$C$22, $C$13, 100%, $E$13)</f>
        <v>7.9992000000000001</v>
      </c>
      <c r="I222" s="68">
        <f>8.0005 * CHOOSE(CONTROL!$C$22, $C$13, 100%, $E$13)</f>
        <v>8.0005000000000006</v>
      </c>
      <c r="J222" s="68">
        <f>4.7772 * CHOOSE(CONTROL!$C$22, $C$13, 100%, $E$13)</f>
        <v>4.7771999999999997</v>
      </c>
      <c r="K222" s="68">
        <f>4.7785 * CHOOSE(CONTROL!$C$22, $C$13, 100%, $E$13)</f>
        <v>4.7785000000000002</v>
      </c>
    </row>
    <row r="223" spans="1:11" ht="15">
      <c r="A223" s="13">
        <v>47908</v>
      </c>
      <c r="B223" s="67">
        <f>4.059 * CHOOSE(CONTROL!$C$22, $C$13, 100%, $E$13)</f>
        <v>4.0590000000000002</v>
      </c>
      <c r="C223" s="67">
        <f>4.059 * CHOOSE(CONTROL!$C$22, $C$13, 100%, $E$13)</f>
        <v>4.0590000000000002</v>
      </c>
      <c r="D223" s="67">
        <f>4.0599 * CHOOSE(CONTROL!$C$22, $C$13, 100%, $E$13)</f>
        <v>4.0598999999999998</v>
      </c>
      <c r="E223" s="68">
        <f>4.8362 * CHOOSE(CONTROL!$C$22, $C$13, 100%, $E$13)</f>
        <v>4.8361999999999998</v>
      </c>
      <c r="F223" s="68">
        <f>4.8362 * CHOOSE(CONTROL!$C$22, $C$13, 100%, $E$13)</f>
        <v>4.8361999999999998</v>
      </c>
      <c r="G223" s="68">
        <f>4.8374 * CHOOSE(CONTROL!$C$22, $C$13, 100%, $E$13)</f>
        <v>4.8373999999999997</v>
      </c>
      <c r="H223" s="68">
        <f>8.0159* CHOOSE(CONTROL!$C$22, $C$13, 100%, $E$13)</f>
        <v>8.0159000000000002</v>
      </c>
      <c r="I223" s="68">
        <f>8.0172 * CHOOSE(CONTROL!$C$22, $C$13, 100%, $E$13)</f>
        <v>8.0172000000000008</v>
      </c>
      <c r="J223" s="68">
        <f>4.8362 * CHOOSE(CONTROL!$C$22, $C$13, 100%, $E$13)</f>
        <v>4.8361999999999998</v>
      </c>
      <c r="K223" s="68">
        <f>4.8374 * CHOOSE(CONTROL!$C$22, $C$13, 100%, $E$13)</f>
        <v>4.8373999999999997</v>
      </c>
    </row>
    <row r="224" spans="1:11" ht="15">
      <c r="A224" s="13">
        <v>47939</v>
      </c>
      <c r="B224" s="67">
        <f>4.0567 * CHOOSE(CONTROL!$C$22, $C$13, 100%, $E$13)</f>
        <v>4.0567000000000002</v>
      </c>
      <c r="C224" s="67">
        <f>4.0567 * CHOOSE(CONTROL!$C$22, $C$13, 100%, $E$13)</f>
        <v>4.0567000000000002</v>
      </c>
      <c r="D224" s="67">
        <f>4.0576 * CHOOSE(CONTROL!$C$22, $C$13, 100%, $E$13)</f>
        <v>4.0575999999999999</v>
      </c>
      <c r="E224" s="68">
        <f>4.8975 * CHOOSE(CONTROL!$C$22, $C$13, 100%, $E$13)</f>
        <v>4.8975</v>
      </c>
      <c r="F224" s="68">
        <f>4.8975 * CHOOSE(CONTROL!$C$22, $C$13, 100%, $E$13)</f>
        <v>4.8975</v>
      </c>
      <c r="G224" s="68">
        <f>4.8988 * CHOOSE(CONTROL!$C$22, $C$13, 100%, $E$13)</f>
        <v>4.8987999999999996</v>
      </c>
      <c r="H224" s="68">
        <f>8.0326* CHOOSE(CONTROL!$C$22, $C$13, 100%, $E$13)</f>
        <v>8.0326000000000004</v>
      </c>
      <c r="I224" s="68">
        <f>8.0339 * CHOOSE(CONTROL!$C$22, $C$13, 100%, $E$13)</f>
        <v>8.0338999999999992</v>
      </c>
      <c r="J224" s="68">
        <f>4.8975 * CHOOSE(CONTROL!$C$22, $C$13, 100%, $E$13)</f>
        <v>4.8975</v>
      </c>
      <c r="K224" s="68">
        <f>4.8988 * CHOOSE(CONTROL!$C$22, $C$13, 100%, $E$13)</f>
        <v>4.8987999999999996</v>
      </c>
    </row>
    <row r="225" spans="1:11" ht="15">
      <c r="A225" s="13">
        <v>47969</v>
      </c>
      <c r="B225" s="67">
        <f>4.0567 * CHOOSE(CONTROL!$C$22, $C$13, 100%, $E$13)</f>
        <v>4.0567000000000002</v>
      </c>
      <c r="C225" s="67">
        <f>4.0567 * CHOOSE(CONTROL!$C$22, $C$13, 100%, $E$13)</f>
        <v>4.0567000000000002</v>
      </c>
      <c r="D225" s="67">
        <f>4.0593 * CHOOSE(CONTROL!$C$22, $C$13, 100%, $E$13)</f>
        <v>4.0593000000000004</v>
      </c>
      <c r="E225" s="68">
        <f>4.9221 * CHOOSE(CONTROL!$C$22, $C$13, 100%, $E$13)</f>
        <v>4.9221000000000004</v>
      </c>
      <c r="F225" s="68">
        <f>4.9221 * CHOOSE(CONTROL!$C$22, $C$13, 100%, $E$13)</f>
        <v>4.9221000000000004</v>
      </c>
      <c r="G225" s="68">
        <f>4.9253 * CHOOSE(CONTROL!$C$22, $C$13, 100%, $E$13)</f>
        <v>4.9253</v>
      </c>
      <c r="H225" s="68">
        <f>8.0493* CHOOSE(CONTROL!$C$22, $C$13, 100%, $E$13)</f>
        <v>8.0493000000000006</v>
      </c>
      <c r="I225" s="68">
        <f>8.0526 * CHOOSE(CONTROL!$C$22, $C$13, 100%, $E$13)</f>
        <v>8.0526</v>
      </c>
      <c r="J225" s="68">
        <f>4.9221 * CHOOSE(CONTROL!$C$22, $C$13, 100%, $E$13)</f>
        <v>4.9221000000000004</v>
      </c>
      <c r="K225" s="68">
        <f>4.9253 * CHOOSE(CONTROL!$C$22, $C$13, 100%, $E$13)</f>
        <v>4.9253</v>
      </c>
    </row>
    <row r="226" spans="1:11" ht="15">
      <c r="A226" s="13">
        <v>48000</v>
      </c>
      <c r="B226" s="67">
        <f>4.0627 * CHOOSE(CONTROL!$C$22, $C$13, 100%, $E$13)</f>
        <v>4.0627000000000004</v>
      </c>
      <c r="C226" s="67">
        <f>4.0627 * CHOOSE(CONTROL!$C$22, $C$13, 100%, $E$13)</f>
        <v>4.0627000000000004</v>
      </c>
      <c r="D226" s="67">
        <f>4.0654 * CHOOSE(CONTROL!$C$22, $C$13, 100%, $E$13)</f>
        <v>4.0654000000000003</v>
      </c>
      <c r="E226" s="68">
        <f>4.9017 * CHOOSE(CONTROL!$C$22, $C$13, 100%, $E$13)</f>
        <v>4.9016999999999999</v>
      </c>
      <c r="F226" s="68">
        <f>4.9017 * CHOOSE(CONTROL!$C$22, $C$13, 100%, $E$13)</f>
        <v>4.9016999999999999</v>
      </c>
      <c r="G226" s="68">
        <f>4.905 * CHOOSE(CONTROL!$C$22, $C$13, 100%, $E$13)</f>
        <v>4.9050000000000002</v>
      </c>
      <c r="H226" s="68">
        <f>8.0661* CHOOSE(CONTROL!$C$22, $C$13, 100%, $E$13)</f>
        <v>8.0661000000000005</v>
      </c>
      <c r="I226" s="68">
        <f>8.0694 * CHOOSE(CONTROL!$C$22, $C$13, 100%, $E$13)</f>
        <v>8.0693999999999999</v>
      </c>
      <c r="J226" s="68">
        <f>4.9017 * CHOOSE(CONTROL!$C$22, $C$13, 100%, $E$13)</f>
        <v>4.9016999999999999</v>
      </c>
      <c r="K226" s="68">
        <f>4.905 * CHOOSE(CONTROL!$C$22, $C$13, 100%, $E$13)</f>
        <v>4.9050000000000002</v>
      </c>
    </row>
    <row r="227" spans="1:11" ht="15">
      <c r="A227" s="13">
        <v>48030</v>
      </c>
      <c r="B227" s="67">
        <f>4.1241 * CHOOSE(CONTROL!$C$22, $C$13, 100%, $E$13)</f>
        <v>4.1241000000000003</v>
      </c>
      <c r="C227" s="67">
        <f>4.1241 * CHOOSE(CONTROL!$C$22, $C$13, 100%, $E$13)</f>
        <v>4.1241000000000003</v>
      </c>
      <c r="D227" s="67">
        <f>4.1267 * CHOOSE(CONTROL!$C$22, $C$13, 100%, $E$13)</f>
        <v>4.1266999999999996</v>
      </c>
      <c r="E227" s="68">
        <f>5.0209 * CHOOSE(CONTROL!$C$22, $C$13, 100%, $E$13)</f>
        <v>5.0209000000000001</v>
      </c>
      <c r="F227" s="68">
        <f>5.0209 * CHOOSE(CONTROL!$C$22, $C$13, 100%, $E$13)</f>
        <v>5.0209000000000001</v>
      </c>
      <c r="G227" s="68">
        <f>5.0242 * CHOOSE(CONTROL!$C$22, $C$13, 100%, $E$13)</f>
        <v>5.0242000000000004</v>
      </c>
      <c r="H227" s="68">
        <f>8.0829* CHOOSE(CONTROL!$C$22, $C$13, 100%, $E$13)</f>
        <v>8.0829000000000004</v>
      </c>
      <c r="I227" s="68">
        <f>8.0862 * CHOOSE(CONTROL!$C$22, $C$13, 100%, $E$13)</f>
        <v>8.0861999999999998</v>
      </c>
      <c r="J227" s="68">
        <f>5.0209 * CHOOSE(CONTROL!$C$22, $C$13, 100%, $E$13)</f>
        <v>5.0209000000000001</v>
      </c>
      <c r="K227" s="68">
        <f>5.0242 * CHOOSE(CONTROL!$C$22, $C$13, 100%, $E$13)</f>
        <v>5.0242000000000004</v>
      </c>
    </row>
    <row r="228" spans="1:11" ht="15">
      <c r="A228" s="13">
        <v>48061</v>
      </c>
      <c r="B228" s="67">
        <f>4.1308 * CHOOSE(CONTROL!$C$22, $C$13, 100%, $E$13)</f>
        <v>4.1307999999999998</v>
      </c>
      <c r="C228" s="67">
        <f>4.1308 * CHOOSE(CONTROL!$C$22, $C$13, 100%, $E$13)</f>
        <v>4.1307999999999998</v>
      </c>
      <c r="D228" s="67">
        <f>4.1334 * CHOOSE(CONTROL!$C$22, $C$13, 100%, $E$13)</f>
        <v>4.1334</v>
      </c>
      <c r="E228" s="68">
        <f>4.9519 * CHOOSE(CONTROL!$C$22, $C$13, 100%, $E$13)</f>
        <v>4.9519000000000002</v>
      </c>
      <c r="F228" s="68">
        <f>4.9519 * CHOOSE(CONTROL!$C$22, $C$13, 100%, $E$13)</f>
        <v>4.9519000000000002</v>
      </c>
      <c r="G228" s="68">
        <f>4.9551 * CHOOSE(CONTROL!$C$22, $C$13, 100%, $E$13)</f>
        <v>4.9550999999999998</v>
      </c>
      <c r="H228" s="68">
        <f>8.0998* CHOOSE(CONTROL!$C$22, $C$13, 100%, $E$13)</f>
        <v>8.0998000000000001</v>
      </c>
      <c r="I228" s="68">
        <f>8.103 * CHOOSE(CONTROL!$C$22, $C$13, 100%, $E$13)</f>
        <v>8.1029999999999998</v>
      </c>
      <c r="J228" s="68">
        <f>4.9519 * CHOOSE(CONTROL!$C$22, $C$13, 100%, $E$13)</f>
        <v>4.9519000000000002</v>
      </c>
      <c r="K228" s="68">
        <f>4.9551 * CHOOSE(CONTROL!$C$22, $C$13, 100%, $E$13)</f>
        <v>4.9550999999999998</v>
      </c>
    </row>
    <row r="229" spans="1:11" ht="15">
      <c r="A229" s="13">
        <v>48092</v>
      </c>
      <c r="B229" s="67">
        <f>4.1278 * CHOOSE(CONTROL!$C$22, $C$13, 100%, $E$13)</f>
        <v>4.1277999999999997</v>
      </c>
      <c r="C229" s="67">
        <f>4.1278 * CHOOSE(CONTROL!$C$22, $C$13, 100%, $E$13)</f>
        <v>4.1277999999999997</v>
      </c>
      <c r="D229" s="67">
        <f>4.1304 * CHOOSE(CONTROL!$C$22, $C$13, 100%, $E$13)</f>
        <v>4.1303999999999998</v>
      </c>
      <c r="E229" s="68">
        <f>4.9415 * CHOOSE(CONTROL!$C$22, $C$13, 100%, $E$13)</f>
        <v>4.9414999999999996</v>
      </c>
      <c r="F229" s="68">
        <f>4.9415 * CHOOSE(CONTROL!$C$22, $C$13, 100%, $E$13)</f>
        <v>4.9414999999999996</v>
      </c>
      <c r="G229" s="68">
        <f>4.9448 * CHOOSE(CONTROL!$C$22, $C$13, 100%, $E$13)</f>
        <v>4.9447999999999999</v>
      </c>
      <c r="H229" s="68">
        <f>8.1166* CHOOSE(CONTROL!$C$22, $C$13, 100%, $E$13)</f>
        <v>8.1166</v>
      </c>
      <c r="I229" s="68">
        <f>8.1199 * CHOOSE(CONTROL!$C$22, $C$13, 100%, $E$13)</f>
        <v>8.1198999999999995</v>
      </c>
      <c r="J229" s="68">
        <f>4.9415 * CHOOSE(CONTROL!$C$22, $C$13, 100%, $E$13)</f>
        <v>4.9414999999999996</v>
      </c>
      <c r="K229" s="68">
        <f>4.9448 * CHOOSE(CONTROL!$C$22, $C$13, 100%, $E$13)</f>
        <v>4.9447999999999999</v>
      </c>
    </row>
    <row r="230" spans="1:11" ht="15">
      <c r="A230" s="13">
        <v>48122</v>
      </c>
      <c r="B230" s="67">
        <f>4.1232 * CHOOSE(CONTROL!$C$22, $C$13, 100%, $E$13)</f>
        <v>4.1231999999999998</v>
      </c>
      <c r="C230" s="67">
        <f>4.1232 * CHOOSE(CONTROL!$C$22, $C$13, 100%, $E$13)</f>
        <v>4.1231999999999998</v>
      </c>
      <c r="D230" s="67">
        <f>4.1242 * CHOOSE(CONTROL!$C$22, $C$13, 100%, $E$13)</f>
        <v>4.1242000000000001</v>
      </c>
      <c r="E230" s="68">
        <f>4.9609 * CHOOSE(CONTROL!$C$22, $C$13, 100%, $E$13)</f>
        <v>4.9608999999999996</v>
      </c>
      <c r="F230" s="68">
        <f>4.9609 * CHOOSE(CONTROL!$C$22, $C$13, 100%, $E$13)</f>
        <v>4.9608999999999996</v>
      </c>
      <c r="G230" s="68">
        <f>4.9622 * CHOOSE(CONTROL!$C$22, $C$13, 100%, $E$13)</f>
        <v>4.9622000000000002</v>
      </c>
      <c r="H230" s="68">
        <f>8.1335* CHOOSE(CONTROL!$C$22, $C$13, 100%, $E$13)</f>
        <v>8.1334999999999997</v>
      </c>
      <c r="I230" s="68">
        <f>8.1348 * CHOOSE(CONTROL!$C$22, $C$13, 100%, $E$13)</f>
        <v>8.1348000000000003</v>
      </c>
      <c r="J230" s="68">
        <f>4.9609 * CHOOSE(CONTROL!$C$22, $C$13, 100%, $E$13)</f>
        <v>4.9608999999999996</v>
      </c>
      <c r="K230" s="68">
        <f>4.9622 * CHOOSE(CONTROL!$C$22, $C$13, 100%, $E$13)</f>
        <v>4.9622000000000002</v>
      </c>
    </row>
    <row r="231" spans="1:11" ht="15">
      <c r="A231" s="13">
        <v>48153</v>
      </c>
      <c r="B231" s="67">
        <f>4.1263 * CHOOSE(CONTROL!$C$22, $C$13, 100%, $E$13)</f>
        <v>4.1262999999999996</v>
      </c>
      <c r="C231" s="67">
        <f>4.1263 * CHOOSE(CONTROL!$C$22, $C$13, 100%, $E$13)</f>
        <v>4.1262999999999996</v>
      </c>
      <c r="D231" s="67">
        <f>4.1273 * CHOOSE(CONTROL!$C$22, $C$13, 100%, $E$13)</f>
        <v>4.1273</v>
      </c>
      <c r="E231" s="68">
        <f>4.9794 * CHOOSE(CONTROL!$C$22, $C$13, 100%, $E$13)</f>
        <v>4.9794</v>
      </c>
      <c r="F231" s="68">
        <f>4.9794 * CHOOSE(CONTROL!$C$22, $C$13, 100%, $E$13)</f>
        <v>4.9794</v>
      </c>
      <c r="G231" s="68">
        <f>4.9807 * CHOOSE(CONTROL!$C$22, $C$13, 100%, $E$13)</f>
        <v>4.9806999999999997</v>
      </c>
      <c r="H231" s="68">
        <f>8.1505* CHOOSE(CONTROL!$C$22, $C$13, 100%, $E$13)</f>
        <v>8.1504999999999992</v>
      </c>
      <c r="I231" s="68">
        <f>8.1518 * CHOOSE(CONTROL!$C$22, $C$13, 100%, $E$13)</f>
        <v>8.1517999999999997</v>
      </c>
      <c r="J231" s="68">
        <f>4.9794 * CHOOSE(CONTROL!$C$22, $C$13, 100%, $E$13)</f>
        <v>4.9794</v>
      </c>
      <c r="K231" s="68">
        <f>4.9807 * CHOOSE(CONTROL!$C$22, $C$13, 100%, $E$13)</f>
        <v>4.9806999999999997</v>
      </c>
    </row>
    <row r="232" spans="1:11" ht="15">
      <c r="A232" s="13">
        <v>48183</v>
      </c>
      <c r="B232" s="67">
        <f>4.1263 * CHOOSE(CONTROL!$C$22, $C$13, 100%, $E$13)</f>
        <v>4.1262999999999996</v>
      </c>
      <c r="C232" s="67">
        <f>4.1263 * CHOOSE(CONTROL!$C$22, $C$13, 100%, $E$13)</f>
        <v>4.1262999999999996</v>
      </c>
      <c r="D232" s="67">
        <f>4.1273 * CHOOSE(CONTROL!$C$22, $C$13, 100%, $E$13)</f>
        <v>4.1273</v>
      </c>
      <c r="E232" s="68">
        <f>4.9384 * CHOOSE(CONTROL!$C$22, $C$13, 100%, $E$13)</f>
        <v>4.9383999999999997</v>
      </c>
      <c r="F232" s="68">
        <f>4.9384 * CHOOSE(CONTROL!$C$22, $C$13, 100%, $E$13)</f>
        <v>4.9383999999999997</v>
      </c>
      <c r="G232" s="68">
        <f>4.9397 * CHOOSE(CONTROL!$C$22, $C$13, 100%, $E$13)</f>
        <v>4.9397000000000002</v>
      </c>
      <c r="H232" s="68">
        <f>8.1675* CHOOSE(CONTROL!$C$22, $C$13, 100%, $E$13)</f>
        <v>8.1675000000000004</v>
      </c>
      <c r="I232" s="68">
        <f>8.1687 * CHOOSE(CONTROL!$C$22, $C$13, 100%, $E$13)</f>
        <v>8.1686999999999994</v>
      </c>
      <c r="J232" s="68">
        <f>4.9384 * CHOOSE(CONTROL!$C$22, $C$13, 100%, $E$13)</f>
        <v>4.9383999999999997</v>
      </c>
      <c r="K232" s="68">
        <f>4.9397 * CHOOSE(CONTROL!$C$22, $C$13, 100%, $E$13)</f>
        <v>4.9397000000000002</v>
      </c>
    </row>
    <row r="233" spans="1:11" ht="15">
      <c r="A233" s="13">
        <v>48214</v>
      </c>
      <c r="B233" s="67">
        <f>4.1645 * CHOOSE(CONTROL!$C$22, $C$13, 100%, $E$13)</f>
        <v>4.1645000000000003</v>
      </c>
      <c r="C233" s="67">
        <f>4.1645 * CHOOSE(CONTROL!$C$22, $C$13, 100%, $E$13)</f>
        <v>4.1645000000000003</v>
      </c>
      <c r="D233" s="67">
        <f>4.1655 * CHOOSE(CONTROL!$C$22, $C$13, 100%, $E$13)</f>
        <v>4.1654999999999998</v>
      </c>
      <c r="E233" s="68">
        <f>5.0152 * CHOOSE(CONTROL!$C$22, $C$13, 100%, $E$13)</f>
        <v>5.0152000000000001</v>
      </c>
      <c r="F233" s="68">
        <f>5.0152 * CHOOSE(CONTROL!$C$22, $C$13, 100%, $E$13)</f>
        <v>5.0152000000000001</v>
      </c>
      <c r="G233" s="68">
        <f>5.0165 * CHOOSE(CONTROL!$C$22, $C$13, 100%, $E$13)</f>
        <v>5.0164999999999997</v>
      </c>
      <c r="H233" s="68">
        <f>8.1845* CHOOSE(CONTROL!$C$22, $C$13, 100%, $E$13)</f>
        <v>8.1844999999999999</v>
      </c>
      <c r="I233" s="68">
        <f>8.1858 * CHOOSE(CONTROL!$C$22, $C$13, 100%, $E$13)</f>
        <v>8.1858000000000004</v>
      </c>
      <c r="J233" s="68">
        <f>5.0152 * CHOOSE(CONTROL!$C$22, $C$13, 100%, $E$13)</f>
        <v>5.0152000000000001</v>
      </c>
      <c r="K233" s="68">
        <f>5.0165 * CHOOSE(CONTROL!$C$22, $C$13, 100%, $E$13)</f>
        <v>5.0164999999999997</v>
      </c>
    </row>
    <row r="234" spans="1:11" ht="15">
      <c r="A234" s="13">
        <v>48245</v>
      </c>
      <c r="B234" s="67">
        <f>4.1614 * CHOOSE(CONTROL!$C$22, $C$13, 100%, $E$13)</f>
        <v>4.1614000000000004</v>
      </c>
      <c r="C234" s="67">
        <f>4.1614 * CHOOSE(CONTROL!$C$22, $C$13, 100%, $E$13)</f>
        <v>4.1614000000000004</v>
      </c>
      <c r="D234" s="67">
        <f>4.1624 * CHOOSE(CONTROL!$C$22, $C$13, 100%, $E$13)</f>
        <v>4.1623999999999999</v>
      </c>
      <c r="E234" s="68">
        <f>4.9336 * CHOOSE(CONTROL!$C$22, $C$13, 100%, $E$13)</f>
        <v>4.9336000000000002</v>
      </c>
      <c r="F234" s="68">
        <f>4.9336 * CHOOSE(CONTROL!$C$22, $C$13, 100%, $E$13)</f>
        <v>4.9336000000000002</v>
      </c>
      <c r="G234" s="68">
        <f>4.9349 * CHOOSE(CONTROL!$C$22, $C$13, 100%, $E$13)</f>
        <v>4.9348999999999998</v>
      </c>
      <c r="H234" s="68">
        <f>8.2015* CHOOSE(CONTROL!$C$22, $C$13, 100%, $E$13)</f>
        <v>8.2014999999999993</v>
      </c>
      <c r="I234" s="68">
        <f>8.2028 * CHOOSE(CONTROL!$C$22, $C$13, 100%, $E$13)</f>
        <v>8.2027999999999999</v>
      </c>
      <c r="J234" s="68">
        <f>4.9336 * CHOOSE(CONTROL!$C$22, $C$13, 100%, $E$13)</f>
        <v>4.9336000000000002</v>
      </c>
      <c r="K234" s="68">
        <f>4.9349 * CHOOSE(CONTROL!$C$22, $C$13, 100%, $E$13)</f>
        <v>4.9348999999999998</v>
      </c>
    </row>
    <row r="235" spans="1:11" ht="15">
      <c r="A235" s="13">
        <v>48274</v>
      </c>
      <c r="B235" s="67">
        <f>4.1584 * CHOOSE(CONTROL!$C$22, $C$13, 100%, $E$13)</f>
        <v>4.1584000000000003</v>
      </c>
      <c r="C235" s="67">
        <f>4.1584 * CHOOSE(CONTROL!$C$22, $C$13, 100%, $E$13)</f>
        <v>4.1584000000000003</v>
      </c>
      <c r="D235" s="67">
        <f>4.1594 * CHOOSE(CONTROL!$C$22, $C$13, 100%, $E$13)</f>
        <v>4.1593999999999998</v>
      </c>
      <c r="E235" s="68">
        <f>4.9942 * CHOOSE(CONTROL!$C$22, $C$13, 100%, $E$13)</f>
        <v>4.9942000000000002</v>
      </c>
      <c r="F235" s="68">
        <f>4.9942 * CHOOSE(CONTROL!$C$22, $C$13, 100%, $E$13)</f>
        <v>4.9942000000000002</v>
      </c>
      <c r="G235" s="68">
        <f>4.9954 * CHOOSE(CONTROL!$C$22, $C$13, 100%, $E$13)</f>
        <v>4.9954000000000001</v>
      </c>
      <c r="H235" s="68">
        <f>8.2186* CHOOSE(CONTROL!$C$22, $C$13, 100%, $E$13)</f>
        <v>8.2186000000000003</v>
      </c>
      <c r="I235" s="68">
        <f>8.2199 * CHOOSE(CONTROL!$C$22, $C$13, 100%, $E$13)</f>
        <v>8.2199000000000009</v>
      </c>
      <c r="J235" s="68">
        <f>4.9942 * CHOOSE(CONTROL!$C$22, $C$13, 100%, $E$13)</f>
        <v>4.9942000000000002</v>
      </c>
      <c r="K235" s="68">
        <f>4.9954 * CHOOSE(CONTROL!$C$22, $C$13, 100%, $E$13)</f>
        <v>4.9954000000000001</v>
      </c>
    </row>
    <row r="236" spans="1:11" ht="15">
      <c r="A236" s="13">
        <v>48305</v>
      </c>
      <c r="B236" s="67">
        <f>4.1562 * CHOOSE(CONTROL!$C$22, $C$13, 100%, $E$13)</f>
        <v>4.1562000000000001</v>
      </c>
      <c r="C236" s="67">
        <f>4.1562 * CHOOSE(CONTROL!$C$22, $C$13, 100%, $E$13)</f>
        <v>4.1562000000000001</v>
      </c>
      <c r="D236" s="67">
        <f>4.1572 * CHOOSE(CONTROL!$C$22, $C$13, 100%, $E$13)</f>
        <v>4.1571999999999996</v>
      </c>
      <c r="E236" s="68">
        <f>5.0572 * CHOOSE(CONTROL!$C$22, $C$13, 100%, $E$13)</f>
        <v>5.0571999999999999</v>
      </c>
      <c r="F236" s="68">
        <f>5.0572 * CHOOSE(CONTROL!$C$22, $C$13, 100%, $E$13)</f>
        <v>5.0571999999999999</v>
      </c>
      <c r="G236" s="68">
        <f>5.0585 * CHOOSE(CONTROL!$C$22, $C$13, 100%, $E$13)</f>
        <v>5.0585000000000004</v>
      </c>
      <c r="H236" s="68">
        <f>8.2357* CHOOSE(CONTROL!$C$22, $C$13, 100%, $E$13)</f>
        <v>8.2356999999999996</v>
      </c>
      <c r="I236" s="68">
        <f>8.237 * CHOOSE(CONTROL!$C$22, $C$13, 100%, $E$13)</f>
        <v>8.2370000000000001</v>
      </c>
      <c r="J236" s="68">
        <f>5.0572 * CHOOSE(CONTROL!$C$22, $C$13, 100%, $E$13)</f>
        <v>5.0571999999999999</v>
      </c>
      <c r="K236" s="68">
        <f>5.0585 * CHOOSE(CONTROL!$C$22, $C$13, 100%, $E$13)</f>
        <v>5.0585000000000004</v>
      </c>
    </row>
    <row r="237" spans="1:11" ht="15">
      <c r="A237" s="13">
        <v>48335</v>
      </c>
      <c r="B237" s="67">
        <f>4.1562 * CHOOSE(CONTROL!$C$22, $C$13, 100%, $E$13)</f>
        <v>4.1562000000000001</v>
      </c>
      <c r="C237" s="67">
        <f>4.1562 * CHOOSE(CONTROL!$C$22, $C$13, 100%, $E$13)</f>
        <v>4.1562000000000001</v>
      </c>
      <c r="D237" s="67">
        <f>4.1588 * CHOOSE(CONTROL!$C$22, $C$13, 100%, $E$13)</f>
        <v>4.1588000000000003</v>
      </c>
      <c r="E237" s="68">
        <f>5.0825 * CHOOSE(CONTROL!$C$22, $C$13, 100%, $E$13)</f>
        <v>5.0824999999999996</v>
      </c>
      <c r="F237" s="68">
        <f>5.0825 * CHOOSE(CONTROL!$C$22, $C$13, 100%, $E$13)</f>
        <v>5.0824999999999996</v>
      </c>
      <c r="G237" s="68">
        <f>5.0857 * CHOOSE(CONTROL!$C$22, $C$13, 100%, $E$13)</f>
        <v>5.0857000000000001</v>
      </c>
      <c r="H237" s="68">
        <f>8.2529* CHOOSE(CONTROL!$C$22, $C$13, 100%, $E$13)</f>
        <v>8.2529000000000003</v>
      </c>
      <c r="I237" s="68">
        <f>8.2561 * CHOOSE(CONTROL!$C$22, $C$13, 100%, $E$13)</f>
        <v>8.2561</v>
      </c>
      <c r="J237" s="68">
        <f>5.0825 * CHOOSE(CONTROL!$C$22, $C$13, 100%, $E$13)</f>
        <v>5.0824999999999996</v>
      </c>
      <c r="K237" s="68">
        <f>5.0857 * CHOOSE(CONTROL!$C$22, $C$13, 100%, $E$13)</f>
        <v>5.0857000000000001</v>
      </c>
    </row>
    <row r="238" spans="1:11" ht="15">
      <c r="A238" s="13">
        <v>48366</v>
      </c>
      <c r="B238" s="67">
        <f>4.1623 * CHOOSE(CONTROL!$C$22, $C$13, 100%, $E$13)</f>
        <v>4.1623000000000001</v>
      </c>
      <c r="C238" s="67">
        <f>4.1623 * CHOOSE(CONTROL!$C$22, $C$13, 100%, $E$13)</f>
        <v>4.1623000000000001</v>
      </c>
      <c r="D238" s="67">
        <f>4.1649 * CHOOSE(CONTROL!$C$22, $C$13, 100%, $E$13)</f>
        <v>4.1649000000000003</v>
      </c>
      <c r="E238" s="68">
        <f>5.0615 * CHOOSE(CONTROL!$C$22, $C$13, 100%, $E$13)</f>
        <v>5.0614999999999997</v>
      </c>
      <c r="F238" s="68">
        <f>5.0615 * CHOOSE(CONTROL!$C$22, $C$13, 100%, $E$13)</f>
        <v>5.0614999999999997</v>
      </c>
      <c r="G238" s="68">
        <f>5.0647 * CHOOSE(CONTROL!$C$22, $C$13, 100%, $E$13)</f>
        <v>5.0647000000000002</v>
      </c>
      <c r="H238" s="68">
        <f>8.2701* CHOOSE(CONTROL!$C$22, $C$13, 100%, $E$13)</f>
        <v>8.2700999999999993</v>
      </c>
      <c r="I238" s="68">
        <f>8.2733 * CHOOSE(CONTROL!$C$22, $C$13, 100%, $E$13)</f>
        <v>8.2733000000000008</v>
      </c>
      <c r="J238" s="68">
        <f>5.0615 * CHOOSE(CONTROL!$C$22, $C$13, 100%, $E$13)</f>
        <v>5.0614999999999997</v>
      </c>
      <c r="K238" s="68">
        <f>5.0647 * CHOOSE(CONTROL!$C$22, $C$13, 100%, $E$13)</f>
        <v>5.0647000000000002</v>
      </c>
    </row>
    <row r="239" spans="1:11" ht="15">
      <c r="A239" s="13">
        <v>48396</v>
      </c>
      <c r="B239" s="67">
        <f>4.2341 * CHOOSE(CONTROL!$C$22, $C$13, 100%, $E$13)</f>
        <v>4.2340999999999998</v>
      </c>
      <c r="C239" s="67">
        <f>4.2341 * CHOOSE(CONTROL!$C$22, $C$13, 100%, $E$13)</f>
        <v>4.2340999999999998</v>
      </c>
      <c r="D239" s="67">
        <f>4.2367 * CHOOSE(CONTROL!$C$22, $C$13, 100%, $E$13)</f>
        <v>4.2366999999999999</v>
      </c>
      <c r="E239" s="68">
        <f>5.166 * CHOOSE(CONTROL!$C$22, $C$13, 100%, $E$13)</f>
        <v>5.1660000000000004</v>
      </c>
      <c r="F239" s="68">
        <f>5.166 * CHOOSE(CONTROL!$C$22, $C$13, 100%, $E$13)</f>
        <v>5.1660000000000004</v>
      </c>
      <c r="G239" s="68">
        <f>5.1693 * CHOOSE(CONTROL!$C$22, $C$13, 100%, $E$13)</f>
        <v>5.1692999999999998</v>
      </c>
      <c r="H239" s="68">
        <f>8.2873* CHOOSE(CONTROL!$C$22, $C$13, 100%, $E$13)</f>
        <v>8.2873000000000001</v>
      </c>
      <c r="I239" s="68">
        <f>8.2906 * CHOOSE(CONTROL!$C$22, $C$13, 100%, $E$13)</f>
        <v>8.2905999999999995</v>
      </c>
      <c r="J239" s="68">
        <f>5.166 * CHOOSE(CONTROL!$C$22, $C$13, 100%, $E$13)</f>
        <v>5.1660000000000004</v>
      </c>
      <c r="K239" s="68">
        <f>5.1693 * CHOOSE(CONTROL!$C$22, $C$13, 100%, $E$13)</f>
        <v>5.1692999999999998</v>
      </c>
    </row>
    <row r="240" spans="1:11" ht="15">
      <c r="A240" s="13">
        <v>48427</v>
      </c>
      <c r="B240" s="67">
        <f>4.2408 * CHOOSE(CONTROL!$C$22, $C$13, 100%, $E$13)</f>
        <v>4.2408000000000001</v>
      </c>
      <c r="C240" s="67">
        <f>4.2408 * CHOOSE(CONTROL!$C$22, $C$13, 100%, $E$13)</f>
        <v>4.2408000000000001</v>
      </c>
      <c r="D240" s="67">
        <f>4.2434 * CHOOSE(CONTROL!$C$22, $C$13, 100%, $E$13)</f>
        <v>4.2434000000000003</v>
      </c>
      <c r="E240" s="68">
        <f>5.095 * CHOOSE(CONTROL!$C$22, $C$13, 100%, $E$13)</f>
        <v>5.0949999999999998</v>
      </c>
      <c r="F240" s="68">
        <f>5.095 * CHOOSE(CONTROL!$C$22, $C$13, 100%, $E$13)</f>
        <v>5.0949999999999998</v>
      </c>
      <c r="G240" s="68">
        <f>5.0982 * CHOOSE(CONTROL!$C$22, $C$13, 100%, $E$13)</f>
        <v>5.0982000000000003</v>
      </c>
      <c r="H240" s="68">
        <f>8.3046* CHOOSE(CONTROL!$C$22, $C$13, 100%, $E$13)</f>
        <v>8.3046000000000006</v>
      </c>
      <c r="I240" s="68">
        <f>8.3078 * CHOOSE(CONTROL!$C$22, $C$13, 100%, $E$13)</f>
        <v>8.3078000000000003</v>
      </c>
      <c r="J240" s="68">
        <f>5.095 * CHOOSE(CONTROL!$C$22, $C$13, 100%, $E$13)</f>
        <v>5.0949999999999998</v>
      </c>
      <c r="K240" s="68">
        <f>5.0982 * CHOOSE(CONTROL!$C$22, $C$13, 100%, $E$13)</f>
        <v>5.0982000000000003</v>
      </c>
    </row>
    <row r="241" spans="1:11" ht="15">
      <c r="A241" s="13">
        <v>48458</v>
      </c>
      <c r="B241" s="67">
        <f>4.2378 * CHOOSE(CONTROL!$C$22, $C$13, 100%, $E$13)</f>
        <v>4.2378</v>
      </c>
      <c r="C241" s="67">
        <f>4.2378 * CHOOSE(CONTROL!$C$22, $C$13, 100%, $E$13)</f>
        <v>4.2378</v>
      </c>
      <c r="D241" s="67">
        <f>4.2404 * CHOOSE(CONTROL!$C$22, $C$13, 100%, $E$13)</f>
        <v>4.2404000000000002</v>
      </c>
      <c r="E241" s="68">
        <f>5.0844 * CHOOSE(CONTROL!$C$22, $C$13, 100%, $E$13)</f>
        <v>5.0843999999999996</v>
      </c>
      <c r="F241" s="68">
        <f>5.0844 * CHOOSE(CONTROL!$C$22, $C$13, 100%, $E$13)</f>
        <v>5.0843999999999996</v>
      </c>
      <c r="G241" s="68">
        <f>5.0877 * CHOOSE(CONTROL!$C$22, $C$13, 100%, $E$13)</f>
        <v>5.0876999999999999</v>
      </c>
      <c r="H241" s="68">
        <f>8.3219* CHOOSE(CONTROL!$C$22, $C$13, 100%, $E$13)</f>
        <v>8.3218999999999994</v>
      </c>
      <c r="I241" s="68">
        <f>8.3251 * CHOOSE(CONTROL!$C$22, $C$13, 100%, $E$13)</f>
        <v>8.3251000000000008</v>
      </c>
      <c r="J241" s="68">
        <f>5.0844 * CHOOSE(CONTROL!$C$22, $C$13, 100%, $E$13)</f>
        <v>5.0843999999999996</v>
      </c>
      <c r="K241" s="68">
        <f>5.0877 * CHOOSE(CONTROL!$C$22, $C$13, 100%, $E$13)</f>
        <v>5.0876999999999999</v>
      </c>
    </row>
    <row r="242" spans="1:11" ht="15">
      <c r="A242" s="13">
        <v>48488</v>
      </c>
      <c r="B242" s="67">
        <f>4.2336 * CHOOSE(CONTROL!$C$22, $C$13, 100%, $E$13)</f>
        <v>4.2336</v>
      </c>
      <c r="C242" s="67">
        <f>4.2336 * CHOOSE(CONTROL!$C$22, $C$13, 100%, $E$13)</f>
        <v>4.2336</v>
      </c>
      <c r="D242" s="67">
        <f>4.2346 * CHOOSE(CONTROL!$C$22, $C$13, 100%, $E$13)</f>
        <v>4.2346000000000004</v>
      </c>
      <c r="E242" s="68">
        <f>5.1047 * CHOOSE(CONTROL!$C$22, $C$13, 100%, $E$13)</f>
        <v>5.1047000000000002</v>
      </c>
      <c r="F242" s="68">
        <f>5.1047 * CHOOSE(CONTROL!$C$22, $C$13, 100%, $E$13)</f>
        <v>5.1047000000000002</v>
      </c>
      <c r="G242" s="68">
        <f>5.1059 * CHOOSE(CONTROL!$C$22, $C$13, 100%, $E$13)</f>
        <v>5.1059000000000001</v>
      </c>
      <c r="H242" s="68">
        <f>8.3392* CHOOSE(CONTROL!$C$22, $C$13, 100%, $E$13)</f>
        <v>8.3391999999999999</v>
      </c>
      <c r="I242" s="68">
        <f>8.3405 * CHOOSE(CONTROL!$C$22, $C$13, 100%, $E$13)</f>
        <v>8.3405000000000005</v>
      </c>
      <c r="J242" s="68">
        <f>5.1047 * CHOOSE(CONTROL!$C$22, $C$13, 100%, $E$13)</f>
        <v>5.1047000000000002</v>
      </c>
      <c r="K242" s="68">
        <f>5.1059 * CHOOSE(CONTROL!$C$22, $C$13, 100%, $E$13)</f>
        <v>5.1059000000000001</v>
      </c>
    </row>
    <row r="243" spans="1:11" ht="15">
      <c r="A243" s="13">
        <v>48519</v>
      </c>
      <c r="B243" s="67">
        <f>4.2367 * CHOOSE(CONTROL!$C$22, $C$13, 100%, $E$13)</f>
        <v>4.2366999999999999</v>
      </c>
      <c r="C243" s="67">
        <f>4.2367 * CHOOSE(CONTROL!$C$22, $C$13, 100%, $E$13)</f>
        <v>4.2366999999999999</v>
      </c>
      <c r="D243" s="67">
        <f>4.2376 * CHOOSE(CONTROL!$C$22, $C$13, 100%, $E$13)</f>
        <v>4.2375999999999996</v>
      </c>
      <c r="E243" s="68">
        <f>5.1236 * CHOOSE(CONTROL!$C$22, $C$13, 100%, $E$13)</f>
        <v>5.1235999999999997</v>
      </c>
      <c r="F243" s="68">
        <f>5.1236 * CHOOSE(CONTROL!$C$22, $C$13, 100%, $E$13)</f>
        <v>5.1235999999999997</v>
      </c>
      <c r="G243" s="68">
        <f>5.1249 * CHOOSE(CONTROL!$C$22, $C$13, 100%, $E$13)</f>
        <v>5.1249000000000002</v>
      </c>
      <c r="H243" s="68">
        <f>8.3566* CHOOSE(CONTROL!$C$22, $C$13, 100%, $E$13)</f>
        <v>8.3566000000000003</v>
      </c>
      <c r="I243" s="68">
        <f>8.3579 * CHOOSE(CONTROL!$C$22, $C$13, 100%, $E$13)</f>
        <v>8.3579000000000008</v>
      </c>
      <c r="J243" s="68">
        <f>5.1236 * CHOOSE(CONTROL!$C$22, $C$13, 100%, $E$13)</f>
        <v>5.1235999999999997</v>
      </c>
      <c r="K243" s="68">
        <f>5.1249 * CHOOSE(CONTROL!$C$22, $C$13, 100%, $E$13)</f>
        <v>5.1249000000000002</v>
      </c>
    </row>
    <row r="244" spans="1:11" ht="15">
      <c r="A244" s="13">
        <v>48549</v>
      </c>
      <c r="B244" s="67">
        <f>4.2367 * CHOOSE(CONTROL!$C$22, $C$13, 100%, $E$13)</f>
        <v>4.2366999999999999</v>
      </c>
      <c r="C244" s="67">
        <f>4.2367 * CHOOSE(CONTROL!$C$22, $C$13, 100%, $E$13)</f>
        <v>4.2366999999999999</v>
      </c>
      <c r="D244" s="67">
        <f>4.2376 * CHOOSE(CONTROL!$C$22, $C$13, 100%, $E$13)</f>
        <v>4.2375999999999996</v>
      </c>
      <c r="E244" s="68">
        <f>5.0815 * CHOOSE(CONTROL!$C$22, $C$13, 100%, $E$13)</f>
        <v>5.0815000000000001</v>
      </c>
      <c r="F244" s="68">
        <f>5.0815 * CHOOSE(CONTROL!$C$22, $C$13, 100%, $E$13)</f>
        <v>5.0815000000000001</v>
      </c>
      <c r="G244" s="68">
        <f>5.0828 * CHOOSE(CONTROL!$C$22, $C$13, 100%, $E$13)</f>
        <v>5.0827999999999998</v>
      </c>
      <c r="H244" s="68">
        <f>8.374* CHOOSE(CONTROL!$C$22, $C$13, 100%, $E$13)</f>
        <v>8.3740000000000006</v>
      </c>
      <c r="I244" s="68">
        <f>8.3753 * CHOOSE(CONTROL!$C$22, $C$13, 100%, $E$13)</f>
        <v>8.3752999999999993</v>
      </c>
      <c r="J244" s="68">
        <f>5.0815 * CHOOSE(CONTROL!$C$22, $C$13, 100%, $E$13)</f>
        <v>5.0815000000000001</v>
      </c>
      <c r="K244" s="68">
        <f>5.0828 * CHOOSE(CONTROL!$C$22, $C$13, 100%, $E$13)</f>
        <v>5.0827999999999998</v>
      </c>
    </row>
    <row r="245" spans="1:11" ht="15">
      <c r="A245" s="13">
        <v>48580</v>
      </c>
      <c r="B245" s="67">
        <f>4.2764 * CHOOSE(CONTROL!$C$22, $C$13, 100%, $E$13)</f>
        <v>4.2763999999999998</v>
      </c>
      <c r="C245" s="67">
        <f>4.2764 * CHOOSE(CONTROL!$C$22, $C$13, 100%, $E$13)</f>
        <v>4.2763999999999998</v>
      </c>
      <c r="D245" s="67">
        <f>4.2774 * CHOOSE(CONTROL!$C$22, $C$13, 100%, $E$13)</f>
        <v>4.2774000000000001</v>
      </c>
      <c r="E245" s="68">
        <f>5.1642 * CHOOSE(CONTROL!$C$22, $C$13, 100%, $E$13)</f>
        <v>5.1642000000000001</v>
      </c>
      <c r="F245" s="68">
        <f>5.1642 * CHOOSE(CONTROL!$C$22, $C$13, 100%, $E$13)</f>
        <v>5.1642000000000001</v>
      </c>
      <c r="G245" s="68">
        <f>5.1655 * CHOOSE(CONTROL!$C$22, $C$13, 100%, $E$13)</f>
        <v>5.1654999999999998</v>
      </c>
      <c r="H245" s="68">
        <f>8.3914* CHOOSE(CONTROL!$C$22, $C$13, 100%, $E$13)</f>
        <v>8.3914000000000009</v>
      </c>
      <c r="I245" s="68">
        <f>8.3927 * CHOOSE(CONTROL!$C$22, $C$13, 100%, $E$13)</f>
        <v>8.3926999999999996</v>
      </c>
      <c r="J245" s="68">
        <f>5.1642 * CHOOSE(CONTROL!$C$22, $C$13, 100%, $E$13)</f>
        <v>5.1642000000000001</v>
      </c>
      <c r="K245" s="68">
        <f>5.1655 * CHOOSE(CONTROL!$C$22, $C$13, 100%, $E$13)</f>
        <v>5.1654999999999998</v>
      </c>
    </row>
    <row r="246" spans="1:11" ht="15">
      <c r="A246" s="13">
        <v>48611</v>
      </c>
      <c r="B246" s="67">
        <f>4.2734 * CHOOSE(CONTROL!$C$22, $C$13, 100%, $E$13)</f>
        <v>4.2733999999999996</v>
      </c>
      <c r="C246" s="67">
        <f>4.2734 * CHOOSE(CONTROL!$C$22, $C$13, 100%, $E$13)</f>
        <v>4.2733999999999996</v>
      </c>
      <c r="D246" s="67">
        <f>4.2744 * CHOOSE(CONTROL!$C$22, $C$13, 100%, $E$13)</f>
        <v>4.2744</v>
      </c>
      <c r="E246" s="68">
        <f>5.0805 * CHOOSE(CONTROL!$C$22, $C$13, 100%, $E$13)</f>
        <v>5.0804999999999998</v>
      </c>
      <c r="F246" s="68">
        <f>5.0805 * CHOOSE(CONTROL!$C$22, $C$13, 100%, $E$13)</f>
        <v>5.0804999999999998</v>
      </c>
      <c r="G246" s="68">
        <f>5.0818 * CHOOSE(CONTROL!$C$22, $C$13, 100%, $E$13)</f>
        <v>5.0818000000000003</v>
      </c>
      <c r="H246" s="68">
        <f>8.4089* CHOOSE(CONTROL!$C$22, $C$13, 100%, $E$13)</f>
        <v>8.4088999999999992</v>
      </c>
      <c r="I246" s="68">
        <f>8.4102 * CHOOSE(CONTROL!$C$22, $C$13, 100%, $E$13)</f>
        <v>8.4101999999999997</v>
      </c>
      <c r="J246" s="68">
        <f>5.0805 * CHOOSE(CONTROL!$C$22, $C$13, 100%, $E$13)</f>
        <v>5.0804999999999998</v>
      </c>
      <c r="K246" s="68">
        <f>5.0818 * CHOOSE(CONTROL!$C$22, $C$13, 100%, $E$13)</f>
        <v>5.0818000000000003</v>
      </c>
    </row>
    <row r="247" spans="1:11" ht="15">
      <c r="A247" s="13">
        <v>48639</v>
      </c>
      <c r="B247" s="67">
        <f>4.2703 * CHOOSE(CONTROL!$C$22, $C$13, 100%, $E$13)</f>
        <v>4.2702999999999998</v>
      </c>
      <c r="C247" s="67">
        <f>4.2703 * CHOOSE(CONTROL!$C$22, $C$13, 100%, $E$13)</f>
        <v>4.2702999999999998</v>
      </c>
      <c r="D247" s="67">
        <f>4.2713 * CHOOSE(CONTROL!$C$22, $C$13, 100%, $E$13)</f>
        <v>4.2713000000000001</v>
      </c>
      <c r="E247" s="68">
        <f>5.1427 * CHOOSE(CONTROL!$C$22, $C$13, 100%, $E$13)</f>
        <v>5.1426999999999996</v>
      </c>
      <c r="F247" s="68">
        <f>5.1427 * CHOOSE(CONTROL!$C$22, $C$13, 100%, $E$13)</f>
        <v>5.1426999999999996</v>
      </c>
      <c r="G247" s="68">
        <f>5.144 * CHOOSE(CONTROL!$C$22, $C$13, 100%, $E$13)</f>
        <v>5.1440000000000001</v>
      </c>
      <c r="H247" s="68">
        <f>8.4264* CHOOSE(CONTROL!$C$22, $C$13, 100%, $E$13)</f>
        <v>8.4263999999999992</v>
      </c>
      <c r="I247" s="68">
        <f>8.4277 * CHOOSE(CONTROL!$C$22, $C$13, 100%, $E$13)</f>
        <v>8.4276999999999997</v>
      </c>
      <c r="J247" s="68">
        <f>5.1427 * CHOOSE(CONTROL!$C$22, $C$13, 100%, $E$13)</f>
        <v>5.1426999999999996</v>
      </c>
      <c r="K247" s="68">
        <f>5.144 * CHOOSE(CONTROL!$C$22, $C$13, 100%, $E$13)</f>
        <v>5.1440000000000001</v>
      </c>
    </row>
    <row r="248" spans="1:11" ht="15">
      <c r="A248" s="13">
        <v>48670</v>
      </c>
      <c r="B248" s="67">
        <f>4.2682 * CHOOSE(CONTROL!$C$22, $C$13, 100%, $E$13)</f>
        <v>4.2682000000000002</v>
      </c>
      <c r="C248" s="67">
        <f>4.2682 * CHOOSE(CONTROL!$C$22, $C$13, 100%, $E$13)</f>
        <v>4.2682000000000002</v>
      </c>
      <c r="D248" s="67">
        <f>4.2692 * CHOOSE(CONTROL!$C$22, $C$13, 100%, $E$13)</f>
        <v>4.2691999999999997</v>
      </c>
      <c r="E248" s="68">
        <f>5.2076 * CHOOSE(CONTROL!$C$22, $C$13, 100%, $E$13)</f>
        <v>5.2076000000000002</v>
      </c>
      <c r="F248" s="68">
        <f>5.2076 * CHOOSE(CONTROL!$C$22, $C$13, 100%, $E$13)</f>
        <v>5.2076000000000002</v>
      </c>
      <c r="G248" s="68">
        <f>5.2088 * CHOOSE(CONTROL!$C$22, $C$13, 100%, $E$13)</f>
        <v>5.2088000000000001</v>
      </c>
      <c r="H248" s="68">
        <f>8.444* CHOOSE(CONTROL!$C$22, $C$13, 100%, $E$13)</f>
        <v>8.4440000000000008</v>
      </c>
      <c r="I248" s="68">
        <f>8.4453 * CHOOSE(CONTROL!$C$22, $C$13, 100%, $E$13)</f>
        <v>8.4452999999999996</v>
      </c>
      <c r="J248" s="68">
        <f>5.2076 * CHOOSE(CONTROL!$C$22, $C$13, 100%, $E$13)</f>
        <v>5.2076000000000002</v>
      </c>
      <c r="K248" s="68">
        <f>5.2088 * CHOOSE(CONTROL!$C$22, $C$13, 100%, $E$13)</f>
        <v>5.2088000000000001</v>
      </c>
    </row>
    <row r="249" spans="1:11" ht="15">
      <c r="A249" s="13">
        <v>48700</v>
      </c>
      <c r="B249" s="67">
        <f>4.2682 * CHOOSE(CONTROL!$C$22, $C$13, 100%, $E$13)</f>
        <v>4.2682000000000002</v>
      </c>
      <c r="C249" s="67">
        <f>4.2682 * CHOOSE(CONTROL!$C$22, $C$13, 100%, $E$13)</f>
        <v>4.2682000000000002</v>
      </c>
      <c r="D249" s="67">
        <f>4.2708 * CHOOSE(CONTROL!$C$22, $C$13, 100%, $E$13)</f>
        <v>4.2708000000000004</v>
      </c>
      <c r="E249" s="68">
        <f>5.2335 * CHOOSE(CONTROL!$C$22, $C$13, 100%, $E$13)</f>
        <v>5.2335000000000003</v>
      </c>
      <c r="F249" s="68">
        <f>5.2335 * CHOOSE(CONTROL!$C$22, $C$13, 100%, $E$13)</f>
        <v>5.2335000000000003</v>
      </c>
      <c r="G249" s="68">
        <f>5.2367 * CHOOSE(CONTROL!$C$22, $C$13, 100%, $E$13)</f>
        <v>5.2366999999999999</v>
      </c>
      <c r="H249" s="68">
        <f>8.4616* CHOOSE(CONTROL!$C$22, $C$13, 100%, $E$13)</f>
        <v>8.4616000000000007</v>
      </c>
      <c r="I249" s="68">
        <f>8.4648 * CHOOSE(CONTROL!$C$22, $C$13, 100%, $E$13)</f>
        <v>8.4648000000000003</v>
      </c>
      <c r="J249" s="68">
        <f>5.2335 * CHOOSE(CONTROL!$C$22, $C$13, 100%, $E$13)</f>
        <v>5.2335000000000003</v>
      </c>
      <c r="K249" s="68">
        <f>5.2367 * CHOOSE(CONTROL!$C$22, $C$13, 100%, $E$13)</f>
        <v>5.2366999999999999</v>
      </c>
    </row>
    <row r="250" spans="1:11" ht="15">
      <c r="A250" s="13">
        <v>48731</v>
      </c>
      <c r="B250" s="67">
        <f>4.2743 * CHOOSE(CONTROL!$C$22, $C$13, 100%, $E$13)</f>
        <v>4.2743000000000002</v>
      </c>
      <c r="C250" s="67">
        <f>4.2743 * CHOOSE(CONTROL!$C$22, $C$13, 100%, $E$13)</f>
        <v>4.2743000000000002</v>
      </c>
      <c r="D250" s="67">
        <f>4.2769 * CHOOSE(CONTROL!$C$22, $C$13, 100%, $E$13)</f>
        <v>4.2769000000000004</v>
      </c>
      <c r="E250" s="68">
        <f>5.2118 * CHOOSE(CONTROL!$C$22, $C$13, 100%, $E$13)</f>
        <v>5.2118000000000002</v>
      </c>
      <c r="F250" s="68">
        <f>5.2118 * CHOOSE(CONTROL!$C$22, $C$13, 100%, $E$13)</f>
        <v>5.2118000000000002</v>
      </c>
      <c r="G250" s="68">
        <f>5.215 * CHOOSE(CONTROL!$C$22, $C$13, 100%, $E$13)</f>
        <v>5.2149999999999999</v>
      </c>
      <c r="H250" s="68">
        <f>8.4792* CHOOSE(CONTROL!$C$22, $C$13, 100%, $E$13)</f>
        <v>8.4792000000000005</v>
      </c>
      <c r="I250" s="68">
        <f>8.4825 * CHOOSE(CONTROL!$C$22, $C$13, 100%, $E$13)</f>
        <v>8.4824999999999999</v>
      </c>
      <c r="J250" s="68">
        <f>5.2118 * CHOOSE(CONTROL!$C$22, $C$13, 100%, $E$13)</f>
        <v>5.2118000000000002</v>
      </c>
      <c r="K250" s="68">
        <f>5.215 * CHOOSE(CONTROL!$C$22, $C$13, 100%, $E$13)</f>
        <v>5.2149999999999999</v>
      </c>
    </row>
    <row r="251" spans="1:11" ht="15">
      <c r="A251" s="13">
        <v>48761</v>
      </c>
      <c r="B251" s="67">
        <f>4.3499 * CHOOSE(CONTROL!$C$22, $C$13, 100%, $E$13)</f>
        <v>4.3498999999999999</v>
      </c>
      <c r="C251" s="67">
        <f>4.3499 * CHOOSE(CONTROL!$C$22, $C$13, 100%, $E$13)</f>
        <v>4.3498999999999999</v>
      </c>
      <c r="D251" s="67">
        <f>4.3525 * CHOOSE(CONTROL!$C$22, $C$13, 100%, $E$13)</f>
        <v>4.3525</v>
      </c>
      <c r="E251" s="68">
        <f>5.3292 * CHOOSE(CONTROL!$C$22, $C$13, 100%, $E$13)</f>
        <v>5.3292000000000002</v>
      </c>
      <c r="F251" s="68">
        <f>5.3292 * CHOOSE(CONTROL!$C$22, $C$13, 100%, $E$13)</f>
        <v>5.3292000000000002</v>
      </c>
      <c r="G251" s="68">
        <f>5.3325 * CHOOSE(CONTROL!$C$22, $C$13, 100%, $E$13)</f>
        <v>5.3324999999999996</v>
      </c>
      <c r="H251" s="68">
        <f>8.4969* CHOOSE(CONTROL!$C$22, $C$13, 100%, $E$13)</f>
        <v>8.4969000000000001</v>
      </c>
      <c r="I251" s="68">
        <f>8.5001 * CHOOSE(CONTROL!$C$22, $C$13, 100%, $E$13)</f>
        <v>8.5000999999999998</v>
      </c>
      <c r="J251" s="68">
        <f>5.3292 * CHOOSE(CONTROL!$C$22, $C$13, 100%, $E$13)</f>
        <v>5.3292000000000002</v>
      </c>
      <c r="K251" s="68">
        <f>5.3325 * CHOOSE(CONTROL!$C$22, $C$13, 100%, $E$13)</f>
        <v>5.3324999999999996</v>
      </c>
    </row>
    <row r="252" spans="1:11" ht="15">
      <c r="A252" s="13">
        <v>48792</v>
      </c>
      <c r="B252" s="67">
        <f>4.3566 * CHOOSE(CONTROL!$C$22, $C$13, 100%, $E$13)</f>
        <v>4.3566000000000003</v>
      </c>
      <c r="C252" s="67">
        <f>4.3566 * CHOOSE(CONTROL!$C$22, $C$13, 100%, $E$13)</f>
        <v>4.3566000000000003</v>
      </c>
      <c r="D252" s="67">
        <f>4.3592 * CHOOSE(CONTROL!$C$22, $C$13, 100%, $E$13)</f>
        <v>4.3592000000000004</v>
      </c>
      <c r="E252" s="68">
        <f>5.2562 * CHOOSE(CONTROL!$C$22, $C$13, 100%, $E$13)</f>
        <v>5.2561999999999998</v>
      </c>
      <c r="F252" s="68">
        <f>5.2562 * CHOOSE(CONTROL!$C$22, $C$13, 100%, $E$13)</f>
        <v>5.2561999999999998</v>
      </c>
      <c r="G252" s="68">
        <f>5.2594 * CHOOSE(CONTROL!$C$22, $C$13, 100%, $E$13)</f>
        <v>5.2594000000000003</v>
      </c>
      <c r="H252" s="68">
        <f>8.5146* CHOOSE(CONTROL!$C$22, $C$13, 100%, $E$13)</f>
        <v>8.5145999999999997</v>
      </c>
      <c r="I252" s="68">
        <f>8.5178 * CHOOSE(CONTROL!$C$22, $C$13, 100%, $E$13)</f>
        <v>8.5177999999999994</v>
      </c>
      <c r="J252" s="68">
        <f>5.2562 * CHOOSE(CONTROL!$C$22, $C$13, 100%, $E$13)</f>
        <v>5.2561999999999998</v>
      </c>
      <c r="K252" s="68">
        <f>5.2594 * CHOOSE(CONTROL!$C$22, $C$13, 100%, $E$13)</f>
        <v>5.2594000000000003</v>
      </c>
    </row>
    <row r="253" spans="1:11" ht="15">
      <c r="A253" s="13">
        <v>48823</v>
      </c>
      <c r="B253" s="67">
        <f>4.3535 * CHOOSE(CONTROL!$C$22, $C$13, 100%, $E$13)</f>
        <v>4.3535000000000004</v>
      </c>
      <c r="C253" s="67">
        <f>4.3535 * CHOOSE(CONTROL!$C$22, $C$13, 100%, $E$13)</f>
        <v>4.3535000000000004</v>
      </c>
      <c r="D253" s="67">
        <f>4.3561 * CHOOSE(CONTROL!$C$22, $C$13, 100%, $E$13)</f>
        <v>4.3560999999999996</v>
      </c>
      <c r="E253" s="68">
        <f>5.2454 * CHOOSE(CONTROL!$C$22, $C$13, 100%, $E$13)</f>
        <v>5.2454000000000001</v>
      </c>
      <c r="F253" s="68">
        <f>5.2454 * CHOOSE(CONTROL!$C$22, $C$13, 100%, $E$13)</f>
        <v>5.2454000000000001</v>
      </c>
      <c r="G253" s="68">
        <f>5.2487 * CHOOSE(CONTROL!$C$22, $C$13, 100%, $E$13)</f>
        <v>5.2487000000000004</v>
      </c>
      <c r="H253" s="68">
        <f>8.5323* CHOOSE(CONTROL!$C$22, $C$13, 100%, $E$13)</f>
        <v>8.5322999999999993</v>
      </c>
      <c r="I253" s="68">
        <f>8.5356 * CHOOSE(CONTROL!$C$22, $C$13, 100%, $E$13)</f>
        <v>8.5356000000000005</v>
      </c>
      <c r="J253" s="68">
        <f>5.2454 * CHOOSE(CONTROL!$C$22, $C$13, 100%, $E$13)</f>
        <v>5.2454000000000001</v>
      </c>
      <c r="K253" s="68">
        <f>5.2487 * CHOOSE(CONTROL!$C$22, $C$13, 100%, $E$13)</f>
        <v>5.2487000000000004</v>
      </c>
    </row>
    <row r="254" spans="1:11" ht="15">
      <c r="A254" s="13">
        <v>48853</v>
      </c>
      <c r="B254" s="67">
        <f>4.3497 * CHOOSE(CONTROL!$C$22, $C$13, 100%, $E$13)</f>
        <v>4.3497000000000003</v>
      </c>
      <c r="C254" s="67">
        <f>4.3497 * CHOOSE(CONTROL!$C$22, $C$13, 100%, $E$13)</f>
        <v>4.3497000000000003</v>
      </c>
      <c r="D254" s="67">
        <f>4.3507 * CHOOSE(CONTROL!$C$22, $C$13, 100%, $E$13)</f>
        <v>4.3506999999999998</v>
      </c>
      <c r="E254" s="68">
        <f>5.2665 * CHOOSE(CONTROL!$C$22, $C$13, 100%, $E$13)</f>
        <v>5.2664999999999997</v>
      </c>
      <c r="F254" s="68">
        <f>5.2665 * CHOOSE(CONTROL!$C$22, $C$13, 100%, $E$13)</f>
        <v>5.2664999999999997</v>
      </c>
      <c r="G254" s="68">
        <f>5.2678 * CHOOSE(CONTROL!$C$22, $C$13, 100%, $E$13)</f>
        <v>5.2678000000000003</v>
      </c>
      <c r="H254" s="68">
        <f>8.5501* CHOOSE(CONTROL!$C$22, $C$13, 100%, $E$13)</f>
        <v>8.5501000000000005</v>
      </c>
      <c r="I254" s="68">
        <f>8.5514 * CHOOSE(CONTROL!$C$22, $C$13, 100%, $E$13)</f>
        <v>8.5513999999999992</v>
      </c>
      <c r="J254" s="68">
        <f>5.2665 * CHOOSE(CONTROL!$C$22, $C$13, 100%, $E$13)</f>
        <v>5.2664999999999997</v>
      </c>
      <c r="K254" s="68">
        <f>5.2678 * CHOOSE(CONTROL!$C$22, $C$13, 100%, $E$13)</f>
        <v>5.2678000000000003</v>
      </c>
    </row>
    <row r="255" spans="1:11" ht="15">
      <c r="A255" s="13">
        <v>48884</v>
      </c>
      <c r="B255" s="67">
        <f>4.3528 * CHOOSE(CONTROL!$C$22, $C$13, 100%, $E$13)</f>
        <v>4.3528000000000002</v>
      </c>
      <c r="C255" s="67">
        <f>4.3528 * CHOOSE(CONTROL!$C$22, $C$13, 100%, $E$13)</f>
        <v>4.3528000000000002</v>
      </c>
      <c r="D255" s="67">
        <f>4.3538 * CHOOSE(CONTROL!$C$22, $C$13, 100%, $E$13)</f>
        <v>4.3537999999999997</v>
      </c>
      <c r="E255" s="68">
        <f>5.2859 * CHOOSE(CONTROL!$C$22, $C$13, 100%, $E$13)</f>
        <v>5.2858999999999998</v>
      </c>
      <c r="F255" s="68">
        <f>5.2859 * CHOOSE(CONTROL!$C$22, $C$13, 100%, $E$13)</f>
        <v>5.2858999999999998</v>
      </c>
      <c r="G255" s="68">
        <f>5.2872 * CHOOSE(CONTROL!$C$22, $C$13, 100%, $E$13)</f>
        <v>5.2872000000000003</v>
      </c>
      <c r="H255" s="68">
        <f>8.5679* CHOOSE(CONTROL!$C$22, $C$13, 100%, $E$13)</f>
        <v>8.5678999999999998</v>
      </c>
      <c r="I255" s="68">
        <f>8.5692 * CHOOSE(CONTROL!$C$22, $C$13, 100%, $E$13)</f>
        <v>8.5692000000000004</v>
      </c>
      <c r="J255" s="68">
        <f>5.2859 * CHOOSE(CONTROL!$C$22, $C$13, 100%, $E$13)</f>
        <v>5.2858999999999998</v>
      </c>
      <c r="K255" s="68">
        <f>5.2872 * CHOOSE(CONTROL!$C$22, $C$13, 100%, $E$13)</f>
        <v>5.2872000000000003</v>
      </c>
    </row>
    <row r="256" spans="1:11" ht="15">
      <c r="A256" s="13">
        <v>48914</v>
      </c>
      <c r="B256" s="67">
        <f>4.3528 * CHOOSE(CONTROL!$C$22, $C$13, 100%, $E$13)</f>
        <v>4.3528000000000002</v>
      </c>
      <c r="C256" s="67">
        <f>4.3528 * CHOOSE(CONTROL!$C$22, $C$13, 100%, $E$13)</f>
        <v>4.3528000000000002</v>
      </c>
      <c r="D256" s="67">
        <f>4.3538 * CHOOSE(CONTROL!$C$22, $C$13, 100%, $E$13)</f>
        <v>4.3537999999999997</v>
      </c>
      <c r="E256" s="68">
        <f>5.2427 * CHOOSE(CONTROL!$C$22, $C$13, 100%, $E$13)</f>
        <v>5.2427000000000001</v>
      </c>
      <c r="F256" s="68">
        <f>5.2427 * CHOOSE(CONTROL!$C$22, $C$13, 100%, $E$13)</f>
        <v>5.2427000000000001</v>
      </c>
      <c r="G256" s="68">
        <f>5.244 * CHOOSE(CONTROL!$C$22, $C$13, 100%, $E$13)</f>
        <v>5.2439999999999998</v>
      </c>
      <c r="H256" s="68">
        <f>8.5858* CHOOSE(CONTROL!$C$22, $C$13, 100%, $E$13)</f>
        <v>8.5858000000000008</v>
      </c>
      <c r="I256" s="68">
        <f>8.5871 * CHOOSE(CONTROL!$C$22, $C$13, 100%, $E$13)</f>
        <v>8.5870999999999995</v>
      </c>
      <c r="J256" s="68">
        <f>5.2427 * CHOOSE(CONTROL!$C$22, $C$13, 100%, $E$13)</f>
        <v>5.2427000000000001</v>
      </c>
      <c r="K256" s="68">
        <f>5.244 * CHOOSE(CONTROL!$C$22, $C$13, 100%, $E$13)</f>
        <v>5.2439999999999998</v>
      </c>
    </row>
    <row r="257" spans="1:11" ht="15">
      <c r="A257" s="13">
        <v>48945</v>
      </c>
      <c r="B257" s="67">
        <f>4.3942 * CHOOSE(CONTROL!$C$22, $C$13, 100%, $E$13)</f>
        <v>4.3941999999999997</v>
      </c>
      <c r="C257" s="67">
        <f>4.3942 * CHOOSE(CONTROL!$C$22, $C$13, 100%, $E$13)</f>
        <v>4.3941999999999997</v>
      </c>
      <c r="D257" s="67">
        <f>4.3951 * CHOOSE(CONTROL!$C$22, $C$13, 100%, $E$13)</f>
        <v>4.3951000000000002</v>
      </c>
      <c r="E257" s="68">
        <f>5.3259 * CHOOSE(CONTROL!$C$22, $C$13, 100%, $E$13)</f>
        <v>5.3258999999999999</v>
      </c>
      <c r="F257" s="68">
        <f>5.3259 * CHOOSE(CONTROL!$C$22, $C$13, 100%, $E$13)</f>
        <v>5.3258999999999999</v>
      </c>
      <c r="G257" s="68">
        <f>5.3272 * CHOOSE(CONTROL!$C$22, $C$13, 100%, $E$13)</f>
        <v>5.3272000000000004</v>
      </c>
      <c r="H257" s="68">
        <f>8.6037* CHOOSE(CONTROL!$C$22, $C$13, 100%, $E$13)</f>
        <v>8.6036999999999999</v>
      </c>
      <c r="I257" s="68">
        <f>8.6049 * CHOOSE(CONTROL!$C$22, $C$13, 100%, $E$13)</f>
        <v>8.6049000000000007</v>
      </c>
      <c r="J257" s="68">
        <f>5.3259 * CHOOSE(CONTROL!$C$22, $C$13, 100%, $E$13)</f>
        <v>5.3258999999999999</v>
      </c>
      <c r="K257" s="68">
        <f>5.3272 * CHOOSE(CONTROL!$C$22, $C$13, 100%, $E$13)</f>
        <v>5.3272000000000004</v>
      </c>
    </row>
    <row r="258" spans="1:11" ht="15">
      <c r="A258" s="13">
        <v>48976</v>
      </c>
      <c r="B258" s="67">
        <f>4.3911 * CHOOSE(CONTROL!$C$22, $C$13, 100%, $E$13)</f>
        <v>4.3910999999999998</v>
      </c>
      <c r="C258" s="67">
        <f>4.3911 * CHOOSE(CONTROL!$C$22, $C$13, 100%, $E$13)</f>
        <v>4.3910999999999998</v>
      </c>
      <c r="D258" s="67">
        <f>4.3921 * CHOOSE(CONTROL!$C$22, $C$13, 100%, $E$13)</f>
        <v>4.3921000000000001</v>
      </c>
      <c r="E258" s="68">
        <f>5.24 * CHOOSE(CONTROL!$C$22, $C$13, 100%, $E$13)</f>
        <v>5.24</v>
      </c>
      <c r="F258" s="68">
        <f>5.24 * CHOOSE(CONTROL!$C$22, $C$13, 100%, $E$13)</f>
        <v>5.24</v>
      </c>
      <c r="G258" s="68">
        <f>5.2413 * CHOOSE(CONTROL!$C$22, $C$13, 100%, $E$13)</f>
        <v>5.2412999999999998</v>
      </c>
      <c r="H258" s="68">
        <f>8.6216* CHOOSE(CONTROL!$C$22, $C$13, 100%, $E$13)</f>
        <v>8.6216000000000008</v>
      </c>
      <c r="I258" s="68">
        <f>8.6229 * CHOOSE(CONTROL!$C$22, $C$13, 100%, $E$13)</f>
        <v>8.6228999999999996</v>
      </c>
      <c r="J258" s="68">
        <f>5.24 * CHOOSE(CONTROL!$C$22, $C$13, 100%, $E$13)</f>
        <v>5.24</v>
      </c>
      <c r="K258" s="68">
        <f>5.2413 * CHOOSE(CONTROL!$C$22, $C$13, 100%, $E$13)</f>
        <v>5.2412999999999998</v>
      </c>
    </row>
    <row r="259" spans="1:11" ht="15">
      <c r="A259" s="13">
        <v>49004</v>
      </c>
      <c r="B259" s="67">
        <f>4.3881 * CHOOSE(CONTROL!$C$22, $C$13, 100%, $E$13)</f>
        <v>4.3880999999999997</v>
      </c>
      <c r="C259" s="67">
        <f>4.3881 * CHOOSE(CONTROL!$C$22, $C$13, 100%, $E$13)</f>
        <v>4.3880999999999997</v>
      </c>
      <c r="D259" s="67">
        <f>4.3891 * CHOOSE(CONTROL!$C$22, $C$13, 100%, $E$13)</f>
        <v>4.3891</v>
      </c>
      <c r="E259" s="68">
        <f>5.304 * CHOOSE(CONTROL!$C$22, $C$13, 100%, $E$13)</f>
        <v>5.3040000000000003</v>
      </c>
      <c r="F259" s="68">
        <f>5.304 * CHOOSE(CONTROL!$C$22, $C$13, 100%, $E$13)</f>
        <v>5.3040000000000003</v>
      </c>
      <c r="G259" s="68">
        <f>5.3052 * CHOOSE(CONTROL!$C$22, $C$13, 100%, $E$13)</f>
        <v>5.3052000000000001</v>
      </c>
      <c r="H259" s="68">
        <f>8.6395* CHOOSE(CONTROL!$C$22, $C$13, 100%, $E$13)</f>
        <v>8.6395</v>
      </c>
      <c r="I259" s="68">
        <f>8.6408 * CHOOSE(CONTROL!$C$22, $C$13, 100%, $E$13)</f>
        <v>8.6408000000000005</v>
      </c>
      <c r="J259" s="68">
        <f>5.304 * CHOOSE(CONTROL!$C$22, $C$13, 100%, $E$13)</f>
        <v>5.3040000000000003</v>
      </c>
      <c r="K259" s="68">
        <f>5.3052 * CHOOSE(CONTROL!$C$22, $C$13, 100%, $E$13)</f>
        <v>5.3052000000000001</v>
      </c>
    </row>
    <row r="260" spans="1:11" ht="15">
      <c r="A260" s="13">
        <v>49035</v>
      </c>
      <c r="B260" s="67">
        <f>4.3861 * CHOOSE(CONTROL!$C$22, $C$13, 100%, $E$13)</f>
        <v>4.3860999999999999</v>
      </c>
      <c r="C260" s="67">
        <f>4.3861 * CHOOSE(CONTROL!$C$22, $C$13, 100%, $E$13)</f>
        <v>4.3860999999999999</v>
      </c>
      <c r="D260" s="67">
        <f>4.387 * CHOOSE(CONTROL!$C$22, $C$13, 100%, $E$13)</f>
        <v>4.3869999999999996</v>
      </c>
      <c r="E260" s="68">
        <f>5.3707 * CHOOSE(CONTROL!$C$22, $C$13, 100%, $E$13)</f>
        <v>5.3707000000000003</v>
      </c>
      <c r="F260" s="68">
        <f>5.3707 * CHOOSE(CONTROL!$C$22, $C$13, 100%, $E$13)</f>
        <v>5.3707000000000003</v>
      </c>
      <c r="G260" s="68">
        <f>5.3719 * CHOOSE(CONTROL!$C$22, $C$13, 100%, $E$13)</f>
        <v>5.3719000000000001</v>
      </c>
      <c r="H260" s="68">
        <f>8.6575* CHOOSE(CONTROL!$C$22, $C$13, 100%, $E$13)</f>
        <v>8.6575000000000006</v>
      </c>
      <c r="I260" s="68">
        <f>8.6588 * CHOOSE(CONTROL!$C$22, $C$13, 100%, $E$13)</f>
        <v>8.6587999999999994</v>
      </c>
      <c r="J260" s="68">
        <f>5.3707 * CHOOSE(CONTROL!$C$22, $C$13, 100%, $E$13)</f>
        <v>5.3707000000000003</v>
      </c>
      <c r="K260" s="68">
        <f>5.3719 * CHOOSE(CONTROL!$C$22, $C$13, 100%, $E$13)</f>
        <v>5.3719000000000001</v>
      </c>
    </row>
    <row r="261" spans="1:11" ht="15">
      <c r="A261" s="13">
        <v>49065</v>
      </c>
      <c r="B261" s="67">
        <f>4.3861 * CHOOSE(CONTROL!$C$22, $C$13, 100%, $E$13)</f>
        <v>4.3860999999999999</v>
      </c>
      <c r="C261" s="67">
        <f>4.3861 * CHOOSE(CONTROL!$C$22, $C$13, 100%, $E$13)</f>
        <v>4.3860999999999999</v>
      </c>
      <c r="D261" s="67">
        <f>4.3887 * CHOOSE(CONTROL!$C$22, $C$13, 100%, $E$13)</f>
        <v>4.3887</v>
      </c>
      <c r="E261" s="68">
        <f>5.3973 * CHOOSE(CONTROL!$C$22, $C$13, 100%, $E$13)</f>
        <v>5.3973000000000004</v>
      </c>
      <c r="F261" s="68">
        <f>5.3973 * CHOOSE(CONTROL!$C$22, $C$13, 100%, $E$13)</f>
        <v>5.3973000000000004</v>
      </c>
      <c r="G261" s="68">
        <f>5.4005 * CHOOSE(CONTROL!$C$22, $C$13, 100%, $E$13)</f>
        <v>5.4005000000000001</v>
      </c>
      <c r="H261" s="68">
        <f>8.6756* CHOOSE(CONTROL!$C$22, $C$13, 100%, $E$13)</f>
        <v>8.6755999999999993</v>
      </c>
      <c r="I261" s="68">
        <f>8.6788 * CHOOSE(CONTROL!$C$22, $C$13, 100%, $E$13)</f>
        <v>8.6788000000000007</v>
      </c>
      <c r="J261" s="68">
        <f>5.3973 * CHOOSE(CONTROL!$C$22, $C$13, 100%, $E$13)</f>
        <v>5.3973000000000004</v>
      </c>
      <c r="K261" s="68">
        <f>5.4005 * CHOOSE(CONTROL!$C$22, $C$13, 100%, $E$13)</f>
        <v>5.4005000000000001</v>
      </c>
    </row>
    <row r="262" spans="1:11" ht="15">
      <c r="A262" s="13">
        <v>49096</v>
      </c>
      <c r="B262" s="67">
        <f>4.3921 * CHOOSE(CONTROL!$C$22, $C$13, 100%, $E$13)</f>
        <v>4.3921000000000001</v>
      </c>
      <c r="C262" s="67">
        <f>4.3921 * CHOOSE(CONTROL!$C$22, $C$13, 100%, $E$13)</f>
        <v>4.3921000000000001</v>
      </c>
      <c r="D262" s="67">
        <f>4.3948 * CHOOSE(CONTROL!$C$22, $C$13, 100%, $E$13)</f>
        <v>4.3948</v>
      </c>
      <c r="E262" s="68">
        <f>5.3749 * CHOOSE(CONTROL!$C$22, $C$13, 100%, $E$13)</f>
        <v>5.3749000000000002</v>
      </c>
      <c r="F262" s="68">
        <f>5.3749 * CHOOSE(CONTROL!$C$22, $C$13, 100%, $E$13)</f>
        <v>5.3749000000000002</v>
      </c>
      <c r="G262" s="68">
        <f>5.3782 * CHOOSE(CONTROL!$C$22, $C$13, 100%, $E$13)</f>
        <v>5.3781999999999996</v>
      </c>
      <c r="H262" s="68">
        <f>8.6937* CHOOSE(CONTROL!$C$22, $C$13, 100%, $E$13)</f>
        <v>8.6936999999999998</v>
      </c>
      <c r="I262" s="68">
        <f>8.6969 * CHOOSE(CONTROL!$C$22, $C$13, 100%, $E$13)</f>
        <v>8.6968999999999994</v>
      </c>
      <c r="J262" s="68">
        <f>5.3749 * CHOOSE(CONTROL!$C$22, $C$13, 100%, $E$13)</f>
        <v>5.3749000000000002</v>
      </c>
      <c r="K262" s="68">
        <f>5.3782 * CHOOSE(CONTROL!$C$22, $C$13, 100%, $E$13)</f>
        <v>5.3781999999999996</v>
      </c>
    </row>
    <row r="263" spans="1:11" ht="15">
      <c r="A263" s="13">
        <v>49126</v>
      </c>
      <c r="B263" s="67">
        <f>4.4705 * CHOOSE(CONTROL!$C$22, $C$13, 100%, $E$13)</f>
        <v>4.4705000000000004</v>
      </c>
      <c r="C263" s="67">
        <f>4.4705 * CHOOSE(CONTROL!$C$22, $C$13, 100%, $E$13)</f>
        <v>4.4705000000000004</v>
      </c>
      <c r="D263" s="67">
        <f>4.4731 * CHOOSE(CONTROL!$C$22, $C$13, 100%, $E$13)</f>
        <v>4.4730999999999996</v>
      </c>
      <c r="E263" s="68">
        <f>5.4902 * CHOOSE(CONTROL!$C$22, $C$13, 100%, $E$13)</f>
        <v>5.4901999999999997</v>
      </c>
      <c r="F263" s="68">
        <f>5.4902 * CHOOSE(CONTROL!$C$22, $C$13, 100%, $E$13)</f>
        <v>5.4901999999999997</v>
      </c>
      <c r="G263" s="68">
        <f>5.4935 * CHOOSE(CONTROL!$C$22, $C$13, 100%, $E$13)</f>
        <v>5.4935</v>
      </c>
      <c r="H263" s="68">
        <f>8.7118* CHOOSE(CONTROL!$C$22, $C$13, 100%, $E$13)</f>
        <v>8.7118000000000002</v>
      </c>
      <c r="I263" s="68">
        <f>8.715 * CHOOSE(CONTROL!$C$22, $C$13, 100%, $E$13)</f>
        <v>8.7149999999999999</v>
      </c>
      <c r="J263" s="68">
        <f>5.4902 * CHOOSE(CONTROL!$C$22, $C$13, 100%, $E$13)</f>
        <v>5.4901999999999997</v>
      </c>
      <c r="K263" s="68">
        <f>5.4935 * CHOOSE(CONTROL!$C$22, $C$13, 100%, $E$13)</f>
        <v>5.4935</v>
      </c>
    </row>
    <row r="264" spans="1:11" ht="15">
      <c r="A264" s="13">
        <v>49157</v>
      </c>
      <c r="B264" s="67">
        <f>4.4771 * CHOOSE(CONTROL!$C$22, $C$13, 100%, $E$13)</f>
        <v>4.4771000000000001</v>
      </c>
      <c r="C264" s="67">
        <f>4.4771 * CHOOSE(CONTROL!$C$22, $C$13, 100%, $E$13)</f>
        <v>4.4771000000000001</v>
      </c>
      <c r="D264" s="67">
        <f>4.4798 * CHOOSE(CONTROL!$C$22, $C$13, 100%, $E$13)</f>
        <v>4.4798</v>
      </c>
      <c r="E264" s="68">
        <f>5.4151 * CHOOSE(CONTROL!$C$22, $C$13, 100%, $E$13)</f>
        <v>5.4150999999999998</v>
      </c>
      <c r="F264" s="68">
        <f>5.4151 * CHOOSE(CONTROL!$C$22, $C$13, 100%, $E$13)</f>
        <v>5.4150999999999998</v>
      </c>
      <c r="G264" s="68">
        <f>5.4183 * CHOOSE(CONTROL!$C$22, $C$13, 100%, $E$13)</f>
        <v>5.4183000000000003</v>
      </c>
      <c r="H264" s="68">
        <f>8.7299* CHOOSE(CONTROL!$C$22, $C$13, 100%, $E$13)</f>
        <v>8.7299000000000007</v>
      </c>
      <c r="I264" s="68">
        <f>8.7332 * CHOOSE(CONTROL!$C$22, $C$13, 100%, $E$13)</f>
        <v>8.7332000000000001</v>
      </c>
      <c r="J264" s="68">
        <f>5.4151 * CHOOSE(CONTROL!$C$22, $C$13, 100%, $E$13)</f>
        <v>5.4150999999999998</v>
      </c>
      <c r="K264" s="68">
        <f>5.4183 * CHOOSE(CONTROL!$C$22, $C$13, 100%, $E$13)</f>
        <v>5.4183000000000003</v>
      </c>
    </row>
    <row r="265" spans="1:11" ht="15">
      <c r="A265" s="13">
        <v>49188</v>
      </c>
      <c r="B265" s="67">
        <f>4.4741 * CHOOSE(CONTROL!$C$22, $C$13, 100%, $E$13)</f>
        <v>4.4741</v>
      </c>
      <c r="C265" s="67">
        <f>4.4741 * CHOOSE(CONTROL!$C$22, $C$13, 100%, $E$13)</f>
        <v>4.4741</v>
      </c>
      <c r="D265" s="67">
        <f>4.4767 * CHOOSE(CONTROL!$C$22, $C$13, 100%, $E$13)</f>
        <v>4.4767000000000001</v>
      </c>
      <c r="E265" s="68">
        <f>5.4041 * CHOOSE(CONTROL!$C$22, $C$13, 100%, $E$13)</f>
        <v>5.4040999999999997</v>
      </c>
      <c r="F265" s="68">
        <f>5.4041 * CHOOSE(CONTROL!$C$22, $C$13, 100%, $E$13)</f>
        <v>5.4040999999999997</v>
      </c>
      <c r="G265" s="68">
        <f>5.4073 * CHOOSE(CONTROL!$C$22, $C$13, 100%, $E$13)</f>
        <v>5.4073000000000002</v>
      </c>
      <c r="H265" s="68">
        <f>8.7481* CHOOSE(CONTROL!$C$22, $C$13, 100%, $E$13)</f>
        <v>8.7481000000000009</v>
      </c>
      <c r="I265" s="68">
        <f>8.7514 * CHOOSE(CONTROL!$C$22, $C$13, 100%, $E$13)</f>
        <v>8.7514000000000003</v>
      </c>
      <c r="J265" s="68">
        <f>5.4041 * CHOOSE(CONTROL!$C$22, $C$13, 100%, $E$13)</f>
        <v>5.4040999999999997</v>
      </c>
      <c r="K265" s="68">
        <f>5.4073 * CHOOSE(CONTROL!$C$22, $C$13, 100%, $E$13)</f>
        <v>5.4073000000000002</v>
      </c>
    </row>
    <row r="266" spans="1:11" ht="15">
      <c r="A266" s="13">
        <v>49218</v>
      </c>
      <c r="B266" s="67">
        <f>4.4707 * CHOOSE(CONTROL!$C$22, $C$13, 100%, $E$13)</f>
        <v>4.4706999999999999</v>
      </c>
      <c r="C266" s="67">
        <f>4.4707 * CHOOSE(CONTROL!$C$22, $C$13, 100%, $E$13)</f>
        <v>4.4706999999999999</v>
      </c>
      <c r="D266" s="67">
        <f>4.4717 * CHOOSE(CONTROL!$C$22, $C$13, 100%, $E$13)</f>
        <v>4.4717000000000002</v>
      </c>
      <c r="E266" s="68">
        <f>5.4261 * CHOOSE(CONTROL!$C$22, $C$13, 100%, $E$13)</f>
        <v>5.4260999999999999</v>
      </c>
      <c r="F266" s="68">
        <f>5.4261 * CHOOSE(CONTROL!$C$22, $C$13, 100%, $E$13)</f>
        <v>5.4260999999999999</v>
      </c>
      <c r="G266" s="68">
        <f>5.4274 * CHOOSE(CONTROL!$C$22, $C$13, 100%, $E$13)</f>
        <v>5.4273999999999996</v>
      </c>
      <c r="H266" s="68">
        <f>8.7663* CHOOSE(CONTROL!$C$22, $C$13, 100%, $E$13)</f>
        <v>8.7662999999999993</v>
      </c>
      <c r="I266" s="68">
        <f>8.7676 * CHOOSE(CONTROL!$C$22, $C$13, 100%, $E$13)</f>
        <v>8.7675999999999998</v>
      </c>
      <c r="J266" s="68">
        <f>5.4261 * CHOOSE(CONTROL!$C$22, $C$13, 100%, $E$13)</f>
        <v>5.4260999999999999</v>
      </c>
      <c r="K266" s="68">
        <f>5.4274 * CHOOSE(CONTROL!$C$22, $C$13, 100%, $E$13)</f>
        <v>5.4273999999999996</v>
      </c>
    </row>
    <row r="267" spans="1:11" ht="15">
      <c r="A267" s="13">
        <v>49249</v>
      </c>
      <c r="B267" s="67">
        <f>4.4738 * CHOOSE(CONTROL!$C$22, $C$13, 100%, $E$13)</f>
        <v>4.4737999999999998</v>
      </c>
      <c r="C267" s="67">
        <f>4.4738 * CHOOSE(CONTROL!$C$22, $C$13, 100%, $E$13)</f>
        <v>4.4737999999999998</v>
      </c>
      <c r="D267" s="67">
        <f>4.4747 * CHOOSE(CONTROL!$C$22, $C$13, 100%, $E$13)</f>
        <v>4.4747000000000003</v>
      </c>
      <c r="E267" s="68">
        <f>5.446 * CHOOSE(CONTROL!$C$22, $C$13, 100%, $E$13)</f>
        <v>5.4459999999999997</v>
      </c>
      <c r="F267" s="68">
        <f>5.446 * CHOOSE(CONTROL!$C$22, $C$13, 100%, $E$13)</f>
        <v>5.4459999999999997</v>
      </c>
      <c r="G267" s="68">
        <f>5.4473 * CHOOSE(CONTROL!$C$22, $C$13, 100%, $E$13)</f>
        <v>5.4473000000000003</v>
      </c>
      <c r="H267" s="68">
        <f>8.7846* CHOOSE(CONTROL!$C$22, $C$13, 100%, $E$13)</f>
        <v>8.7845999999999993</v>
      </c>
      <c r="I267" s="68">
        <f>8.7859 * CHOOSE(CONTROL!$C$22, $C$13, 100%, $E$13)</f>
        <v>8.7858999999999998</v>
      </c>
      <c r="J267" s="68">
        <f>5.446 * CHOOSE(CONTROL!$C$22, $C$13, 100%, $E$13)</f>
        <v>5.4459999999999997</v>
      </c>
      <c r="K267" s="68">
        <f>5.4473 * CHOOSE(CONTROL!$C$22, $C$13, 100%, $E$13)</f>
        <v>5.4473000000000003</v>
      </c>
    </row>
    <row r="268" spans="1:11" ht="15">
      <c r="A268" s="13">
        <v>49279</v>
      </c>
      <c r="B268" s="67">
        <f>4.4738 * CHOOSE(CONTROL!$C$22, $C$13, 100%, $E$13)</f>
        <v>4.4737999999999998</v>
      </c>
      <c r="C268" s="67">
        <f>4.4738 * CHOOSE(CONTROL!$C$22, $C$13, 100%, $E$13)</f>
        <v>4.4737999999999998</v>
      </c>
      <c r="D268" s="67">
        <f>4.4747 * CHOOSE(CONTROL!$C$22, $C$13, 100%, $E$13)</f>
        <v>4.4747000000000003</v>
      </c>
      <c r="E268" s="68">
        <f>5.4016 * CHOOSE(CONTROL!$C$22, $C$13, 100%, $E$13)</f>
        <v>5.4016000000000002</v>
      </c>
      <c r="F268" s="68">
        <f>5.4016 * CHOOSE(CONTROL!$C$22, $C$13, 100%, $E$13)</f>
        <v>5.4016000000000002</v>
      </c>
      <c r="G268" s="68">
        <f>5.4029 * CHOOSE(CONTROL!$C$22, $C$13, 100%, $E$13)</f>
        <v>5.4028999999999998</v>
      </c>
      <c r="H268" s="68">
        <f>8.8029* CHOOSE(CONTROL!$C$22, $C$13, 100%, $E$13)</f>
        <v>8.8028999999999993</v>
      </c>
      <c r="I268" s="68">
        <f>8.8042 * CHOOSE(CONTROL!$C$22, $C$13, 100%, $E$13)</f>
        <v>8.8041999999999998</v>
      </c>
      <c r="J268" s="68">
        <f>5.4016 * CHOOSE(CONTROL!$C$22, $C$13, 100%, $E$13)</f>
        <v>5.4016000000000002</v>
      </c>
      <c r="K268" s="68">
        <f>5.4029 * CHOOSE(CONTROL!$C$22, $C$13, 100%, $E$13)</f>
        <v>5.4028999999999998</v>
      </c>
    </row>
    <row r="269" spans="1:11" ht="15">
      <c r="A269" s="13">
        <v>49310</v>
      </c>
      <c r="B269" s="67">
        <f>4.515 * CHOOSE(CONTROL!$C$22, $C$13, 100%, $E$13)</f>
        <v>4.5149999999999997</v>
      </c>
      <c r="C269" s="67">
        <f>4.515 * CHOOSE(CONTROL!$C$22, $C$13, 100%, $E$13)</f>
        <v>4.5149999999999997</v>
      </c>
      <c r="D269" s="67">
        <f>4.5159 * CHOOSE(CONTROL!$C$22, $C$13, 100%, $E$13)</f>
        <v>4.5159000000000002</v>
      </c>
      <c r="E269" s="68">
        <f>5.4889 * CHOOSE(CONTROL!$C$22, $C$13, 100%, $E$13)</f>
        <v>5.4889000000000001</v>
      </c>
      <c r="F269" s="68">
        <f>5.4889 * CHOOSE(CONTROL!$C$22, $C$13, 100%, $E$13)</f>
        <v>5.4889000000000001</v>
      </c>
      <c r="G269" s="68">
        <f>5.4901 * CHOOSE(CONTROL!$C$22, $C$13, 100%, $E$13)</f>
        <v>5.4901</v>
      </c>
      <c r="H269" s="68">
        <f>8.8212* CHOOSE(CONTROL!$C$22, $C$13, 100%, $E$13)</f>
        <v>8.8211999999999993</v>
      </c>
      <c r="I269" s="68">
        <f>8.8225 * CHOOSE(CONTROL!$C$22, $C$13, 100%, $E$13)</f>
        <v>8.8224999999999998</v>
      </c>
      <c r="J269" s="68">
        <f>5.4889 * CHOOSE(CONTROL!$C$22, $C$13, 100%, $E$13)</f>
        <v>5.4889000000000001</v>
      </c>
      <c r="K269" s="68">
        <f>5.4901 * CHOOSE(CONTROL!$C$22, $C$13, 100%, $E$13)</f>
        <v>5.4901</v>
      </c>
    </row>
    <row r="270" spans="1:11" ht="15">
      <c r="A270" s="13">
        <v>49341</v>
      </c>
      <c r="B270" s="67">
        <f>4.5119 * CHOOSE(CONTROL!$C$22, $C$13, 100%, $E$13)</f>
        <v>4.5118999999999998</v>
      </c>
      <c r="C270" s="67">
        <f>4.5119 * CHOOSE(CONTROL!$C$22, $C$13, 100%, $E$13)</f>
        <v>4.5118999999999998</v>
      </c>
      <c r="D270" s="67">
        <f>4.5129 * CHOOSE(CONTROL!$C$22, $C$13, 100%, $E$13)</f>
        <v>4.5129000000000001</v>
      </c>
      <c r="E270" s="68">
        <f>5.4007 * CHOOSE(CONTROL!$C$22, $C$13, 100%, $E$13)</f>
        <v>5.4006999999999996</v>
      </c>
      <c r="F270" s="68">
        <f>5.4007 * CHOOSE(CONTROL!$C$22, $C$13, 100%, $E$13)</f>
        <v>5.4006999999999996</v>
      </c>
      <c r="G270" s="68">
        <f>5.402 * CHOOSE(CONTROL!$C$22, $C$13, 100%, $E$13)</f>
        <v>5.4020000000000001</v>
      </c>
      <c r="H270" s="68">
        <f>8.8396* CHOOSE(CONTROL!$C$22, $C$13, 100%, $E$13)</f>
        <v>8.8396000000000008</v>
      </c>
      <c r="I270" s="68">
        <f>8.8409 * CHOOSE(CONTROL!$C$22, $C$13, 100%, $E$13)</f>
        <v>8.8408999999999995</v>
      </c>
      <c r="J270" s="68">
        <f>5.4007 * CHOOSE(CONTROL!$C$22, $C$13, 100%, $E$13)</f>
        <v>5.4006999999999996</v>
      </c>
      <c r="K270" s="68">
        <f>5.402 * CHOOSE(CONTROL!$C$22, $C$13, 100%, $E$13)</f>
        <v>5.4020000000000001</v>
      </c>
    </row>
    <row r="271" spans="1:11" ht="15">
      <c r="A271" s="13">
        <v>49369</v>
      </c>
      <c r="B271" s="67">
        <f>4.5089 * CHOOSE(CONTROL!$C$22, $C$13, 100%, $E$13)</f>
        <v>4.5088999999999997</v>
      </c>
      <c r="C271" s="67">
        <f>4.5089 * CHOOSE(CONTROL!$C$22, $C$13, 100%, $E$13)</f>
        <v>4.5088999999999997</v>
      </c>
      <c r="D271" s="67">
        <f>4.5099 * CHOOSE(CONTROL!$C$22, $C$13, 100%, $E$13)</f>
        <v>4.5099</v>
      </c>
      <c r="E271" s="68">
        <f>5.4664 * CHOOSE(CONTROL!$C$22, $C$13, 100%, $E$13)</f>
        <v>5.4664000000000001</v>
      </c>
      <c r="F271" s="68">
        <f>5.4664 * CHOOSE(CONTROL!$C$22, $C$13, 100%, $E$13)</f>
        <v>5.4664000000000001</v>
      </c>
      <c r="G271" s="68">
        <f>5.4677 * CHOOSE(CONTROL!$C$22, $C$13, 100%, $E$13)</f>
        <v>5.4676999999999998</v>
      </c>
      <c r="H271" s="68">
        <f>8.858* CHOOSE(CONTROL!$C$22, $C$13, 100%, $E$13)</f>
        <v>8.8580000000000005</v>
      </c>
      <c r="I271" s="68">
        <f>8.8593 * CHOOSE(CONTROL!$C$22, $C$13, 100%, $E$13)</f>
        <v>8.8592999999999993</v>
      </c>
      <c r="J271" s="68">
        <f>5.4664 * CHOOSE(CONTROL!$C$22, $C$13, 100%, $E$13)</f>
        <v>5.4664000000000001</v>
      </c>
      <c r="K271" s="68">
        <f>5.4677 * CHOOSE(CONTROL!$C$22, $C$13, 100%, $E$13)</f>
        <v>5.4676999999999998</v>
      </c>
    </row>
    <row r="272" spans="1:11" ht="15">
      <c r="A272" s="13">
        <v>49400</v>
      </c>
      <c r="B272" s="67">
        <f>4.507 * CHOOSE(CONTROL!$C$22, $C$13, 100%, $E$13)</f>
        <v>4.5069999999999997</v>
      </c>
      <c r="C272" s="67">
        <f>4.507 * CHOOSE(CONTROL!$C$22, $C$13, 100%, $E$13)</f>
        <v>4.5069999999999997</v>
      </c>
      <c r="D272" s="67">
        <f>4.508 * CHOOSE(CONTROL!$C$22, $C$13, 100%, $E$13)</f>
        <v>4.508</v>
      </c>
      <c r="E272" s="68">
        <f>5.535 * CHOOSE(CONTROL!$C$22, $C$13, 100%, $E$13)</f>
        <v>5.5350000000000001</v>
      </c>
      <c r="F272" s="68">
        <f>5.535 * CHOOSE(CONTROL!$C$22, $C$13, 100%, $E$13)</f>
        <v>5.5350000000000001</v>
      </c>
      <c r="G272" s="68">
        <f>5.5363 * CHOOSE(CONTROL!$C$22, $C$13, 100%, $E$13)</f>
        <v>5.5362999999999998</v>
      </c>
      <c r="H272" s="68">
        <f>8.8765* CHOOSE(CONTROL!$C$22, $C$13, 100%, $E$13)</f>
        <v>8.8765000000000001</v>
      </c>
      <c r="I272" s="68">
        <f>8.8778 * CHOOSE(CONTROL!$C$22, $C$13, 100%, $E$13)</f>
        <v>8.8778000000000006</v>
      </c>
      <c r="J272" s="68">
        <f>5.535 * CHOOSE(CONTROL!$C$22, $C$13, 100%, $E$13)</f>
        <v>5.5350000000000001</v>
      </c>
      <c r="K272" s="68">
        <f>5.5363 * CHOOSE(CONTROL!$C$22, $C$13, 100%, $E$13)</f>
        <v>5.5362999999999998</v>
      </c>
    </row>
    <row r="273" spans="1:11" ht="15">
      <c r="A273" s="13">
        <v>49430</v>
      </c>
      <c r="B273" s="67">
        <f>4.507 * CHOOSE(CONTROL!$C$22, $C$13, 100%, $E$13)</f>
        <v>4.5069999999999997</v>
      </c>
      <c r="C273" s="67">
        <f>4.507 * CHOOSE(CONTROL!$C$22, $C$13, 100%, $E$13)</f>
        <v>4.5069999999999997</v>
      </c>
      <c r="D273" s="67">
        <f>4.5096 * CHOOSE(CONTROL!$C$22, $C$13, 100%, $E$13)</f>
        <v>4.5095999999999998</v>
      </c>
      <c r="E273" s="68">
        <f>5.5623 * CHOOSE(CONTROL!$C$22, $C$13, 100%, $E$13)</f>
        <v>5.5622999999999996</v>
      </c>
      <c r="F273" s="68">
        <f>5.5623 * CHOOSE(CONTROL!$C$22, $C$13, 100%, $E$13)</f>
        <v>5.5622999999999996</v>
      </c>
      <c r="G273" s="68">
        <f>5.5656 * CHOOSE(CONTROL!$C$22, $C$13, 100%, $E$13)</f>
        <v>5.5655999999999999</v>
      </c>
      <c r="H273" s="68">
        <f>8.895* CHOOSE(CONTROL!$C$22, $C$13, 100%, $E$13)</f>
        <v>8.8949999999999996</v>
      </c>
      <c r="I273" s="68">
        <f>8.8982 * CHOOSE(CONTROL!$C$22, $C$13, 100%, $E$13)</f>
        <v>8.8981999999999992</v>
      </c>
      <c r="J273" s="68">
        <f>5.5623 * CHOOSE(CONTROL!$C$22, $C$13, 100%, $E$13)</f>
        <v>5.5622999999999996</v>
      </c>
      <c r="K273" s="68">
        <f>5.5656 * CHOOSE(CONTROL!$C$22, $C$13, 100%, $E$13)</f>
        <v>5.5655999999999999</v>
      </c>
    </row>
    <row r="274" spans="1:11" ht="15">
      <c r="A274" s="13">
        <v>49461</v>
      </c>
      <c r="B274" s="67">
        <f>4.5131 * CHOOSE(CONTROL!$C$22, $C$13, 100%, $E$13)</f>
        <v>4.5130999999999997</v>
      </c>
      <c r="C274" s="67">
        <f>4.5131 * CHOOSE(CONTROL!$C$22, $C$13, 100%, $E$13)</f>
        <v>4.5130999999999997</v>
      </c>
      <c r="D274" s="67">
        <f>4.5157 * CHOOSE(CONTROL!$C$22, $C$13, 100%, $E$13)</f>
        <v>4.5156999999999998</v>
      </c>
      <c r="E274" s="68">
        <f>5.5393 * CHOOSE(CONTROL!$C$22, $C$13, 100%, $E$13)</f>
        <v>5.5392999999999999</v>
      </c>
      <c r="F274" s="68">
        <f>5.5393 * CHOOSE(CONTROL!$C$22, $C$13, 100%, $E$13)</f>
        <v>5.5392999999999999</v>
      </c>
      <c r="G274" s="68">
        <f>5.5425 * CHOOSE(CONTROL!$C$22, $C$13, 100%, $E$13)</f>
        <v>5.5425000000000004</v>
      </c>
      <c r="H274" s="68">
        <f>8.9135* CHOOSE(CONTROL!$C$22, $C$13, 100%, $E$13)</f>
        <v>8.9135000000000009</v>
      </c>
      <c r="I274" s="68">
        <f>8.9168 * CHOOSE(CONTROL!$C$22, $C$13, 100%, $E$13)</f>
        <v>8.9168000000000003</v>
      </c>
      <c r="J274" s="68">
        <f>5.5393 * CHOOSE(CONTROL!$C$22, $C$13, 100%, $E$13)</f>
        <v>5.5392999999999999</v>
      </c>
      <c r="K274" s="68">
        <f>5.5425 * CHOOSE(CONTROL!$C$22, $C$13, 100%, $E$13)</f>
        <v>5.5425000000000004</v>
      </c>
    </row>
    <row r="275" spans="1:11" ht="15">
      <c r="A275" s="13">
        <v>49491</v>
      </c>
      <c r="B275" s="67">
        <f>4.5909 * CHOOSE(CONTROL!$C$22, $C$13, 100%, $E$13)</f>
        <v>4.5909000000000004</v>
      </c>
      <c r="C275" s="67">
        <f>4.5909 * CHOOSE(CONTROL!$C$22, $C$13, 100%, $E$13)</f>
        <v>4.5909000000000004</v>
      </c>
      <c r="D275" s="67">
        <f>4.5935 * CHOOSE(CONTROL!$C$22, $C$13, 100%, $E$13)</f>
        <v>4.5934999999999997</v>
      </c>
      <c r="E275" s="68">
        <f>5.6624 * CHOOSE(CONTROL!$C$22, $C$13, 100%, $E$13)</f>
        <v>5.6623999999999999</v>
      </c>
      <c r="F275" s="68">
        <f>5.6624 * CHOOSE(CONTROL!$C$22, $C$13, 100%, $E$13)</f>
        <v>5.6623999999999999</v>
      </c>
      <c r="G275" s="68">
        <f>5.6656 * CHOOSE(CONTROL!$C$22, $C$13, 100%, $E$13)</f>
        <v>5.6656000000000004</v>
      </c>
      <c r="H275" s="68">
        <f>8.9321* CHOOSE(CONTROL!$C$22, $C$13, 100%, $E$13)</f>
        <v>8.9321000000000002</v>
      </c>
      <c r="I275" s="68">
        <f>8.9353 * CHOOSE(CONTROL!$C$22, $C$13, 100%, $E$13)</f>
        <v>8.9352999999999998</v>
      </c>
      <c r="J275" s="68">
        <f>5.6624 * CHOOSE(CONTROL!$C$22, $C$13, 100%, $E$13)</f>
        <v>5.6623999999999999</v>
      </c>
      <c r="K275" s="68">
        <f>5.6656 * CHOOSE(CONTROL!$C$22, $C$13, 100%, $E$13)</f>
        <v>5.6656000000000004</v>
      </c>
    </row>
    <row r="276" spans="1:11" ht="15">
      <c r="A276" s="13">
        <v>49522</v>
      </c>
      <c r="B276" s="67">
        <f>4.5975 * CHOOSE(CONTROL!$C$22, $C$13, 100%, $E$13)</f>
        <v>4.5975000000000001</v>
      </c>
      <c r="C276" s="67">
        <f>4.5975 * CHOOSE(CONTROL!$C$22, $C$13, 100%, $E$13)</f>
        <v>4.5975000000000001</v>
      </c>
      <c r="D276" s="67">
        <f>4.6002 * CHOOSE(CONTROL!$C$22, $C$13, 100%, $E$13)</f>
        <v>4.6002000000000001</v>
      </c>
      <c r="E276" s="68">
        <f>5.5851 * CHOOSE(CONTROL!$C$22, $C$13, 100%, $E$13)</f>
        <v>5.5850999999999997</v>
      </c>
      <c r="F276" s="68">
        <f>5.5851 * CHOOSE(CONTROL!$C$22, $C$13, 100%, $E$13)</f>
        <v>5.5850999999999997</v>
      </c>
      <c r="G276" s="68">
        <f>5.5883 * CHOOSE(CONTROL!$C$22, $C$13, 100%, $E$13)</f>
        <v>5.5883000000000003</v>
      </c>
      <c r="H276" s="68">
        <f>8.9507* CHOOSE(CONTROL!$C$22, $C$13, 100%, $E$13)</f>
        <v>8.9506999999999994</v>
      </c>
      <c r="I276" s="68">
        <f>8.9539 * CHOOSE(CONTROL!$C$22, $C$13, 100%, $E$13)</f>
        <v>8.9539000000000009</v>
      </c>
      <c r="J276" s="68">
        <f>5.5851 * CHOOSE(CONTROL!$C$22, $C$13, 100%, $E$13)</f>
        <v>5.5850999999999997</v>
      </c>
      <c r="K276" s="68">
        <f>5.5883 * CHOOSE(CONTROL!$C$22, $C$13, 100%, $E$13)</f>
        <v>5.5883000000000003</v>
      </c>
    </row>
    <row r="277" spans="1:11" ht="15">
      <c r="A277" s="13">
        <v>49553</v>
      </c>
      <c r="B277" s="67">
        <f>4.5945 * CHOOSE(CONTROL!$C$22, $C$13, 100%, $E$13)</f>
        <v>4.5945</v>
      </c>
      <c r="C277" s="67">
        <f>4.5945 * CHOOSE(CONTROL!$C$22, $C$13, 100%, $E$13)</f>
        <v>4.5945</v>
      </c>
      <c r="D277" s="67">
        <f>4.5971 * CHOOSE(CONTROL!$C$22, $C$13, 100%, $E$13)</f>
        <v>4.5971000000000002</v>
      </c>
      <c r="E277" s="68">
        <f>5.5739 * CHOOSE(CONTROL!$C$22, $C$13, 100%, $E$13)</f>
        <v>5.5739000000000001</v>
      </c>
      <c r="F277" s="68">
        <f>5.5739 * CHOOSE(CONTROL!$C$22, $C$13, 100%, $E$13)</f>
        <v>5.5739000000000001</v>
      </c>
      <c r="G277" s="68">
        <f>5.5771 * CHOOSE(CONTROL!$C$22, $C$13, 100%, $E$13)</f>
        <v>5.5770999999999997</v>
      </c>
      <c r="H277" s="68">
        <f>8.9693* CHOOSE(CONTROL!$C$22, $C$13, 100%, $E$13)</f>
        <v>8.9693000000000005</v>
      </c>
      <c r="I277" s="68">
        <f>8.9726 * CHOOSE(CONTROL!$C$22, $C$13, 100%, $E$13)</f>
        <v>8.9725999999999999</v>
      </c>
      <c r="J277" s="68">
        <f>5.5739 * CHOOSE(CONTROL!$C$22, $C$13, 100%, $E$13)</f>
        <v>5.5739000000000001</v>
      </c>
      <c r="K277" s="68">
        <f>5.5771 * CHOOSE(CONTROL!$C$22, $C$13, 100%, $E$13)</f>
        <v>5.5770999999999997</v>
      </c>
    </row>
    <row r="278" spans="1:11" ht="15">
      <c r="A278" s="13">
        <v>49583</v>
      </c>
      <c r="B278" s="67">
        <f>4.5915 * CHOOSE(CONTROL!$C$22, $C$13, 100%, $E$13)</f>
        <v>4.5914999999999999</v>
      </c>
      <c r="C278" s="67">
        <f>4.5915 * CHOOSE(CONTROL!$C$22, $C$13, 100%, $E$13)</f>
        <v>4.5914999999999999</v>
      </c>
      <c r="D278" s="67">
        <f>4.5925 * CHOOSE(CONTROL!$C$22, $C$13, 100%, $E$13)</f>
        <v>4.5925000000000002</v>
      </c>
      <c r="E278" s="68">
        <f>5.5969 * CHOOSE(CONTROL!$C$22, $C$13, 100%, $E$13)</f>
        <v>5.5968999999999998</v>
      </c>
      <c r="F278" s="68">
        <f>5.5969 * CHOOSE(CONTROL!$C$22, $C$13, 100%, $E$13)</f>
        <v>5.5968999999999998</v>
      </c>
      <c r="G278" s="68">
        <f>5.5982 * CHOOSE(CONTROL!$C$22, $C$13, 100%, $E$13)</f>
        <v>5.5982000000000003</v>
      </c>
      <c r="H278" s="68">
        <f>8.988* CHOOSE(CONTROL!$C$22, $C$13, 100%, $E$13)</f>
        <v>8.9879999999999995</v>
      </c>
      <c r="I278" s="68">
        <f>8.9893 * CHOOSE(CONTROL!$C$22, $C$13, 100%, $E$13)</f>
        <v>8.9893000000000001</v>
      </c>
      <c r="J278" s="68">
        <f>5.5969 * CHOOSE(CONTROL!$C$22, $C$13, 100%, $E$13)</f>
        <v>5.5968999999999998</v>
      </c>
      <c r="K278" s="68">
        <f>5.5982 * CHOOSE(CONTROL!$C$22, $C$13, 100%, $E$13)</f>
        <v>5.5982000000000003</v>
      </c>
    </row>
    <row r="279" spans="1:11" ht="15">
      <c r="A279" s="13">
        <v>49614</v>
      </c>
      <c r="B279" s="67">
        <f>4.5946 * CHOOSE(CONTROL!$C$22, $C$13, 100%, $E$13)</f>
        <v>4.5945999999999998</v>
      </c>
      <c r="C279" s="67">
        <f>4.5946 * CHOOSE(CONTROL!$C$22, $C$13, 100%, $E$13)</f>
        <v>4.5945999999999998</v>
      </c>
      <c r="D279" s="67">
        <f>4.5955 * CHOOSE(CONTROL!$C$22, $C$13, 100%, $E$13)</f>
        <v>4.5955000000000004</v>
      </c>
      <c r="E279" s="68">
        <f>5.6172 * CHOOSE(CONTROL!$C$22, $C$13, 100%, $E$13)</f>
        <v>5.6172000000000004</v>
      </c>
      <c r="F279" s="68">
        <f>5.6172 * CHOOSE(CONTROL!$C$22, $C$13, 100%, $E$13)</f>
        <v>5.6172000000000004</v>
      </c>
      <c r="G279" s="68">
        <f>5.6185 * CHOOSE(CONTROL!$C$22, $C$13, 100%, $E$13)</f>
        <v>5.6185</v>
      </c>
      <c r="H279" s="68">
        <f>9.0067* CHOOSE(CONTROL!$C$22, $C$13, 100%, $E$13)</f>
        <v>9.0067000000000004</v>
      </c>
      <c r="I279" s="68">
        <f>9.008 * CHOOSE(CONTROL!$C$22, $C$13, 100%, $E$13)</f>
        <v>9.0079999999999991</v>
      </c>
      <c r="J279" s="68">
        <f>5.6172 * CHOOSE(CONTROL!$C$22, $C$13, 100%, $E$13)</f>
        <v>5.6172000000000004</v>
      </c>
      <c r="K279" s="68">
        <f>5.6185 * CHOOSE(CONTROL!$C$22, $C$13, 100%, $E$13)</f>
        <v>5.6185</v>
      </c>
    </row>
    <row r="280" spans="1:11" ht="15">
      <c r="A280" s="13">
        <v>49644</v>
      </c>
      <c r="B280" s="67">
        <f>4.5946 * CHOOSE(CONTROL!$C$22, $C$13, 100%, $E$13)</f>
        <v>4.5945999999999998</v>
      </c>
      <c r="C280" s="67">
        <f>4.5946 * CHOOSE(CONTROL!$C$22, $C$13, 100%, $E$13)</f>
        <v>4.5945999999999998</v>
      </c>
      <c r="D280" s="67">
        <f>4.5955 * CHOOSE(CONTROL!$C$22, $C$13, 100%, $E$13)</f>
        <v>4.5955000000000004</v>
      </c>
      <c r="E280" s="68">
        <f>5.5717 * CHOOSE(CONTROL!$C$22, $C$13, 100%, $E$13)</f>
        <v>5.5716999999999999</v>
      </c>
      <c r="F280" s="68">
        <f>5.5717 * CHOOSE(CONTROL!$C$22, $C$13, 100%, $E$13)</f>
        <v>5.5716999999999999</v>
      </c>
      <c r="G280" s="68">
        <f>5.573 * CHOOSE(CONTROL!$C$22, $C$13, 100%, $E$13)</f>
        <v>5.5730000000000004</v>
      </c>
      <c r="H280" s="68">
        <f>9.0255* CHOOSE(CONTROL!$C$22, $C$13, 100%, $E$13)</f>
        <v>9.0254999999999992</v>
      </c>
      <c r="I280" s="68">
        <f>9.0268 * CHOOSE(CONTROL!$C$22, $C$13, 100%, $E$13)</f>
        <v>9.0267999999999997</v>
      </c>
      <c r="J280" s="68">
        <f>5.5717 * CHOOSE(CONTROL!$C$22, $C$13, 100%, $E$13)</f>
        <v>5.5716999999999999</v>
      </c>
      <c r="K280" s="68">
        <f>5.573 * CHOOSE(CONTROL!$C$22, $C$13, 100%, $E$13)</f>
        <v>5.5730000000000004</v>
      </c>
    </row>
    <row r="281" spans="1:11" ht="15">
      <c r="A281" s="13">
        <v>49675</v>
      </c>
      <c r="B281" s="67">
        <f>4.6362 * CHOOSE(CONTROL!$C$22, $C$13, 100%, $E$13)</f>
        <v>4.6361999999999997</v>
      </c>
      <c r="C281" s="67">
        <f>4.6362 * CHOOSE(CONTROL!$C$22, $C$13, 100%, $E$13)</f>
        <v>4.6361999999999997</v>
      </c>
      <c r="D281" s="67">
        <f>4.6372 * CHOOSE(CONTROL!$C$22, $C$13, 100%, $E$13)</f>
        <v>4.6372</v>
      </c>
      <c r="E281" s="68">
        <f>5.6558 * CHOOSE(CONTROL!$C$22, $C$13, 100%, $E$13)</f>
        <v>5.6558000000000002</v>
      </c>
      <c r="F281" s="68">
        <f>5.6558 * CHOOSE(CONTROL!$C$22, $C$13, 100%, $E$13)</f>
        <v>5.6558000000000002</v>
      </c>
      <c r="G281" s="68">
        <f>5.6571 * CHOOSE(CONTROL!$C$22, $C$13, 100%, $E$13)</f>
        <v>5.6570999999999998</v>
      </c>
      <c r="H281" s="68">
        <f>9.0443* CHOOSE(CONTROL!$C$22, $C$13, 100%, $E$13)</f>
        <v>9.0442999999999998</v>
      </c>
      <c r="I281" s="68">
        <f>9.0456 * CHOOSE(CONTROL!$C$22, $C$13, 100%, $E$13)</f>
        <v>9.0456000000000003</v>
      </c>
      <c r="J281" s="68">
        <f>5.6558 * CHOOSE(CONTROL!$C$22, $C$13, 100%, $E$13)</f>
        <v>5.6558000000000002</v>
      </c>
      <c r="K281" s="68">
        <f>5.6571 * CHOOSE(CONTROL!$C$22, $C$13, 100%, $E$13)</f>
        <v>5.6570999999999998</v>
      </c>
    </row>
    <row r="282" spans="1:11" ht="15">
      <c r="A282" s="13">
        <v>49706</v>
      </c>
      <c r="B282" s="67">
        <f>4.6332 * CHOOSE(CONTROL!$C$22, $C$13, 100%, $E$13)</f>
        <v>4.6332000000000004</v>
      </c>
      <c r="C282" s="67">
        <f>4.6332 * CHOOSE(CONTROL!$C$22, $C$13, 100%, $E$13)</f>
        <v>4.6332000000000004</v>
      </c>
      <c r="D282" s="67">
        <f>4.6341 * CHOOSE(CONTROL!$C$22, $C$13, 100%, $E$13)</f>
        <v>4.6341000000000001</v>
      </c>
      <c r="E282" s="68">
        <f>5.5653 * CHOOSE(CONTROL!$C$22, $C$13, 100%, $E$13)</f>
        <v>5.5652999999999997</v>
      </c>
      <c r="F282" s="68">
        <f>5.5653 * CHOOSE(CONTROL!$C$22, $C$13, 100%, $E$13)</f>
        <v>5.5652999999999997</v>
      </c>
      <c r="G282" s="68">
        <f>5.5666 * CHOOSE(CONTROL!$C$22, $C$13, 100%, $E$13)</f>
        <v>5.5666000000000002</v>
      </c>
      <c r="H282" s="68">
        <f>9.0631* CHOOSE(CONTROL!$C$22, $C$13, 100%, $E$13)</f>
        <v>9.0631000000000004</v>
      </c>
      <c r="I282" s="68">
        <f>9.0644 * CHOOSE(CONTROL!$C$22, $C$13, 100%, $E$13)</f>
        <v>9.0643999999999991</v>
      </c>
      <c r="J282" s="68">
        <f>5.5653 * CHOOSE(CONTROL!$C$22, $C$13, 100%, $E$13)</f>
        <v>5.5652999999999997</v>
      </c>
      <c r="K282" s="68">
        <f>5.5666 * CHOOSE(CONTROL!$C$22, $C$13, 100%, $E$13)</f>
        <v>5.5666000000000002</v>
      </c>
    </row>
    <row r="283" spans="1:11" ht="15">
      <c r="A283" s="13">
        <v>49735</v>
      </c>
      <c r="B283" s="67">
        <f>4.6301 * CHOOSE(CONTROL!$C$22, $C$13, 100%, $E$13)</f>
        <v>4.6300999999999997</v>
      </c>
      <c r="C283" s="67">
        <f>4.6301 * CHOOSE(CONTROL!$C$22, $C$13, 100%, $E$13)</f>
        <v>4.6300999999999997</v>
      </c>
      <c r="D283" s="67">
        <f>4.6311 * CHOOSE(CONTROL!$C$22, $C$13, 100%, $E$13)</f>
        <v>4.6311</v>
      </c>
      <c r="E283" s="68">
        <f>5.6329 * CHOOSE(CONTROL!$C$22, $C$13, 100%, $E$13)</f>
        <v>5.6329000000000002</v>
      </c>
      <c r="F283" s="68">
        <f>5.6329 * CHOOSE(CONTROL!$C$22, $C$13, 100%, $E$13)</f>
        <v>5.6329000000000002</v>
      </c>
      <c r="G283" s="68">
        <f>5.6342 * CHOOSE(CONTROL!$C$22, $C$13, 100%, $E$13)</f>
        <v>5.6341999999999999</v>
      </c>
      <c r="H283" s="68">
        <f>9.082* CHOOSE(CONTROL!$C$22, $C$13, 100%, $E$13)</f>
        <v>9.0820000000000007</v>
      </c>
      <c r="I283" s="68">
        <f>9.0833 * CHOOSE(CONTROL!$C$22, $C$13, 100%, $E$13)</f>
        <v>9.0832999999999995</v>
      </c>
      <c r="J283" s="68">
        <f>5.6329 * CHOOSE(CONTROL!$C$22, $C$13, 100%, $E$13)</f>
        <v>5.6329000000000002</v>
      </c>
      <c r="K283" s="68">
        <f>5.6342 * CHOOSE(CONTROL!$C$22, $C$13, 100%, $E$13)</f>
        <v>5.6341999999999999</v>
      </c>
    </row>
    <row r="284" spans="1:11" ht="15">
      <c r="A284" s="13">
        <v>49766</v>
      </c>
      <c r="B284" s="67">
        <f>4.6283 * CHOOSE(CONTROL!$C$22, $C$13, 100%, $E$13)</f>
        <v>4.6283000000000003</v>
      </c>
      <c r="C284" s="67">
        <f>4.6283 * CHOOSE(CONTROL!$C$22, $C$13, 100%, $E$13)</f>
        <v>4.6283000000000003</v>
      </c>
      <c r="D284" s="67">
        <f>4.6293 * CHOOSE(CONTROL!$C$22, $C$13, 100%, $E$13)</f>
        <v>4.6292999999999997</v>
      </c>
      <c r="E284" s="68">
        <f>5.7035 * CHOOSE(CONTROL!$C$22, $C$13, 100%, $E$13)</f>
        <v>5.7035</v>
      </c>
      <c r="F284" s="68">
        <f>5.7035 * CHOOSE(CONTROL!$C$22, $C$13, 100%, $E$13)</f>
        <v>5.7035</v>
      </c>
      <c r="G284" s="68">
        <f>5.7048 * CHOOSE(CONTROL!$C$22, $C$13, 100%, $E$13)</f>
        <v>5.7047999999999996</v>
      </c>
      <c r="H284" s="68">
        <f>9.1009* CHOOSE(CONTROL!$C$22, $C$13, 100%, $E$13)</f>
        <v>9.1008999999999993</v>
      </c>
      <c r="I284" s="68">
        <f>9.1022 * CHOOSE(CONTROL!$C$22, $C$13, 100%, $E$13)</f>
        <v>9.1021999999999998</v>
      </c>
      <c r="J284" s="68">
        <f>5.7035 * CHOOSE(CONTROL!$C$22, $C$13, 100%, $E$13)</f>
        <v>5.7035</v>
      </c>
      <c r="K284" s="68">
        <f>5.7048 * CHOOSE(CONTROL!$C$22, $C$13, 100%, $E$13)</f>
        <v>5.7047999999999996</v>
      </c>
    </row>
    <row r="285" spans="1:11" ht="15">
      <c r="A285" s="13">
        <v>49796</v>
      </c>
      <c r="B285" s="67">
        <f>4.6283 * CHOOSE(CONTROL!$C$22, $C$13, 100%, $E$13)</f>
        <v>4.6283000000000003</v>
      </c>
      <c r="C285" s="67">
        <f>4.6283 * CHOOSE(CONTROL!$C$22, $C$13, 100%, $E$13)</f>
        <v>4.6283000000000003</v>
      </c>
      <c r="D285" s="67">
        <f>4.6309 * CHOOSE(CONTROL!$C$22, $C$13, 100%, $E$13)</f>
        <v>4.6308999999999996</v>
      </c>
      <c r="E285" s="68">
        <f>5.7315 * CHOOSE(CONTROL!$C$22, $C$13, 100%, $E$13)</f>
        <v>5.7314999999999996</v>
      </c>
      <c r="F285" s="68">
        <f>5.7315 * CHOOSE(CONTROL!$C$22, $C$13, 100%, $E$13)</f>
        <v>5.7314999999999996</v>
      </c>
      <c r="G285" s="68">
        <f>5.7348 * CHOOSE(CONTROL!$C$22, $C$13, 100%, $E$13)</f>
        <v>5.7347999999999999</v>
      </c>
      <c r="H285" s="68">
        <f>9.1199* CHOOSE(CONTROL!$C$22, $C$13, 100%, $E$13)</f>
        <v>9.1198999999999995</v>
      </c>
      <c r="I285" s="68">
        <f>9.1232 * CHOOSE(CONTROL!$C$22, $C$13, 100%, $E$13)</f>
        <v>9.1232000000000006</v>
      </c>
      <c r="J285" s="68">
        <f>5.7315 * CHOOSE(CONTROL!$C$22, $C$13, 100%, $E$13)</f>
        <v>5.7314999999999996</v>
      </c>
      <c r="K285" s="68">
        <f>5.7348 * CHOOSE(CONTROL!$C$22, $C$13, 100%, $E$13)</f>
        <v>5.7347999999999999</v>
      </c>
    </row>
    <row r="286" spans="1:11" ht="15">
      <c r="A286" s="13">
        <v>49827</v>
      </c>
      <c r="B286" s="67">
        <f>4.6344 * CHOOSE(CONTROL!$C$22, $C$13, 100%, $E$13)</f>
        <v>4.6344000000000003</v>
      </c>
      <c r="C286" s="67">
        <f>4.6344 * CHOOSE(CONTROL!$C$22, $C$13, 100%, $E$13)</f>
        <v>4.6344000000000003</v>
      </c>
      <c r="D286" s="67">
        <f>4.637 * CHOOSE(CONTROL!$C$22, $C$13, 100%, $E$13)</f>
        <v>4.6369999999999996</v>
      </c>
      <c r="E286" s="68">
        <f>5.7077 * CHOOSE(CONTROL!$C$22, $C$13, 100%, $E$13)</f>
        <v>5.7077</v>
      </c>
      <c r="F286" s="68">
        <f>5.7077 * CHOOSE(CONTROL!$C$22, $C$13, 100%, $E$13)</f>
        <v>5.7077</v>
      </c>
      <c r="G286" s="68">
        <f>5.711 * CHOOSE(CONTROL!$C$22, $C$13, 100%, $E$13)</f>
        <v>5.7110000000000003</v>
      </c>
      <c r="H286" s="68">
        <f>9.1389* CHOOSE(CONTROL!$C$22, $C$13, 100%, $E$13)</f>
        <v>9.1388999999999996</v>
      </c>
      <c r="I286" s="68">
        <f>9.1422 * CHOOSE(CONTROL!$C$22, $C$13, 100%, $E$13)</f>
        <v>9.1422000000000008</v>
      </c>
      <c r="J286" s="68">
        <f>5.7077 * CHOOSE(CONTROL!$C$22, $C$13, 100%, $E$13)</f>
        <v>5.7077</v>
      </c>
      <c r="K286" s="68">
        <f>5.711 * CHOOSE(CONTROL!$C$22, $C$13, 100%, $E$13)</f>
        <v>5.7110000000000003</v>
      </c>
    </row>
    <row r="287" spans="1:11" ht="15">
      <c r="A287" s="13">
        <v>49857</v>
      </c>
      <c r="B287" s="67">
        <f>4.7122 * CHOOSE(CONTROL!$C$22, $C$13, 100%, $E$13)</f>
        <v>4.7122000000000002</v>
      </c>
      <c r="C287" s="67">
        <f>4.7122 * CHOOSE(CONTROL!$C$22, $C$13, 100%, $E$13)</f>
        <v>4.7122000000000002</v>
      </c>
      <c r="D287" s="67">
        <f>4.7148 * CHOOSE(CONTROL!$C$22, $C$13, 100%, $E$13)</f>
        <v>4.7148000000000003</v>
      </c>
      <c r="E287" s="68">
        <f>5.8199 * CHOOSE(CONTROL!$C$22, $C$13, 100%, $E$13)</f>
        <v>5.8198999999999996</v>
      </c>
      <c r="F287" s="68">
        <f>5.8199 * CHOOSE(CONTROL!$C$22, $C$13, 100%, $E$13)</f>
        <v>5.8198999999999996</v>
      </c>
      <c r="G287" s="68">
        <f>5.8231 * CHOOSE(CONTROL!$C$22, $C$13, 100%, $E$13)</f>
        <v>5.8231000000000002</v>
      </c>
      <c r="H287" s="68">
        <f>9.1579* CHOOSE(CONTROL!$C$22, $C$13, 100%, $E$13)</f>
        <v>9.1578999999999997</v>
      </c>
      <c r="I287" s="68">
        <f>9.1612 * CHOOSE(CONTROL!$C$22, $C$13, 100%, $E$13)</f>
        <v>9.1611999999999991</v>
      </c>
      <c r="J287" s="68">
        <f>5.8199 * CHOOSE(CONTROL!$C$22, $C$13, 100%, $E$13)</f>
        <v>5.8198999999999996</v>
      </c>
      <c r="K287" s="68">
        <f>5.8231 * CHOOSE(CONTROL!$C$22, $C$13, 100%, $E$13)</f>
        <v>5.8231000000000002</v>
      </c>
    </row>
    <row r="288" spans="1:11" ht="15">
      <c r="A288" s="13">
        <v>49888</v>
      </c>
      <c r="B288" s="67">
        <f>4.7188 * CHOOSE(CONTROL!$C$22, $C$13, 100%, $E$13)</f>
        <v>4.7187999999999999</v>
      </c>
      <c r="C288" s="67">
        <f>4.7188 * CHOOSE(CONTROL!$C$22, $C$13, 100%, $E$13)</f>
        <v>4.7187999999999999</v>
      </c>
      <c r="D288" s="67">
        <f>4.7215 * CHOOSE(CONTROL!$C$22, $C$13, 100%, $E$13)</f>
        <v>4.7214999999999998</v>
      </c>
      <c r="E288" s="68">
        <f>5.7404 * CHOOSE(CONTROL!$C$22, $C$13, 100%, $E$13)</f>
        <v>5.7404000000000002</v>
      </c>
      <c r="F288" s="68">
        <f>5.7404 * CHOOSE(CONTROL!$C$22, $C$13, 100%, $E$13)</f>
        <v>5.7404000000000002</v>
      </c>
      <c r="G288" s="68">
        <f>5.7436 * CHOOSE(CONTROL!$C$22, $C$13, 100%, $E$13)</f>
        <v>5.7435999999999998</v>
      </c>
      <c r="H288" s="68">
        <f>9.177* CHOOSE(CONTROL!$C$22, $C$13, 100%, $E$13)</f>
        <v>9.1769999999999996</v>
      </c>
      <c r="I288" s="68">
        <f>9.1803 * CHOOSE(CONTROL!$C$22, $C$13, 100%, $E$13)</f>
        <v>9.1803000000000008</v>
      </c>
      <c r="J288" s="68">
        <f>5.7404 * CHOOSE(CONTROL!$C$22, $C$13, 100%, $E$13)</f>
        <v>5.7404000000000002</v>
      </c>
      <c r="K288" s="68">
        <f>5.7436 * CHOOSE(CONTROL!$C$22, $C$13, 100%, $E$13)</f>
        <v>5.7435999999999998</v>
      </c>
    </row>
    <row r="289" spans="1:11" ht="15">
      <c r="A289" s="13">
        <v>49919</v>
      </c>
      <c r="B289" s="67">
        <f>4.7158 * CHOOSE(CONTROL!$C$22, $C$13, 100%, $E$13)</f>
        <v>4.7157999999999998</v>
      </c>
      <c r="C289" s="67">
        <f>4.7158 * CHOOSE(CONTROL!$C$22, $C$13, 100%, $E$13)</f>
        <v>4.7157999999999998</v>
      </c>
      <c r="D289" s="67">
        <f>4.7184 * CHOOSE(CONTROL!$C$22, $C$13, 100%, $E$13)</f>
        <v>4.7183999999999999</v>
      </c>
      <c r="E289" s="68">
        <f>5.7289 * CHOOSE(CONTROL!$C$22, $C$13, 100%, $E$13)</f>
        <v>5.7289000000000003</v>
      </c>
      <c r="F289" s="68">
        <f>5.7289 * CHOOSE(CONTROL!$C$22, $C$13, 100%, $E$13)</f>
        <v>5.7289000000000003</v>
      </c>
      <c r="G289" s="68">
        <f>5.7321 * CHOOSE(CONTROL!$C$22, $C$13, 100%, $E$13)</f>
        <v>5.7321</v>
      </c>
      <c r="H289" s="68">
        <f>9.1961* CHOOSE(CONTROL!$C$22, $C$13, 100%, $E$13)</f>
        <v>9.1960999999999995</v>
      </c>
      <c r="I289" s="68">
        <f>9.1994 * CHOOSE(CONTROL!$C$22, $C$13, 100%, $E$13)</f>
        <v>9.1994000000000007</v>
      </c>
      <c r="J289" s="68">
        <f>5.7289 * CHOOSE(CONTROL!$C$22, $C$13, 100%, $E$13)</f>
        <v>5.7289000000000003</v>
      </c>
      <c r="K289" s="68">
        <f>5.7321 * CHOOSE(CONTROL!$C$22, $C$13, 100%, $E$13)</f>
        <v>5.7321</v>
      </c>
    </row>
    <row r="290" spans="1:11" ht="15">
      <c r="A290" s="13">
        <v>49949</v>
      </c>
      <c r="B290" s="67">
        <f>4.7132 * CHOOSE(CONTROL!$C$22, $C$13, 100%, $E$13)</f>
        <v>4.7131999999999996</v>
      </c>
      <c r="C290" s="67">
        <f>4.7132 * CHOOSE(CONTROL!$C$22, $C$13, 100%, $E$13)</f>
        <v>4.7131999999999996</v>
      </c>
      <c r="D290" s="67">
        <f>4.7142 * CHOOSE(CONTROL!$C$22, $C$13, 100%, $E$13)</f>
        <v>4.7141999999999999</v>
      </c>
      <c r="E290" s="68">
        <f>5.7529 * CHOOSE(CONTROL!$C$22, $C$13, 100%, $E$13)</f>
        <v>5.7529000000000003</v>
      </c>
      <c r="F290" s="68">
        <f>5.7529 * CHOOSE(CONTROL!$C$22, $C$13, 100%, $E$13)</f>
        <v>5.7529000000000003</v>
      </c>
      <c r="G290" s="68">
        <f>5.7542 * CHOOSE(CONTROL!$C$22, $C$13, 100%, $E$13)</f>
        <v>5.7542</v>
      </c>
      <c r="H290" s="68">
        <f>9.2153* CHOOSE(CONTROL!$C$22, $C$13, 100%, $E$13)</f>
        <v>9.2152999999999992</v>
      </c>
      <c r="I290" s="68">
        <f>9.2166 * CHOOSE(CONTROL!$C$22, $C$13, 100%, $E$13)</f>
        <v>9.2165999999999997</v>
      </c>
      <c r="J290" s="68">
        <f>5.7529 * CHOOSE(CONTROL!$C$22, $C$13, 100%, $E$13)</f>
        <v>5.7529000000000003</v>
      </c>
      <c r="K290" s="68">
        <f>5.7542 * CHOOSE(CONTROL!$C$22, $C$13, 100%, $E$13)</f>
        <v>5.7542</v>
      </c>
    </row>
    <row r="291" spans="1:11" ht="15">
      <c r="A291" s="13">
        <v>49980</v>
      </c>
      <c r="B291" s="67">
        <f>4.7163 * CHOOSE(CONTROL!$C$22, $C$13, 100%, $E$13)</f>
        <v>4.7163000000000004</v>
      </c>
      <c r="C291" s="67">
        <f>4.7163 * CHOOSE(CONTROL!$C$22, $C$13, 100%, $E$13)</f>
        <v>4.7163000000000004</v>
      </c>
      <c r="D291" s="67">
        <f>4.7173 * CHOOSE(CONTROL!$C$22, $C$13, 100%, $E$13)</f>
        <v>4.7172999999999998</v>
      </c>
      <c r="E291" s="68">
        <f>5.7737 * CHOOSE(CONTROL!$C$22, $C$13, 100%, $E$13)</f>
        <v>5.7736999999999998</v>
      </c>
      <c r="F291" s="68">
        <f>5.7737 * CHOOSE(CONTROL!$C$22, $C$13, 100%, $E$13)</f>
        <v>5.7736999999999998</v>
      </c>
      <c r="G291" s="68">
        <f>5.775 * CHOOSE(CONTROL!$C$22, $C$13, 100%, $E$13)</f>
        <v>5.7750000000000004</v>
      </c>
      <c r="H291" s="68">
        <f>9.2345* CHOOSE(CONTROL!$C$22, $C$13, 100%, $E$13)</f>
        <v>9.2345000000000006</v>
      </c>
      <c r="I291" s="68">
        <f>9.2358 * CHOOSE(CONTROL!$C$22, $C$13, 100%, $E$13)</f>
        <v>9.2357999999999993</v>
      </c>
      <c r="J291" s="68">
        <f>5.7737 * CHOOSE(CONTROL!$C$22, $C$13, 100%, $E$13)</f>
        <v>5.7736999999999998</v>
      </c>
      <c r="K291" s="68">
        <f>5.775 * CHOOSE(CONTROL!$C$22, $C$13, 100%, $E$13)</f>
        <v>5.7750000000000004</v>
      </c>
    </row>
    <row r="292" spans="1:11" ht="15">
      <c r="A292" s="13">
        <v>50010</v>
      </c>
      <c r="B292" s="67">
        <f>4.7163 * CHOOSE(CONTROL!$C$22, $C$13, 100%, $E$13)</f>
        <v>4.7163000000000004</v>
      </c>
      <c r="C292" s="67">
        <f>4.7163 * CHOOSE(CONTROL!$C$22, $C$13, 100%, $E$13)</f>
        <v>4.7163000000000004</v>
      </c>
      <c r="D292" s="67">
        <f>4.7173 * CHOOSE(CONTROL!$C$22, $C$13, 100%, $E$13)</f>
        <v>4.7172999999999998</v>
      </c>
      <c r="E292" s="68">
        <f>5.7269 * CHOOSE(CONTROL!$C$22, $C$13, 100%, $E$13)</f>
        <v>5.7268999999999997</v>
      </c>
      <c r="F292" s="68">
        <f>5.7269 * CHOOSE(CONTROL!$C$22, $C$13, 100%, $E$13)</f>
        <v>5.7268999999999997</v>
      </c>
      <c r="G292" s="68">
        <f>5.7282 * CHOOSE(CONTROL!$C$22, $C$13, 100%, $E$13)</f>
        <v>5.7282000000000002</v>
      </c>
      <c r="H292" s="68">
        <f>9.2537* CHOOSE(CONTROL!$C$22, $C$13, 100%, $E$13)</f>
        <v>9.2537000000000003</v>
      </c>
      <c r="I292" s="68">
        <f>9.255 * CHOOSE(CONTROL!$C$22, $C$13, 100%, $E$13)</f>
        <v>9.2550000000000008</v>
      </c>
      <c r="J292" s="68">
        <f>5.7269 * CHOOSE(CONTROL!$C$22, $C$13, 100%, $E$13)</f>
        <v>5.7268999999999997</v>
      </c>
      <c r="K292" s="68">
        <f>5.7282 * CHOOSE(CONTROL!$C$22, $C$13, 100%, $E$13)</f>
        <v>5.7282000000000002</v>
      </c>
    </row>
    <row r="293" spans="1:11" ht="15">
      <c r="A293" s="13">
        <v>50041</v>
      </c>
      <c r="B293" s="67">
        <f>4.7586 * CHOOSE(CONTROL!$C$22, $C$13, 100%, $E$13)</f>
        <v>4.7586000000000004</v>
      </c>
      <c r="C293" s="67">
        <f>4.7586 * CHOOSE(CONTROL!$C$22, $C$13, 100%, $E$13)</f>
        <v>4.7586000000000004</v>
      </c>
      <c r="D293" s="67">
        <f>4.7595 * CHOOSE(CONTROL!$C$22, $C$13, 100%, $E$13)</f>
        <v>4.7595000000000001</v>
      </c>
      <c r="E293" s="68">
        <f>5.8119 * CHOOSE(CONTROL!$C$22, $C$13, 100%, $E$13)</f>
        <v>5.8118999999999996</v>
      </c>
      <c r="F293" s="68">
        <f>5.8119 * CHOOSE(CONTROL!$C$22, $C$13, 100%, $E$13)</f>
        <v>5.8118999999999996</v>
      </c>
      <c r="G293" s="68">
        <f>5.8132 * CHOOSE(CONTROL!$C$22, $C$13, 100%, $E$13)</f>
        <v>5.8132000000000001</v>
      </c>
      <c r="H293" s="68">
        <f>9.273* CHOOSE(CONTROL!$C$22, $C$13, 100%, $E$13)</f>
        <v>9.2729999999999997</v>
      </c>
      <c r="I293" s="68">
        <f>9.2743 * CHOOSE(CONTROL!$C$22, $C$13, 100%, $E$13)</f>
        <v>9.2743000000000002</v>
      </c>
      <c r="J293" s="68">
        <f>5.8119 * CHOOSE(CONTROL!$C$22, $C$13, 100%, $E$13)</f>
        <v>5.8118999999999996</v>
      </c>
      <c r="K293" s="68">
        <f>5.8132 * CHOOSE(CONTROL!$C$22, $C$13, 100%, $E$13)</f>
        <v>5.8132000000000001</v>
      </c>
    </row>
    <row r="294" spans="1:11" ht="15">
      <c r="A294" s="13">
        <v>50072</v>
      </c>
      <c r="B294" s="67">
        <f>4.7555 * CHOOSE(CONTROL!$C$22, $C$13, 100%, $E$13)</f>
        <v>4.7554999999999996</v>
      </c>
      <c r="C294" s="67">
        <f>4.7555 * CHOOSE(CONTROL!$C$22, $C$13, 100%, $E$13)</f>
        <v>4.7554999999999996</v>
      </c>
      <c r="D294" s="67">
        <f>4.7565 * CHOOSE(CONTROL!$C$22, $C$13, 100%, $E$13)</f>
        <v>4.7565</v>
      </c>
      <c r="E294" s="68">
        <f>5.719 * CHOOSE(CONTROL!$C$22, $C$13, 100%, $E$13)</f>
        <v>5.7190000000000003</v>
      </c>
      <c r="F294" s="68">
        <f>5.719 * CHOOSE(CONTROL!$C$22, $C$13, 100%, $E$13)</f>
        <v>5.7190000000000003</v>
      </c>
      <c r="G294" s="68">
        <f>5.7203 * CHOOSE(CONTROL!$C$22, $C$13, 100%, $E$13)</f>
        <v>5.7202999999999999</v>
      </c>
      <c r="H294" s="68">
        <f>9.2923* CHOOSE(CONTROL!$C$22, $C$13, 100%, $E$13)</f>
        <v>9.2922999999999991</v>
      </c>
      <c r="I294" s="68">
        <f>9.2936 * CHOOSE(CONTROL!$C$22, $C$13, 100%, $E$13)</f>
        <v>9.2935999999999996</v>
      </c>
      <c r="J294" s="68">
        <f>5.719 * CHOOSE(CONTROL!$C$22, $C$13, 100%, $E$13)</f>
        <v>5.7190000000000003</v>
      </c>
      <c r="K294" s="68">
        <f>5.7203 * CHOOSE(CONTROL!$C$22, $C$13, 100%, $E$13)</f>
        <v>5.7202999999999999</v>
      </c>
    </row>
    <row r="295" spans="1:11" ht="15">
      <c r="A295" s="13">
        <v>50100</v>
      </c>
      <c r="B295" s="67">
        <f>4.7525 * CHOOSE(CONTROL!$C$22, $C$13, 100%, $E$13)</f>
        <v>4.7525000000000004</v>
      </c>
      <c r="C295" s="67">
        <f>4.7525 * CHOOSE(CONTROL!$C$22, $C$13, 100%, $E$13)</f>
        <v>4.7525000000000004</v>
      </c>
      <c r="D295" s="67">
        <f>4.7535 * CHOOSE(CONTROL!$C$22, $C$13, 100%, $E$13)</f>
        <v>4.7534999999999998</v>
      </c>
      <c r="E295" s="68">
        <f>5.7884 * CHOOSE(CONTROL!$C$22, $C$13, 100%, $E$13)</f>
        <v>5.7884000000000002</v>
      </c>
      <c r="F295" s="68">
        <f>5.7884 * CHOOSE(CONTROL!$C$22, $C$13, 100%, $E$13)</f>
        <v>5.7884000000000002</v>
      </c>
      <c r="G295" s="68">
        <f>5.7897 * CHOOSE(CONTROL!$C$22, $C$13, 100%, $E$13)</f>
        <v>5.7896999999999998</v>
      </c>
      <c r="H295" s="68">
        <f>9.3117* CHOOSE(CONTROL!$C$22, $C$13, 100%, $E$13)</f>
        <v>9.3117000000000001</v>
      </c>
      <c r="I295" s="68">
        <f>9.313 * CHOOSE(CONTROL!$C$22, $C$13, 100%, $E$13)</f>
        <v>9.3130000000000006</v>
      </c>
      <c r="J295" s="68">
        <f>5.7884 * CHOOSE(CONTROL!$C$22, $C$13, 100%, $E$13)</f>
        <v>5.7884000000000002</v>
      </c>
      <c r="K295" s="68">
        <f>5.7897 * CHOOSE(CONTROL!$C$22, $C$13, 100%, $E$13)</f>
        <v>5.7896999999999998</v>
      </c>
    </row>
    <row r="296" spans="1:11" ht="15">
      <c r="A296" s="13">
        <v>50131</v>
      </c>
      <c r="B296" s="67">
        <f>4.7508 * CHOOSE(CONTROL!$C$22, $C$13, 100%, $E$13)</f>
        <v>4.7507999999999999</v>
      </c>
      <c r="C296" s="67">
        <f>4.7508 * CHOOSE(CONTROL!$C$22, $C$13, 100%, $E$13)</f>
        <v>4.7507999999999999</v>
      </c>
      <c r="D296" s="67">
        <f>4.7518 * CHOOSE(CONTROL!$C$22, $C$13, 100%, $E$13)</f>
        <v>4.7518000000000002</v>
      </c>
      <c r="E296" s="68">
        <f>5.861 * CHOOSE(CONTROL!$C$22, $C$13, 100%, $E$13)</f>
        <v>5.8609999999999998</v>
      </c>
      <c r="F296" s="68">
        <f>5.861 * CHOOSE(CONTROL!$C$22, $C$13, 100%, $E$13)</f>
        <v>5.8609999999999998</v>
      </c>
      <c r="G296" s="68">
        <f>5.8623 * CHOOSE(CONTROL!$C$22, $C$13, 100%, $E$13)</f>
        <v>5.8623000000000003</v>
      </c>
      <c r="H296" s="68">
        <f>9.3311* CHOOSE(CONTROL!$C$22, $C$13, 100%, $E$13)</f>
        <v>9.3310999999999993</v>
      </c>
      <c r="I296" s="68">
        <f>9.3324 * CHOOSE(CONTROL!$C$22, $C$13, 100%, $E$13)</f>
        <v>9.3323999999999998</v>
      </c>
      <c r="J296" s="68">
        <f>5.861 * CHOOSE(CONTROL!$C$22, $C$13, 100%, $E$13)</f>
        <v>5.8609999999999998</v>
      </c>
      <c r="K296" s="68">
        <f>5.8623 * CHOOSE(CONTROL!$C$22, $C$13, 100%, $E$13)</f>
        <v>5.8623000000000003</v>
      </c>
    </row>
    <row r="297" spans="1:11" ht="15">
      <c r="A297" s="13">
        <v>50161</v>
      </c>
      <c r="B297" s="67">
        <f>4.7508 * CHOOSE(CONTROL!$C$22, $C$13, 100%, $E$13)</f>
        <v>4.7507999999999999</v>
      </c>
      <c r="C297" s="67">
        <f>4.7508 * CHOOSE(CONTROL!$C$22, $C$13, 100%, $E$13)</f>
        <v>4.7507999999999999</v>
      </c>
      <c r="D297" s="67">
        <f>4.7534 * CHOOSE(CONTROL!$C$22, $C$13, 100%, $E$13)</f>
        <v>4.7534000000000001</v>
      </c>
      <c r="E297" s="68">
        <f>5.8898 * CHOOSE(CONTROL!$C$22, $C$13, 100%, $E$13)</f>
        <v>5.8898000000000001</v>
      </c>
      <c r="F297" s="68">
        <f>5.8898 * CHOOSE(CONTROL!$C$22, $C$13, 100%, $E$13)</f>
        <v>5.8898000000000001</v>
      </c>
      <c r="G297" s="68">
        <f>5.8931 * CHOOSE(CONTROL!$C$22, $C$13, 100%, $E$13)</f>
        <v>5.8930999999999996</v>
      </c>
      <c r="H297" s="68">
        <f>9.3505* CHOOSE(CONTROL!$C$22, $C$13, 100%, $E$13)</f>
        <v>9.3505000000000003</v>
      </c>
      <c r="I297" s="68">
        <f>9.3538 * CHOOSE(CONTROL!$C$22, $C$13, 100%, $E$13)</f>
        <v>9.3537999999999997</v>
      </c>
      <c r="J297" s="68">
        <f>5.8898 * CHOOSE(CONTROL!$C$22, $C$13, 100%, $E$13)</f>
        <v>5.8898000000000001</v>
      </c>
      <c r="K297" s="68">
        <f>5.8931 * CHOOSE(CONTROL!$C$22, $C$13, 100%, $E$13)</f>
        <v>5.8930999999999996</v>
      </c>
    </row>
    <row r="298" spans="1:11" ht="15">
      <c r="A298" s="13">
        <v>50192</v>
      </c>
      <c r="B298" s="67">
        <f>4.7569 * CHOOSE(CONTROL!$C$22, $C$13, 100%, $E$13)</f>
        <v>4.7568999999999999</v>
      </c>
      <c r="C298" s="67">
        <f>4.7569 * CHOOSE(CONTROL!$C$22, $C$13, 100%, $E$13)</f>
        <v>4.7568999999999999</v>
      </c>
      <c r="D298" s="67">
        <f>4.7595 * CHOOSE(CONTROL!$C$22, $C$13, 100%, $E$13)</f>
        <v>4.7595000000000001</v>
      </c>
      <c r="E298" s="68">
        <f>5.8653 * CHOOSE(CONTROL!$C$22, $C$13, 100%, $E$13)</f>
        <v>5.8653000000000004</v>
      </c>
      <c r="F298" s="68">
        <f>5.8653 * CHOOSE(CONTROL!$C$22, $C$13, 100%, $E$13)</f>
        <v>5.8653000000000004</v>
      </c>
      <c r="G298" s="68">
        <f>5.8685 * CHOOSE(CONTROL!$C$22, $C$13, 100%, $E$13)</f>
        <v>5.8685</v>
      </c>
      <c r="H298" s="68">
        <f>9.37* CHOOSE(CONTROL!$C$22, $C$13, 100%, $E$13)</f>
        <v>9.3699999999999992</v>
      </c>
      <c r="I298" s="68">
        <f>9.3733 * CHOOSE(CONTROL!$C$22, $C$13, 100%, $E$13)</f>
        <v>9.3733000000000004</v>
      </c>
      <c r="J298" s="68">
        <f>5.8653 * CHOOSE(CONTROL!$C$22, $C$13, 100%, $E$13)</f>
        <v>5.8653000000000004</v>
      </c>
      <c r="K298" s="68">
        <f>5.8685 * CHOOSE(CONTROL!$C$22, $C$13, 100%, $E$13)</f>
        <v>5.8685</v>
      </c>
    </row>
    <row r="299" spans="1:11" ht="15">
      <c r="A299" s="13">
        <v>50222</v>
      </c>
      <c r="B299" s="67">
        <f>4.836 * CHOOSE(CONTROL!$C$22, $C$13, 100%, $E$13)</f>
        <v>4.8360000000000003</v>
      </c>
      <c r="C299" s="67">
        <f>4.836 * CHOOSE(CONTROL!$C$22, $C$13, 100%, $E$13)</f>
        <v>4.8360000000000003</v>
      </c>
      <c r="D299" s="67">
        <f>4.8386 * CHOOSE(CONTROL!$C$22, $C$13, 100%, $E$13)</f>
        <v>4.8385999999999996</v>
      </c>
      <c r="E299" s="68">
        <f>5.9773 * CHOOSE(CONTROL!$C$22, $C$13, 100%, $E$13)</f>
        <v>5.9772999999999996</v>
      </c>
      <c r="F299" s="68">
        <f>5.9773 * CHOOSE(CONTROL!$C$22, $C$13, 100%, $E$13)</f>
        <v>5.9772999999999996</v>
      </c>
      <c r="G299" s="68">
        <f>5.9805 * CHOOSE(CONTROL!$C$22, $C$13, 100%, $E$13)</f>
        <v>5.9805000000000001</v>
      </c>
      <c r="H299" s="68">
        <f>9.3895* CHOOSE(CONTROL!$C$22, $C$13, 100%, $E$13)</f>
        <v>9.3895</v>
      </c>
      <c r="I299" s="68">
        <f>9.3928 * CHOOSE(CONTROL!$C$22, $C$13, 100%, $E$13)</f>
        <v>9.3927999999999994</v>
      </c>
      <c r="J299" s="68">
        <f>5.9773 * CHOOSE(CONTROL!$C$22, $C$13, 100%, $E$13)</f>
        <v>5.9772999999999996</v>
      </c>
      <c r="K299" s="68">
        <f>5.9805 * CHOOSE(CONTROL!$C$22, $C$13, 100%, $E$13)</f>
        <v>5.9805000000000001</v>
      </c>
    </row>
    <row r="300" spans="1:11" ht="15">
      <c r="A300" s="13">
        <v>50253</v>
      </c>
      <c r="B300" s="67">
        <f>4.8427 * CHOOSE(CONTROL!$C$22, $C$13, 100%, $E$13)</f>
        <v>4.8426999999999998</v>
      </c>
      <c r="C300" s="67">
        <f>4.8427 * CHOOSE(CONTROL!$C$22, $C$13, 100%, $E$13)</f>
        <v>4.8426999999999998</v>
      </c>
      <c r="D300" s="67">
        <f>4.8453 * CHOOSE(CONTROL!$C$22, $C$13, 100%, $E$13)</f>
        <v>4.8452999999999999</v>
      </c>
      <c r="E300" s="68">
        <f>5.8955 * CHOOSE(CONTROL!$C$22, $C$13, 100%, $E$13)</f>
        <v>5.8955000000000002</v>
      </c>
      <c r="F300" s="68">
        <f>5.8955 * CHOOSE(CONTROL!$C$22, $C$13, 100%, $E$13)</f>
        <v>5.8955000000000002</v>
      </c>
      <c r="G300" s="68">
        <f>5.8987 * CHOOSE(CONTROL!$C$22, $C$13, 100%, $E$13)</f>
        <v>5.8986999999999998</v>
      </c>
      <c r="H300" s="68">
        <f>9.4091* CHOOSE(CONTROL!$C$22, $C$13, 100%, $E$13)</f>
        <v>9.4091000000000005</v>
      </c>
      <c r="I300" s="68">
        <f>9.4124 * CHOOSE(CONTROL!$C$22, $C$13, 100%, $E$13)</f>
        <v>9.4123999999999999</v>
      </c>
      <c r="J300" s="68">
        <f>5.8955 * CHOOSE(CONTROL!$C$22, $C$13, 100%, $E$13)</f>
        <v>5.8955000000000002</v>
      </c>
      <c r="K300" s="68">
        <f>5.8987 * CHOOSE(CONTROL!$C$22, $C$13, 100%, $E$13)</f>
        <v>5.8986999999999998</v>
      </c>
    </row>
    <row r="301" spans="1:11" ht="15">
      <c r="A301" s="13">
        <v>50284</v>
      </c>
      <c r="B301" s="67">
        <f>4.8396 * CHOOSE(CONTROL!$C$22, $C$13, 100%, $E$13)</f>
        <v>4.8395999999999999</v>
      </c>
      <c r="C301" s="67">
        <f>4.8396 * CHOOSE(CONTROL!$C$22, $C$13, 100%, $E$13)</f>
        <v>4.8395999999999999</v>
      </c>
      <c r="D301" s="67">
        <f>4.8423 * CHOOSE(CONTROL!$C$22, $C$13, 100%, $E$13)</f>
        <v>4.8422999999999998</v>
      </c>
      <c r="E301" s="68">
        <f>5.8837 * CHOOSE(CONTROL!$C$22, $C$13, 100%, $E$13)</f>
        <v>5.8837000000000002</v>
      </c>
      <c r="F301" s="68">
        <f>5.8837 * CHOOSE(CONTROL!$C$22, $C$13, 100%, $E$13)</f>
        <v>5.8837000000000002</v>
      </c>
      <c r="G301" s="68">
        <f>5.887 * CHOOSE(CONTROL!$C$22, $C$13, 100%, $E$13)</f>
        <v>5.8869999999999996</v>
      </c>
      <c r="H301" s="68">
        <f>9.4287* CHOOSE(CONTROL!$C$22, $C$13, 100%, $E$13)</f>
        <v>9.4286999999999992</v>
      </c>
      <c r="I301" s="68">
        <f>9.432 * CHOOSE(CONTROL!$C$22, $C$13, 100%, $E$13)</f>
        <v>9.4320000000000004</v>
      </c>
      <c r="J301" s="68">
        <f>5.8837 * CHOOSE(CONTROL!$C$22, $C$13, 100%, $E$13)</f>
        <v>5.8837000000000002</v>
      </c>
      <c r="K301" s="68">
        <f>5.887 * CHOOSE(CONTROL!$C$22, $C$13, 100%, $E$13)</f>
        <v>5.8869999999999996</v>
      </c>
    </row>
    <row r="302" spans="1:11" ht="15">
      <c r="A302" s="13">
        <v>50314</v>
      </c>
      <c r="B302" s="67">
        <f>4.8375 * CHOOSE(CONTROL!$C$22, $C$13, 100%, $E$13)</f>
        <v>4.8375000000000004</v>
      </c>
      <c r="C302" s="67">
        <f>4.8375 * CHOOSE(CONTROL!$C$22, $C$13, 100%, $E$13)</f>
        <v>4.8375000000000004</v>
      </c>
      <c r="D302" s="67">
        <f>4.8385 * CHOOSE(CONTROL!$C$22, $C$13, 100%, $E$13)</f>
        <v>4.8384999999999998</v>
      </c>
      <c r="E302" s="68">
        <f>5.9087 * CHOOSE(CONTROL!$C$22, $C$13, 100%, $E$13)</f>
        <v>5.9086999999999996</v>
      </c>
      <c r="F302" s="68">
        <f>5.9087 * CHOOSE(CONTROL!$C$22, $C$13, 100%, $E$13)</f>
        <v>5.9086999999999996</v>
      </c>
      <c r="G302" s="68">
        <f>5.91 * CHOOSE(CONTROL!$C$22, $C$13, 100%, $E$13)</f>
        <v>5.91</v>
      </c>
      <c r="H302" s="68">
        <f>9.4483* CHOOSE(CONTROL!$C$22, $C$13, 100%, $E$13)</f>
        <v>9.4482999999999997</v>
      </c>
      <c r="I302" s="68">
        <f>9.4496 * CHOOSE(CONTROL!$C$22, $C$13, 100%, $E$13)</f>
        <v>9.4496000000000002</v>
      </c>
      <c r="J302" s="68">
        <f>5.9087 * CHOOSE(CONTROL!$C$22, $C$13, 100%, $E$13)</f>
        <v>5.9086999999999996</v>
      </c>
      <c r="K302" s="68">
        <f>5.91 * CHOOSE(CONTROL!$C$22, $C$13, 100%, $E$13)</f>
        <v>5.91</v>
      </c>
    </row>
    <row r="303" spans="1:11" ht="15">
      <c r="A303" s="13">
        <v>50345</v>
      </c>
      <c r="B303" s="67">
        <f>4.8405 * CHOOSE(CONTROL!$C$22, $C$13, 100%, $E$13)</f>
        <v>4.8404999999999996</v>
      </c>
      <c r="C303" s="67">
        <f>4.8405 * CHOOSE(CONTROL!$C$22, $C$13, 100%, $E$13)</f>
        <v>4.8404999999999996</v>
      </c>
      <c r="D303" s="67">
        <f>4.8415 * CHOOSE(CONTROL!$C$22, $C$13, 100%, $E$13)</f>
        <v>4.8414999999999999</v>
      </c>
      <c r="E303" s="68">
        <f>5.9301 * CHOOSE(CONTROL!$C$22, $C$13, 100%, $E$13)</f>
        <v>5.9301000000000004</v>
      </c>
      <c r="F303" s="68">
        <f>5.9301 * CHOOSE(CONTROL!$C$22, $C$13, 100%, $E$13)</f>
        <v>5.9301000000000004</v>
      </c>
      <c r="G303" s="68">
        <f>5.9314 * CHOOSE(CONTROL!$C$22, $C$13, 100%, $E$13)</f>
        <v>5.9314</v>
      </c>
      <c r="H303" s="68">
        <f>9.468* CHOOSE(CONTROL!$C$22, $C$13, 100%, $E$13)</f>
        <v>9.468</v>
      </c>
      <c r="I303" s="68">
        <f>9.4693 * CHOOSE(CONTROL!$C$22, $C$13, 100%, $E$13)</f>
        <v>9.4693000000000005</v>
      </c>
      <c r="J303" s="68">
        <f>5.9301 * CHOOSE(CONTROL!$C$22, $C$13, 100%, $E$13)</f>
        <v>5.9301000000000004</v>
      </c>
      <c r="K303" s="68">
        <f>5.9314 * CHOOSE(CONTROL!$C$22, $C$13, 100%, $E$13)</f>
        <v>5.9314</v>
      </c>
    </row>
    <row r="304" spans="1:11" ht="15">
      <c r="A304" s="13">
        <v>50375</v>
      </c>
      <c r="B304" s="67">
        <f>4.8405 * CHOOSE(CONTROL!$C$22, $C$13, 100%, $E$13)</f>
        <v>4.8404999999999996</v>
      </c>
      <c r="C304" s="67">
        <f>4.8405 * CHOOSE(CONTROL!$C$22, $C$13, 100%, $E$13)</f>
        <v>4.8404999999999996</v>
      </c>
      <c r="D304" s="67">
        <f>4.8415 * CHOOSE(CONTROL!$C$22, $C$13, 100%, $E$13)</f>
        <v>4.8414999999999999</v>
      </c>
      <c r="E304" s="68">
        <f>5.8821 * CHOOSE(CONTROL!$C$22, $C$13, 100%, $E$13)</f>
        <v>5.8821000000000003</v>
      </c>
      <c r="F304" s="68">
        <f>5.8821 * CHOOSE(CONTROL!$C$22, $C$13, 100%, $E$13)</f>
        <v>5.8821000000000003</v>
      </c>
      <c r="G304" s="68">
        <f>5.8833 * CHOOSE(CONTROL!$C$22, $C$13, 100%, $E$13)</f>
        <v>5.8833000000000002</v>
      </c>
      <c r="H304" s="68">
        <f>9.4878* CHOOSE(CONTROL!$C$22, $C$13, 100%, $E$13)</f>
        <v>9.4878</v>
      </c>
      <c r="I304" s="68">
        <f>9.489 * CHOOSE(CONTROL!$C$22, $C$13, 100%, $E$13)</f>
        <v>9.4890000000000008</v>
      </c>
      <c r="J304" s="68">
        <f>5.8821 * CHOOSE(CONTROL!$C$22, $C$13, 100%, $E$13)</f>
        <v>5.8821000000000003</v>
      </c>
      <c r="K304" s="68">
        <f>5.8833 * CHOOSE(CONTROL!$C$22, $C$13, 100%, $E$13)</f>
        <v>5.8833000000000002</v>
      </c>
    </row>
    <row r="305" spans="1:11" ht="15">
      <c r="A305" s="13">
        <v>50406</v>
      </c>
      <c r="B305" s="67">
        <f>4.8843 * CHOOSE(CONTROL!$C$22, $C$13, 100%, $E$13)</f>
        <v>4.8842999999999996</v>
      </c>
      <c r="C305" s="67">
        <f>4.8843 * CHOOSE(CONTROL!$C$22, $C$13, 100%, $E$13)</f>
        <v>4.8842999999999996</v>
      </c>
      <c r="D305" s="67">
        <f>4.8853 * CHOOSE(CONTROL!$C$22, $C$13, 100%, $E$13)</f>
        <v>4.8853</v>
      </c>
      <c r="E305" s="68">
        <f>5.9668 * CHOOSE(CONTROL!$C$22, $C$13, 100%, $E$13)</f>
        <v>5.9668000000000001</v>
      </c>
      <c r="F305" s="68">
        <f>5.9668 * CHOOSE(CONTROL!$C$22, $C$13, 100%, $E$13)</f>
        <v>5.9668000000000001</v>
      </c>
      <c r="G305" s="68">
        <f>5.9681 * CHOOSE(CONTROL!$C$22, $C$13, 100%, $E$13)</f>
        <v>5.9680999999999997</v>
      </c>
      <c r="H305" s="68">
        <f>9.5075* CHOOSE(CONTROL!$C$22, $C$13, 100%, $E$13)</f>
        <v>9.5075000000000003</v>
      </c>
      <c r="I305" s="68">
        <f>9.5088 * CHOOSE(CONTROL!$C$22, $C$13, 100%, $E$13)</f>
        <v>9.5088000000000008</v>
      </c>
      <c r="J305" s="68">
        <f>5.9668 * CHOOSE(CONTROL!$C$22, $C$13, 100%, $E$13)</f>
        <v>5.9668000000000001</v>
      </c>
      <c r="K305" s="68">
        <f>5.9681 * CHOOSE(CONTROL!$C$22, $C$13, 100%, $E$13)</f>
        <v>5.9680999999999997</v>
      </c>
    </row>
    <row r="306" spans="1:11" ht="15">
      <c r="A306" s="13">
        <v>50437</v>
      </c>
      <c r="B306" s="67">
        <f>4.8813 * CHOOSE(CONTROL!$C$22, $C$13, 100%, $E$13)</f>
        <v>4.8813000000000004</v>
      </c>
      <c r="C306" s="67">
        <f>4.8813 * CHOOSE(CONTROL!$C$22, $C$13, 100%, $E$13)</f>
        <v>4.8813000000000004</v>
      </c>
      <c r="D306" s="67">
        <f>4.8823 * CHOOSE(CONTROL!$C$22, $C$13, 100%, $E$13)</f>
        <v>4.8822999999999999</v>
      </c>
      <c r="E306" s="68">
        <f>5.8715 * CHOOSE(CONTROL!$C$22, $C$13, 100%, $E$13)</f>
        <v>5.8715000000000002</v>
      </c>
      <c r="F306" s="68">
        <f>5.8715 * CHOOSE(CONTROL!$C$22, $C$13, 100%, $E$13)</f>
        <v>5.8715000000000002</v>
      </c>
      <c r="G306" s="68">
        <f>5.8728 * CHOOSE(CONTROL!$C$22, $C$13, 100%, $E$13)</f>
        <v>5.8727999999999998</v>
      </c>
      <c r="H306" s="68">
        <f>9.5273* CHOOSE(CONTROL!$C$22, $C$13, 100%, $E$13)</f>
        <v>9.5273000000000003</v>
      </c>
      <c r="I306" s="68">
        <f>9.5286 * CHOOSE(CONTROL!$C$22, $C$13, 100%, $E$13)</f>
        <v>9.5286000000000008</v>
      </c>
      <c r="J306" s="68">
        <f>5.8715 * CHOOSE(CONTROL!$C$22, $C$13, 100%, $E$13)</f>
        <v>5.8715000000000002</v>
      </c>
      <c r="K306" s="68">
        <f>5.8728 * CHOOSE(CONTROL!$C$22, $C$13, 100%, $E$13)</f>
        <v>5.8727999999999998</v>
      </c>
    </row>
    <row r="307" spans="1:11" ht="15">
      <c r="A307" s="13">
        <v>50465</v>
      </c>
      <c r="B307" s="67">
        <f>4.8783 * CHOOSE(CONTROL!$C$22, $C$13, 100%, $E$13)</f>
        <v>4.8783000000000003</v>
      </c>
      <c r="C307" s="67">
        <f>4.8783 * CHOOSE(CONTROL!$C$22, $C$13, 100%, $E$13)</f>
        <v>4.8783000000000003</v>
      </c>
      <c r="D307" s="67">
        <f>4.8792 * CHOOSE(CONTROL!$C$22, $C$13, 100%, $E$13)</f>
        <v>4.8792</v>
      </c>
      <c r="E307" s="68">
        <f>5.9428 * CHOOSE(CONTROL!$C$22, $C$13, 100%, $E$13)</f>
        <v>5.9428000000000001</v>
      </c>
      <c r="F307" s="68">
        <f>5.9428 * CHOOSE(CONTROL!$C$22, $C$13, 100%, $E$13)</f>
        <v>5.9428000000000001</v>
      </c>
      <c r="G307" s="68">
        <f>5.9441 * CHOOSE(CONTROL!$C$22, $C$13, 100%, $E$13)</f>
        <v>5.9440999999999997</v>
      </c>
      <c r="H307" s="68">
        <f>9.5472* CHOOSE(CONTROL!$C$22, $C$13, 100%, $E$13)</f>
        <v>9.5472000000000001</v>
      </c>
      <c r="I307" s="68">
        <f>9.5485 * CHOOSE(CONTROL!$C$22, $C$13, 100%, $E$13)</f>
        <v>9.5485000000000007</v>
      </c>
      <c r="J307" s="68">
        <f>5.9428 * CHOOSE(CONTROL!$C$22, $C$13, 100%, $E$13)</f>
        <v>5.9428000000000001</v>
      </c>
      <c r="K307" s="68">
        <f>5.9441 * CHOOSE(CONTROL!$C$22, $C$13, 100%, $E$13)</f>
        <v>5.9440999999999997</v>
      </c>
    </row>
    <row r="308" spans="1:11" ht="15">
      <c r="A308" s="13">
        <v>50496</v>
      </c>
      <c r="B308" s="67">
        <f>4.8767 * CHOOSE(CONTROL!$C$22, $C$13, 100%, $E$13)</f>
        <v>4.8766999999999996</v>
      </c>
      <c r="C308" s="67">
        <f>4.8767 * CHOOSE(CONTROL!$C$22, $C$13, 100%, $E$13)</f>
        <v>4.8766999999999996</v>
      </c>
      <c r="D308" s="67">
        <f>4.8776 * CHOOSE(CONTROL!$C$22, $C$13, 100%, $E$13)</f>
        <v>4.8776000000000002</v>
      </c>
      <c r="E308" s="68">
        <f>6.0175 * CHOOSE(CONTROL!$C$22, $C$13, 100%, $E$13)</f>
        <v>6.0175000000000001</v>
      </c>
      <c r="F308" s="68">
        <f>6.0175 * CHOOSE(CONTROL!$C$22, $C$13, 100%, $E$13)</f>
        <v>6.0175000000000001</v>
      </c>
      <c r="G308" s="68">
        <f>6.0187 * CHOOSE(CONTROL!$C$22, $C$13, 100%, $E$13)</f>
        <v>6.0186999999999999</v>
      </c>
      <c r="H308" s="68">
        <f>9.5671* CHOOSE(CONTROL!$C$22, $C$13, 100%, $E$13)</f>
        <v>9.5670999999999999</v>
      </c>
      <c r="I308" s="68">
        <f>9.5684 * CHOOSE(CONTROL!$C$22, $C$13, 100%, $E$13)</f>
        <v>9.5684000000000005</v>
      </c>
      <c r="J308" s="68">
        <f>6.0175 * CHOOSE(CONTROL!$C$22, $C$13, 100%, $E$13)</f>
        <v>6.0175000000000001</v>
      </c>
      <c r="K308" s="68">
        <f>6.0187 * CHOOSE(CONTROL!$C$22, $C$13, 100%, $E$13)</f>
        <v>6.0186999999999999</v>
      </c>
    </row>
    <row r="309" spans="1:11" ht="15">
      <c r="A309" s="13">
        <v>50526</v>
      </c>
      <c r="B309" s="67">
        <f>4.8767 * CHOOSE(CONTROL!$C$22, $C$13, 100%, $E$13)</f>
        <v>4.8766999999999996</v>
      </c>
      <c r="C309" s="67">
        <f>4.8767 * CHOOSE(CONTROL!$C$22, $C$13, 100%, $E$13)</f>
        <v>4.8766999999999996</v>
      </c>
      <c r="D309" s="67">
        <f>4.8793 * CHOOSE(CONTROL!$C$22, $C$13, 100%, $E$13)</f>
        <v>4.8792999999999997</v>
      </c>
      <c r="E309" s="68">
        <f>6.047 * CHOOSE(CONTROL!$C$22, $C$13, 100%, $E$13)</f>
        <v>6.0469999999999997</v>
      </c>
      <c r="F309" s="68">
        <f>6.047 * CHOOSE(CONTROL!$C$22, $C$13, 100%, $E$13)</f>
        <v>6.0469999999999997</v>
      </c>
      <c r="G309" s="68">
        <f>6.0503 * CHOOSE(CONTROL!$C$22, $C$13, 100%, $E$13)</f>
        <v>6.0503</v>
      </c>
      <c r="H309" s="68">
        <f>9.587* CHOOSE(CONTROL!$C$22, $C$13, 100%, $E$13)</f>
        <v>9.5869999999999997</v>
      </c>
      <c r="I309" s="68">
        <f>9.5903 * CHOOSE(CONTROL!$C$22, $C$13, 100%, $E$13)</f>
        <v>9.5902999999999992</v>
      </c>
      <c r="J309" s="68">
        <f>6.047 * CHOOSE(CONTROL!$C$22, $C$13, 100%, $E$13)</f>
        <v>6.0469999999999997</v>
      </c>
      <c r="K309" s="68">
        <f>6.0503 * CHOOSE(CONTROL!$C$22, $C$13, 100%, $E$13)</f>
        <v>6.0503</v>
      </c>
    </row>
    <row r="310" spans="1:11" ht="15">
      <c r="A310" s="13">
        <v>50557</v>
      </c>
      <c r="B310" s="67">
        <f>4.8827 * CHOOSE(CONTROL!$C$22, $C$13, 100%, $E$13)</f>
        <v>4.8826999999999998</v>
      </c>
      <c r="C310" s="67">
        <f>4.8827 * CHOOSE(CONTROL!$C$22, $C$13, 100%, $E$13)</f>
        <v>4.8826999999999998</v>
      </c>
      <c r="D310" s="67">
        <f>4.8854 * CHOOSE(CONTROL!$C$22, $C$13, 100%, $E$13)</f>
        <v>4.8853999999999997</v>
      </c>
      <c r="E310" s="68">
        <f>6.0217 * CHOOSE(CONTROL!$C$22, $C$13, 100%, $E$13)</f>
        <v>6.0217000000000001</v>
      </c>
      <c r="F310" s="68">
        <f>6.0217 * CHOOSE(CONTROL!$C$22, $C$13, 100%, $E$13)</f>
        <v>6.0217000000000001</v>
      </c>
      <c r="G310" s="68">
        <f>6.0249 * CHOOSE(CONTROL!$C$22, $C$13, 100%, $E$13)</f>
        <v>6.0248999999999997</v>
      </c>
      <c r="H310" s="68">
        <f>9.607* CHOOSE(CONTROL!$C$22, $C$13, 100%, $E$13)</f>
        <v>9.6069999999999993</v>
      </c>
      <c r="I310" s="68">
        <f>9.6102 * CHOOSE(CONTROL!$C$22, $C$13, 100%, $E$13)</f>
        <v>9.6102000000000007</v>
      </c>
      <c r="J310" s="68">
        <f>6.0217 * CHOOSE(CONTROL!$C$22, $C$13, 100%, $E$13)</f>
        <v>6.0217000000000001</v>
      </c>
      <c r="K310" s="68">
        <f>6.0249 * CHOOSE(CONTROL!$C$22, $C$13, 100%, $E$13)</f>
        <v>6.0248999999999997</v>
      </c>
    </row>
    <row r="311" spans="1:11" ht="15">
      <c r="A311" s="13">
        <v>50587</v>
      </c>
      <c r="B311" s="67">
        <f>4.9646 * CHOOSE(CONTROL!$C$22, $C$13, 100%, $E$13)</f>
        <v>4.9645999999999999</v>
      </c>
      <c r="C311" s="67">
        <f>4.9646 * CHOOSE(CONTROL!$C$22, $C$13, 100%, $E$13)</f>
        <v>4.9645999999999999</v>
      </c>
      <c r="D311" s="67">
        <f>4.9673 * CHOOSE(CONTROL!$C$22, $C$13, 100%, $E$13)</f>
        <v>4.9672999999999998</v>
      </c>
      <c r="E311" s="68">
        <f>6.1322 * CHOOSE(CONTROL!$C$22, $C$13, 100%, $E$13)</f>
        <v>6.1322000000000001</v>
      </c>
      <c r="F311" s="68">
        <f>6.1322 * CHOOSE(CONTROL!$C$22, $C$13, 100%, $E$13)</f>
        <v>6.1322000000000001</v>
      </c>
      <c r="G311" s="68">
        <f>6.1354 * CHOOSE(CONTROL!$C$22, $C$13, 100%, $E$13)</f>
        <v>6.1353999999999997</v>
      </c>
      <c r="H311" s="68">
        <f>9.627* CHOOSE(CONTROL!$C$22, $C$13, 100%, $E$13)</f>
        <v>9.6270000000000007</v>
      </c>
      <c r="I311" s="68">
        <f>9.6302 * CHOOSE(CONTROL!$C$22, $C$13, 100%, $E$13)</f>
        <v>9.6302000000000003</v>
      </c>
      <c r="J311" s="68">
        <f>6.1322 * CHOOSE(CONTROL!$C$22, $C$13, 100%, $E$13)</f>
        <v>6.1322000000000001</v>
      </c>
      <c r="K311" s="68">
        <f>6.1354 * CHOOSE(CONTROL!$C$22, $C$13, 100%, $E$13)</f>
        <v>6.1353999999999997</v>
      </c>
    </row>
    <row r="312" spans="1:11" ht="15">
      <c r="A312" s="13">
        <v>50618</v>
      </c>
      <c r="B312" s="67">
        <f>4.9713 * CHOOSE(CONTROL!$C$22, $C$13, 100%, $E$13)</f>
        <v>4.9713000000000003</v>
      </c>
      <c r="C312" s="67">
        <f>4.9713 * CHOOSE(CONTROL!$C$22, $C$13, 100%, $E$13)</f>
        <v>4.9713000000000003</v>
      </c>
      <c r="D312" s="67">
        <f>4.974 * CHOOSE(CONTROL!$C$22, $C$13, 100%, $E$13)</f>
        <v>4.9740000000000002</v>
      </c>
      <c r="E312" s="68">
        <f>6.0481 * CHOOSE(CONTROL!$C$22, $C$13, 100%, $E$13)</f>
        <v>6.0480999999999998</v>
      </c>
      <c r="F312" s="68">
        <f>6.0481 * CHOOSE(CONTROL!$C$22, $C$13, 100%, $E$13)</f>
        <v>6.0480999999999998</v>
      </c>
      <c r="G312" s="68">
        <f>6.0514 * CHOOSE(CONTROL!$C$22, $C$13, 100%, $E$13)</f>
        <v>6.0514000000000001</v>
      </c>
      <c r="H312" s="68">
        <f>9.647* CHOOSE(CONTROL!$C$22, $C$13, 100%, $E$13)</f>
        <v>9.6470000000000002</v>
      </c>
      <c r="I312" s="68">
        <f>9.6503 * CHOOSE(CONTROL!$C$22, $C$13, 100%, $E$13)</f>
        <v>9.6502999999999997</v>
      </c>
      <c r="J312" s="68">
        <f>6.0481 * CHOOSE(CONTROL!$C$22, $C$13, 100%, $E$13)</f>
        <v>6.0480999999999998</v>
      </c>
      <c r="K312" s="68">
        <f>6.0514 * CHOOSE(CONTROL!$C$22, $C$13, 100%, $E$13)</f>
        <v>6.0514000000000001</v>
      </c>
    </row>
    <row r="313" spans="1:11" ht="15">
      <c r="A313" s="13">
        <v>50649</v>
      </c>
      <c r="B313" s="67">
        <f>4.9683 * CHOOSE(CONTROL!$C$22, $C$13, 100%, $E$13)</f>
        <v>4.9683000000000002</v>
      </c>
      <c r="C313" s="67">
        <f>4.9683 * CHOOSE(CONTROL!$C$22, $C$13, 100%, $E$13)</f>
        <v>4.9683000000000002</v>
      </c>
      <c r="D313" s="67">
        <f>4.9709 * CHOOSE(CONTROL!$C$22, $C$13, 100%, $E$13)</f>
        <v>4.9709000000000003</v>
      </c>
      <c r="E313" s="68">
        <f>6.0361 * CHOOSE(CONTROL!$C$22, $C$13, 100%, $E$13)</f>
        <v>6.0361000000000002</v>
      </c>
      <c r="F313" s="68">
        <f>6.0361 * CHOOSE(CONTROL!$C$22, $C$13, 100%, $E$13)</f>
        <v>6.0361000000000002</v>
      </c>
      <c r="G313" s="68">
        <f>6.0394 * CHOOSE(CONTROL!$C$22, $C$13, 100%, $E$13)</f>
        <v>6.0393999999999997</v>
      </c>
      <c r="H313" s="68">
        <f>9.6671* CHOOSE(CONTROL!$C$22, $C$13, 100%, $E$13)</f>
        <v>9.6670999999999996</v>
      </c>
      <c r="I313" s="68">
        <f>9.6704 * CHOOSE(CONTROL!$C$22, $C$13, 100%, $E$13)</f>
        <v>9.6704000000000008</v>
      </c>
      <c r="J313" s="68">
        <f>6.0361 * CHOOSE(CONTROL!$C$22, $C$13, 100%, $E$13)</f>
        <v>6.0361000000000002</v>
      </c>
      <c r="K313" s="68">
        <f>6.0394 * CHOOSE(CONTROL!$C$22, $C$13, 100%, $E$13)</f>
        <v>6.0393999999999997</v>
      </c>
    </row>
    <row r="314" spans="1:11" ht="15">
      <c r="A314" s="13">
        <v>50679</v>
      </c>
      <c r="B314" s="67">
        <f>4.9666 * CHOOSE(CONTROL!$C$22, $C$13, 100%, $E$13)</f>
        <v>4.9665999999999997</v>
      </c>
      <c r="C314" s="67">
        <f>4.9666 * CHOOSE(CONTROL!$C$22, $C$13, 100%, $E$13)</f>
        <v>4.9665999999999997</v>
      </c>
      <c r="D314" s="67">
        <f>4.9676 * CHOOSE(CONTROL!$C$22, $C$13, 100%, $E$13)</f>
        <v>4.9676</v>
      </c>
      <c r="E314" s="68">
        <f>6.0622 * CHOOSE(CONTROL!$C$22, $C$13, 100%, $E$13)</f>
        <v>6.0621999999999998</v>
      </c>
      <c r="F314" s="68">
        <f>6.0622 * CHOOSE(CONTROL!$C$22, $C$13, 100%, $E$13)</f>
        <v>6.0621999999999998</v>
      </c>
      <c r="G314" s="68">
        <f>6.0634 * CHOOSE(CONTROL!$C$22, $C$13, 100%, $E$13)</f>
        <v>6.0633999999999997</v>
      </c>
      <c r="H314" s="68">
        <f>9.6873* CHOOSE(CONTROL!$C$22, $C$13, 100%, $E$13)</f>
        <v>9.6873000000000005</v>
      </c>
      <c r="I314" s="68">
        <f>9.6886 * CHOOSE(CONTROL!$C$22, $C$13, 100%, $E$13)</f>
        <v>9.6885999999999992</v>
      </c>
      <c r="J314" s="68">
        <f>6.0622 * CHOOSE(CONTROL!$C$22, $C$13, 100%, $E$13)</f>
        <v>6.0621999999999998</v>
      </c>
      <c r="K314" s="68">
        <f>6.0634 * CHOOSE(CONTROL!$C$22, $C$13, 100%, $E$13)</f>
        <v>6.0633999999999997</v>
      </c>
    </row>
    <row r="315" spans="1:11" ht="15">
      <c r="A315" s="13">
        <v>50710</v>
      </c>
      <c r="B315" s="67">
        <f>4.9696 * CHOOSE(CONTROL!$C$22, $C$13, 100%, $E$13)</f>
        <v>4.9695999999999998</v>
      </c>
      <c r="C315" s="67">
        <f>4.9696 * CHOOSE(CONTROL!$C$22, $C$13, 100%, $E$13)</f>
        <v>4.9695999999999998</v>
      </c>
      <c r="D315" s="67">
        <f>4.9706 * CHOOSE(CONTROL!$C$22, $C$13, 100%, $E$13)</f>
        <v>4.9706000000000001</v>
      </c>
      <c r="E315" s="68">
        <f>6.084 * CHOOSE(CONTROL!$C$22, $C$13, 100%, $E$13)</f>
        <v>6.0839999999999996</v>
      </c>
      <c r="F315" s="68">
        <f>6.084 * CHOOSE(CONTROL!$C$22, $C$13, 100%, $E$13)</f>
        <v>6.0839999999999996</v>
      </c>
      <c r="G315" s="68">
        <f>6.0853 * CHOOSE(CONTROL!$C$22, $C$13, 100%, $E$13)</f>
        <v>6.0853000000000002</v>
      </c>
      <c r="H315" s="68">
        <f>9.7075* CHOOSE(CONTROL!$C$22, $C$13, 100%, $E$13)</f>
        <v>9.7074999999999996</v>
      </c>
      <c r="I315" s="68">
        <f>9.7087 * CHOOSE(CONTROL!$C$22, $C$13, 100%, $E$13)</f>
        <v>9.7087000000000003</v>
      </c>
      <c r="J315" s="68">
        <f>6.084 * CHOOSE(CONTROL!$C$22, $C$13, 100%, $E$13)</f>
        <v>6.0839999999999996</v>
      </c>
      <c r="K315" s="68">
        <f>6.0853 * CHOOSE(CONTROL!$C$22, $C$13, 100%, $E$13)</f>
        <v>6.0853000000000002</v>
      </c>
    </row>
    <row r="316" spans="1:11" ht="15">
      <c r="A316" s="13">
        <v>50740</v>
      </c>
      <c r="B316" s="67">
        <f>4.9696 * CHOOSE(CONTROL!$C$22, $C$13, 100%, $E$13)</f>
        <v>4.9695999999999998</v>
      </c>
      <c r="C316" s="67">
        <f>4.9696 * CHOOSE(CONTROL!$C$22, $C$13, 100%, $E$13)</f>
        <v>4.9695999999999998</v>
      </c>
      <c r="D316" s="67">
        <f>4.9706 * CHOOSE(CONTROL!$C$22, $C$13, 100%, $E$13)</f>
        <v>4.9706000000000001</v>
      </c>
      <c r="E316" s="68">
        <f>6.061 * CHOOSE(CONTROL!$C$22, $C$13, 100%, $E$13)</f>
        <v>6.0609999999999999</v>
      </c>
      <c r="F316" s="68">
        <f>6.061 * CHOOSE(CONTROL!$C$22, $C$13, 100%, $E$13)</f>
        <v>6.0609999999999999</v>
      </c>
      <c r="G316" s="68">
        <f>6.0623 * CHOOSE(CONTROL!$C$22, $C$13, 100%, $E$13)</f>
        <v>6.0622999999999996</v>
      </c>
      <c r="H316" s="68">
        <f>9.7277* CHOOSE(CONTROL!$C$22, $C$13, 100%, $E$13)</f>
        <v>9.7277000000000005</v>
      </c>
      <c r="I316" s="68">
        <f>9.729 * CHOOSE(CONTROL!$C$22, $C$13, 100%, $E$13)</f>
        <v>9.7289999999999992</v>
      </c>
      <c r="J316" s="68">
        <f>6.061 * CHOOSE(CONTROL!$C$22, $C$13, 100%, $E$13)</f>
        <v>6.0609999999999999</v>
      </c>
      <c r="K316" s="68">
        <f>6.0623 * CHOOSE(CONTROL!$C$22, $C$13, 100%, $E$13)</f>
        <v>6.0622999999999996</v>
      </c>
    </row>
    <row r="317" spans="1:11" ht="15">
      <c r="A317" s="13">
        <v>50771</v>
      </c>
      <c r="B317" s="67">
        <f>5.014 * CHOOSE(CONTROL!$C$22, $C$13, 100%, $E$13)</f>
        <v>5.0140000000000002</v>
      </c>
      <c r="C317" s="67">
        <f>5.014 * CHOOSE(CONTROL!$C$22, $C$13, 100%, $E$13)</f>
        <v>5.0140000000000002</v>
      </c>
      <c r="D317" s="67">
        <f>5.015 * CHOOSE(CONTROL!$C$22, $C$13, 100%, $E$13)</f>
        <v>5.0149999999999997</v>
      </c>
      <c r="E317" s="68">
        <f>6.1195 * CHOOSE(CONTROL!$C$22, $C$13, 100%, $E$13)</f>
        <v>6.1195000000000004</v>
      </c>
      <c r="F317" s="68">
        <f>6.1195 * CHOOSE(CONTROL!$C$22, $C$13, 100%, $E$13)</f>
        <v>6.1195000000000004</v>
      </c>
      <c r="G317" s="68">
        <f>6.1207 * CHOOSE(CONTROL!$C$22, $C$13, 100%, $E$13)</f>
        <v>6.1207000000000003</v>
      </c>
      <c r="H317" s="68">
        <f>9.748* CHOOSE(CONTROL!$C$22, $C$13, 100%, $E$13)</f>
        <v>9.7479999999999993</v>
      </c>
      <c r="I317" s="68">
        <f>9.7492 * CHOOSE(CONTROL!$C$22, $C$13, 100%, $E$13)</f>
        <v>9.7492000000000001</v>
      </c>
      <c r="J317" s="68">
        <f>6.1195 * CHOOSE(CONTROL!$C$22, $C$13, 100%, $E$13)</f>
        <v>6.1195000000000004</v>
      </c>
      <c r="K317" s="68">
        <f>6.1207 * CHOOSE(CONTROL!$C$22, $C$13, 100%, $E$13)</f>
        <v>6.1207000000000003</v>
      </c>
    </row>
    <row r="318" spans="1:11" ht="15">
      <c r="A318" s="13">
        <v>50802</v>
      </c>
      <c r="B318" s="67">
        <f>5.0109 * CHOOSE(CONTROL!$C$22, $C$13, 100%, $E$13)</f>
        <v>5.0109000000000004</v>
      </c>
      <c r="C318" s="67">
        <f>5.0109 * CHOOSE(CONTROL!$C$22, $C$13, 100%, $E$13)</f>
        <v>5.0109000000000004</v>
      </c>
      <c r="D318" s="67">
        <f>5.0119 * CHOOSE(CONTROL!$C$22, $C$13, 100%, $E$13)</f>
        <v>5.0118999999999998</v>
      </c>
      <c r="E318" s="68">
        <f>6.0216 * CHOOSE(CONTROL!$C$22, $C$13, 100%, $E$13)</f>
        <v>6.0216000000000003</v>
      </c>
      <c r="F318" s="68">
        <f>6.0216 * CHOOSE(CONTROL!$C$22, $C$13, 100%, $E$13)</f>
        <v>6.0216000000000003</v>
      </c>
      <c r="G318" s="68">
        <f>6.0229 * CHOOSE(CONTROL!$C$22, $C$13, 100%, $E$13)</f>
        <v>6.0228999999999999</v>
      </c>
      <c r="H318" s="68">
        <f>9.7683* CHOOSE(CONTROL!$C$22, $C$13, 100%, $E$13)</f>
        <v>9.7683</v>
      </c>
      <c r="I318" s="68">
        <f>9.7695 * CHOOSE(CONTROL!$C$22, $C$13, 100%, $E$13)</f>
        <v>9.7695000000000007</v>
      </c>
      <c r="J318" s="68">
        <f>6.0216 * CHOOSE(CONTROL!$C$22, $C$13, 100%, $E$13)</f>
        <v>6.0216000000000003</v>
      </c>
      <c r="K318" s="68">
        <f>6.0229 * CHOOSE(CONTROL!$C$22, $C$13, 100%, $E$13)</f>
        <v>6.0228999999999999</v>
      </c>
    </row>
    <row r="319" spans="1:11" ht="15">
      <c r="A319" s="13">
        <v>50830</v>
      </c>
      <c r="B319" s="67">
        <f>5.0079 * CHOOSE(CONTROL!$C$22, $C$13, 100%, $E$13)</f>
        <v>5.0079000000000002</v>
      </c>
      <c r="C319" s="67">
        <f>5.0079 * CHOOSE(CONTROL!$C$22, $C$13, 100%, $E$13)</f>
        <v>5.0079000000000002</v>
      </c>
      <c r="D319" s="67">
        <f>5.0089 * CHOOSE(CONTROL!$C$22, $C$13, 100%, $E$13)</f>
        <v>5.0088999999999997</v>
      </c>
      <c r="E319" s="68">
        <f>6.095 * CHOOSE(CONTROL!$C$22, $C$13, 100%, $E$13)</f>
        <v>6.0949999999999998</v>
      </c>
      <c r="F319" s="68">
        <f>6.095 * CHOOSE(CONTROL!$C$22, $C$13, 100%, $E$13)</f>
        <v>6.0949999999999998</v>
      </c>
      <c r="G319" s="68">
        <f>6.0962 * CHOOSE(CONTROL!$C$22, $C$13, 100%, $E$13)</f>
        <v>6.0961999999999996</v>
      </c>
      <c r="H319" s="68">
        <f>9.7886* CHOOSE(CONTROL!$C$22, $C$13, 100%, $E$13)</f>
        <v>9.7886000000000006</v>
      </c>
      <c r="I319" s="68">
        <f>9.7899 * CHOOSE(CONTROL!$C$22, $C$13, 100%, $E$13)</f>
        <v>9.7898999999999994</v>
      </c>
      <c r="J319" s="68">
        <f>6.095 * CHOOSE(CONTROL!$C$22, $C$13, 100%, $E$13)</f>
        <v>6.0949999999999998</v>
      </c>
      <c r="K319" s="68">
        <f>6.0962 * CHOOSE(CONTROL!$C$22, $C$13, 100%, $E$13)</f>
        <v>6.0961999999999996</v>
      </c>
    </row>
    <row r="320" spans="1:11" ht="15">
      <c r="A320" s="13">
        <v>50861</v>
      </c>
      <c r="B320" s="67">
        <f>5.0064 * CHOOSE(CONTROL!$C$22, $C$13, 100%, $E$13)</f>
        <v>5.0064000000000002</v>
      </c>
      <c r="C320" s="67">
        <f>5.0064 * CHOOSE(CONTROL!$C$22, $C$13, 100%, $E$13)</f>
        <v>5.0064000000000002</v>
      </c>
      <c r="D320" s="67">
        <f>5.0074 * CHOOSE(CONTROL!$C$22, $C$13, 100%, $E$13)</f>
        <v>5.0073999999999996</v>
      </c>
      <c r="E320" s="68">
        <f>6.1718 * CHOOSE(CONTROL!$C$22, $C$13, 100%, $E$13)</f>
        <v>6.1718000000000002</v>
      </c>
      <c r="F320" s="68">
        <f>6.1718 * CHOOSE(CONTROL!$C$22, $C$13, 100%, $E$13)</f>
        <v>6.1718000000000002</v>
      </c>
      <c r="G320" s="68">
        <f>6.173 * CHOOSE(CONTROL!$C$22, $C$13, 100%, $E$13)</f>
        <v>6.173</v>
      </c>
      <c r="H320" s="68">
        <f>9.809* CHOOSE(CONTROL!$C$22, $C$13, 100%, $E$13)</f>
        <v>9.8089999999999993</v>
      </c>
      <c r="I320" s="68">
        <f>9.8103 * CHOOSE(CONTROL!$C$22, $C$13, 100%, $E$13)</f>
        <v>9.8102999999999998</v>
      </c>
      <c r="J320" s="68">
        <f>6.1718 * CHOOSE(CONTROL!$C$22, $C$13, 100%, $E$13)</f>
        <v>6.1718000000000002</v>
      </c>
      <c r="K320" s="68">
        <f>6.173 * CHOOSE(CONTROL!$C$22, $C$13, 100%, $E$13)</f>
        <v>6.173</v>
      </c>
    </row>
    <row r="321" spans="1:11" ht="15">
      <c r="A321" s="13">
        <v>50891</v>
      </c>
      <c r="B321" s="67">
        <f>5.0064 * CHOOSE(CONTROL!$C$22, $C$13, 100%, $E$13)</f>
        <v>5.0064000000000002</v>
      </c>
      <c r="C321" s="67">
        <f>5.0064 * CHOOSE(CONTROL!$C$22, $C$13, 100%, $E$13)</f>
        <v>5.0064000000000002</v>
      </c>
      <c r="D321" s="67">
        <f>5.009 * CHOOSE(CONTROL!$C$22, $C$13, 100%, $E$13)</f>
        <v>5.0090000000000003</v>
      </c>
      <c r="E321" s="68">
        <f>6.2021 * CHOOSE(CONTROL!$C$22, $C$13, 100%, $E$13)</f>
        <v>6.2020999999999997</v>
      </c>
      <c r="F321" s="68">
        <f>6.2021 * CHOOSE(CONTROL!$C$22, $C$13, 100%, $E$13)</f>
        <v>6.2020999999999997</v>
      </c>
      <c r="G321" s="68">
        <f>6.2054 * CHOOSE(CONTROL!$C$22, $C$13, 100%, $E$13)</f>
        <v>6.2054</v>
      </c>
      <c r="H321" s="68">
        <f>9.8294* CHOOSE(CONTROL!$C$22, $C$13, 100%, $E$13)</f>
        <v>9.8293999999999997</v>
      </c>
      <c r="I321" s="68">
        <f>9.8327 * CHOOSE(CONTROL!$C$22, $C$13, 100%, $E$13)</f>
        <v>9.8327000000000009</v>
      </c>
      <c r="J321" s="68">
        <f>6.2021 * CHOOSE(CONTROL!$C$22, $C$13, 100%, $E$13)</f>
        <v>6.2020999999999997</v>
      </c>
      <c r="K321" s="68">
        <f>6.2054 * CHOOSE(CONTROL!$C$22, $C$13, 100%, $E$13)</f>
        <v>6.2054</v>
      </c>
    </row>
    <row r="322" spans="1:11" ht="15">
      <c r="A322" s="13">
        <v>50922</v>
      </c>
      <c r="B322" s="67">
        <f>5.0125 * CHOOSE(CONTROL!$C$22, $C$13, 100%, $E$13)</f>
        <v>5.0125000000000002</v>
      </c>
      <c r="C322" s="67">
        <f>5.0125 * CHOOSE(CONTROL!$C$22, $C$13, 100%, $E$13)</f>
        <v>5.0125000000000002</v>
      </c>
      <c r="D322" s="67">
        <f>5.0151 * CHOOSE(CONTROL!$C$22, $C$13, 100%, $E$13)</f>
        <v>5.0151000000000003</v>
      </c>
      <c r="E322" s="68">
        <f>6.176 * CHOOSE(CONTROL!$C$22, $C$13, 100%, $E$13)</f>
        <v>6.1760000000000002</v>
      </c>
      <c r="F322" s="68">
        <f>6.176 * CHOOSE(CONTROL!$C$22, $C$13, 100%, $E$13)</f>
        <v>6.1760000000000002</v>
      </c>
      <c r="G322" s="68">
        <f>6.1793 * CHOOSE(CONTROL!$C$22, $C$13, 100%, $E$13)</f>
        <v>6.1792999999999996</v>
      </c>
      <c r="H322" s="68">
        <f>9.8499* CHOOSE(CONTROL!$C$22, $C$13, 100%, $E$13)</f>
        <v>9.8498999999999999</v>
      </c>
      <c r="I322" s="68">
        <f>9.8532 * CHOOSE(CONTROL!$C$22, $C$13, 100%, $E$13)</f>
        <v>9.8531999999999993</v>
      </c>
      <c r="J322" s="68">
        <f>6.176 * CHOOSE(CONTROL!$C$22, $C$13, 100%, $E$13)</f>
        <v>6.1760000000000002</v>
      </c>
      <c r="K322" s="68">
        <f>6.1793 * CHOOSE(CONTROL!$C$22, $C$13, 100%, $E$13)</f>
        <v>6.1792999999999996</v>
      </c>
    </row>
    <row r="323" spans="1:11" ht="15">
      <c r="A323" s="13">
        <v>50952</v>
      </c>
      <c r="B323" s="67">
        <f>5.0952 * CHOOSE(CONTROL!$C$22, $C$13, 100%, $E$13)</f>
        <v>5.0952000000000002</v>
      </c>
      <c r="C323" s="67">
        <f>5.0952 * CHOOSE(CONTROL!$C$22, $C$13, 100%, $E$13)</f>
        <v>5.0952000000000002</v>
      </c>
      <c r="D323" s="67">
        <f>5.0978 * CHOOSE(CONTROL!$C$22, $C$13, 100%, $E$13)</f>
        <v>5.0978000000000003</v>
      </c>
      <c r="E323" s="68">
        <f>6.2809 * CHOOSE(CONTROL!$C$22, $C$13, 100%, $E$13)</f>
        <v>6.2808999999999999</v>
      </c>
      <c r="F323" s="68">
        <f>6.2809 * CHOOSE(CONTROL!$C$22, $C$13, 100%, $E$13)</f>
        <v>6.2808999999999999</v>
      </c>
      <c r="G323" s="68">
        <f>6.2842 * CHOOSE(CONTROL!$C$22, $C$13, 100%, $E$13)</f>
        <v>6.2842000000000002</v>
      </c>
      <c r="H323" s="68">
        <f>9.8704* CHOOSE(CONTROL!$C$22, $C$13, 100%, $E$13)</f>
        <v>9.8704000000000001</v>
      </c>
      <c r="I323" s="68">
        <f>9.8737 * CHOOSE(CONTROL!$C$22, $C$13, 100%, $E$13)</f>
        <v>9.8736999999999995</v>
      </c>
      <c r="J323" s="68">
        <f>6.2809 * CHOOSE(CONTROL!$C$22, $C$13, 100%, $E$13)</f>
        <v>6.2808999999999999</v>
      </c>
      <c r="K323" s="68">
        <f>6.2842 * CHOOSE(CONTROL!$C$22, $C$13, 100%, $E$13)</f>
        <v>6.2842000000000002</v>
      </c>
    </row>
    <row r="324" spans="1:11" ht="15">
      <c r="A324" s="13">
        <v>50983</v>
      </c>
      <c r="B324" s="67">
        <f>5.1019 * CHOOSE(CONTROL!$C$22, $C$13, 100%, $E$13)</f>
        <v>5.1018999999999997</v>
      </c>
      <c r="C324" s="67">
        <f>5.1019 * CHOOSE(CONTROL!$C$22, $C$13, 100%, $E$13)</f>
        <v>5.1018999999999997</v>
      </c>
      <c r="D324" s="67">
        <f>5.1045 * CHOOSE(CONTROL!$C$22, $C$13, 100%, $E$13)</f>
        <v>5.1044999999999998</v>
      </c>
      <c r="E324" s="68">
        <f>6.1944 * CHOOSE(CONTROL!$C$22, $C$13, 100%, $E$13)</f>
        <v>6.1943999999999999</v>
      </c>
      <c r="F324" s="68">
        <f>6.1944 * CHOOSE(CONTROL!$C$22, $C$13, 100%, $E$13)</f>
        <v>6.1943999999999999</v>
      </c>
      <c r="G324" s="68">
        <f>6.1977 * CHOOSE(CONTROL!$C$22, $C$13, 100%, $E$13)</f>
        <v>6.1977000000000002</v>
      </c>
      <c r="H324" s="68">
        <f>9.891* CHOOSE(CONTROL!$C$22, $C$13, 100%, $E$13)</f>
        <v>9.891</v>
      </c>
      <c r="I324" s="68">
        <f>9.8943 * CHOOSE(CONTROL!$C$22, $C$13, 100%, $E$13)</f>
        <v>9.8942999999999994</v>
      </c>
      <c r="J324" s="68">
        <f>6.1944 * CHOOSE(CONTROL!$C$22, $C$13, 100%, $E$13)</f>
        <v>6.1943999999999999</v>
      </c>
      <c r="K324" s="68">
        <f>6.1977 * CHOOSE(CONTROL!$C$22, $C$13, 100%, $E$13)</f>
        <v>6.1977000000000002</v>
      </c>
    </row>
    <row r="325" spans="1:11" ht="15">
      <c r="A325" s="13">
        <v>51014</v>
      </c>
      <c r="B325" s="67">
        <f>5.0988 * CHOOSE(CONTROL!$C$22, $C$13, 100%, $E$13)</f>
        <v>5.0987999999999998</v>
      </c>
      <c r="C325" s="67">
        <f>5.0988 * CHOOSE(CONTROL!$C$22, $C$13, 100%, $E$13)</f>
        <v>5.0987999999999998</v>
      </c>
      <c r="D325" s="67">
        <f>5.1014 * CHOOSE(CONTROL!$C$22, $C$13, 100%, $E$13)</f>
        <v>5.1013999999999999</v>
      </c>
      <c r="E325" s="68">
        <f>6.1822 * CHOOSE(CONTROL!$C$22, $C$13, 100%, $E$13)</f>
        <v>6.1821999999999999</v>
      </c>
      <c r="F325" s="68">
        <f>6.1822 * CHOOSE(CONTROL!$C$22, $C$13, 100%, $E$13)</f>
        <v>6.1821999999999999</v>
      </c>
      <c r="G325" s="68">
        <f>6.1854 * CHOOSE(CONTROL!$C$22, $C$13, 100%, $E$13)</f>
        <v>6.1853999999999996</v>
      </c>
      <c r="H325" s="68">
        <f>9.9116* CHOOSE(CONTROL!$C$22, $C$13, 100%, $E$13)</f>
        <v>9.9116</v>
      </c>
      <c r="I325" s="68">
        <f>9.9149 * CHOOSE(CONTROL!$C$22, $C$13, 100%, $E$13)</f>
        <v>9.9148999999999994</v>
      </c>
      <c r="J325" s="68">
        <f>6.1822 * CHOOSE(CONTROL!$C$22, $C$13, 100%, $E$13)</f>
        <v>6.1821999999999999</v>
      </c>
      <c r="K325" s="68">
        <f>6.1854 * CHOOSE(CONTROL!$C$22, $C$13, 100%, $E$13)</f>
        <v>6.1853999999999996</v>
      </c>
    </row>
    <row r="326" spans="1:11" ht="15">
      <c r="A326" s="13">
        <v>51044</v>
      </c>
      <c r="B326" s="67">
        <f>5.0975 * CHOOSE(CONTROL!$C$22, $C$13, 100%, $E$13)</f>
        <v>5.0975000000000001</v>
      </c>
      <c r="C326" s="67">
        <f>5.0975 * CHOOSE(CONTROL!$C$22, $C$13, 100%, $E$13)</f>
        <v>5.0975000000000001</v>
      </c>
      <c r="D326" s="67">
        <f>5.0985 * CHOOSE(CONTROL!$C$22, $C$13, 100%, $E$13)</f>
        <v>5.0984999999999996</v>
      </c>
      <c r="E326" s="68">
        <f>6.2093 * CHOOSE(CONTROL!$C$22, $C$13, 100%, $E$13)</f>
        <v>6.2092999999999998</v>
      </c>
      <c r="F326" s="68">
        <f>6.2093 * CHOOSE(CONTROL!$C$22, $C$13, 100%, $E$13)</f>
        <v>6.2092999999999998</v>
      </c>
      <c r="G326" s="68">
        <f>6.2106 * CHOOSE(CONTROL!$C$22, $C$13, 100%, $E$13)</f>
        <v>6.2106000000000003</v>
      </c>
      <c r="H326" s="68">
        <f>9.9323* CHOOSE(CONTROL!$C$22, $C$13, 100%, $E$13)</f>
        <v>9.9322999999999997</v>
      </c>
      <c r="I326" s="68">
        <f>9.9335 * CHOOSE(CONTROL!$C$22, $C$13, 100%, $E$13)</f>
        <v>9.9335000000000004</v>
      </c>
      <c r="J326" s="68">
        <f>6.2093 * CHOOSE(CONTROL!$C$22, $C$13, 100%, $E$13)</f>
        <v>6.2092999999999998</v>
      </c>
      <c r="K326" s="68">
        <f>6.2106 * CHOOSE(CONTROL!$C$22, $C$13, 100%, $E$13)</f>
        <v>6.2106000000000003</v>
      </c>
    </row>
    <row r="327" spans="1:11" ht="15">
      <c r="A327" s="13">
        <v>51075</v>
      </c>
      <c r="B327" s="67">
        <f>5.1006 * CHOOSE(CONTROL!$C$22, $C$13, 100%, $E$13)</f>
        <v>5.1006</v>
      </c>
      <c r="C327" s="67">
        <f>5.1006 * CHOOSE(CONTROL!$C$22, $C$13, 100%, $E$13)</f>
        <v>5.1006</v>
      </c>
      <c r="D327" s="67">
        <f>5.1016 * CHOOSE(CONTROL!$C$22, $C$13, 100%, $E$13)</f>
        <v>5.1016000000000004</v>
      </c>
      <c r="E327" s="68">
        <f>6.2316 * CHOOSE(CONTROL!$C$22, $C$13, 100%, $E$13)</f>
        <v>6.2316000000000003</v>
      </c>
      <c r="F327" s="68">
        <f>6.2316 * CHOOSE(CONTROL!$C$22, $C$13, 100%, $E$13)</f>
        <v>6.2316000000000003</v>
      </c>
      <c r="G327" s="68">
        <f>6.2329 * CHOOSE(CONTROL!$C$22, $C$13, 100%, $E$13)</f>
        <v>6.2328999999999999</v>
      </c>
      <c r="H327" s="68">
        <f>9.9529* CHOOSE(CONTROL!$C$22, $C$13, 100%, $E$13)</f>
        <v>9.9528999999999996</v>
      </c>
      <c r="I327" s="68">
        <f>9.9542 * CHOOSE(CONTROL!$C$22, $C$13, 100%, $E$13)</f>
        <v>9.9542000000000002</v>
      </c>
      <c r="J327" s="68">
        <f>6.2316 * CHOOSE(CONTROL!$C$22, $C$13, 100%, $E$13)</f>
        <v>6.2316000000000003</v>
      </c>
      <c r="K327" s="68">
        <f>6.2329 * CHOOSE(CONTROL!$C$22, $C$13, 100%, $E$13)</f>
        <v>6.2328999999999999</v>
      </c>
    </row>
    <row r="328" spans="1:11" ht="15">
      <c r="A328" s="13">
        <v>51105</v>
      </c>
      <c r="B328" s="67">
        <f>5.1006 * CHOOSE(CONTROL!$C$22, $C$13, 100%, $E$13)</f>
        <v>5.1006</v>
      </c>
      <c r="C328" s="67">
        <f>5.1006 * CHOOSE(CONTROL!$C$22, $C$13, 100%, $E$13)</f>
        <v>5.1006</v>
      </c>
      <c r="D328" s="67">
        <f>5.1016 * CHOOSE(CONTROL!$C$22, $C$13, 100%, $E$13)</f>
        <v>5.1016000000000004</v>
      </c>
      <c r="E328" s="68">
        <f>6.181 * CHOOSE(CONTROL!$C$22, $C$13, 100%, $E$13)</f>
        <v>6.181</v>
      </c>
      <c r="F328" s="68">
        <f>6.181 * CHOOSE(CONTROL!$C$22, $C$13, 100%, $E$13)</f>
        <v>6.181</v>
      </c>
      <c r="G328" s="68">
        <f>6.1823 * CHOOSE(CONTROL!$C$22, $C$13, 100%, $E$13)</f>
        <v>6.1822999999999997</v>
      </c>
      <c r="H328" s="68">
        <f>9.9737* CHOOSE(CONTROL!$C$22, $C$13, 100%, $E$13)</f>
        <v>9.9736999999999991</v>
      </c>
      <c r="I328" s="68">
        <f>9.975 * CHOOSE(CONTROL!$C$22, $C$13, 100%, $E$13)</f>
        <v>9.9749999999999996</v>
      </c>
      <c r="J328" s="68">
        <f>6.181 * CHOOSE(CONTROL!$C$22, $C$13, 100%, $E$13)</f>
        <v>6.181</v>
      </c>
      <c r="K328" s="68">
        <f>6.1823 * CHOOSE(CONTROL!$C$22, $C$13, 100%, $E$13)</f>
        <v>6.1822999999999997</v>
      </c>
    </row>
    <row r="329" spans="1:11" ht="15">
      <c r="A329" s="13">
        <v>51136</v>
      </c>
      <c r="B329" s="67">
        <f>5.146 * CHOOSE(CONTROL!$C$22, $C$13, 100%, $E$13)</f>
        <v>5.1459999999999999</v>
      </c>
      <c r="C329" s="67">
        <f>5.146 * CHOOSE(CONTROL!$C$22, $C$13, 100%, $E$13)</f>
        <v>5.1459999999999999</v>
      </c>
      <c r="D329" s="67">
        <f>5.1469 * CHOOSE(CONTROL!$C$22, $C$13, 100%, $E$13)</f>
        <v>5.1468999999999996</v>
      </c>
      <c r="E329" s="68">
        <f>6.2686 * CHOOSE(CONTROL!$C$22, $C$13, 100%, $E$13)</f>
        <v>6.2686000000000002</v>
      </c>
      <c r="F329" s="68">
        <f>6.2686 * CHOOSE(CONTROL!$C$22, $C$13, 100%, $E$13)</f>
        <v>6.2686000000000002</v>
      </c>
      <c r="G329" s="68">
        <f>6.2699 * CHOOSE(CONTROL!$C$22, $C$13, 100%, $E$13)</f>
        <v>6.2698999999999998</v>
      </c>
      <c r="H329" s="68">
        <f>9.9945* CHOOSE(CONTROL!$C$22, $C$13, 100%, $E$13)</f>
        <v>9.9945000000000004</v>
      </c>
      <c r="I329" s="68">
        <f>9.9957 * CHOOSE(CONTROL!$C$22, $C$13, 100%, $E$13)</f>
        <v>9.9956999999999994</v>
      </c>
      <c r="J329" s="68">
        <f>6.2686 * CHOOSE(CONTROL!$C$22, $C$13, 100%, $E$13)</f>
        <v>6.2686000000000002</v>
      </c>
      <c r="K329" s="68">
        <f>6.2699 * CHOOSE(CONTROL!$C$22, $C$13, 100%, $E$13)</f>
        <v>6.2698999999999998</v>
      </c>
    </row>
    <row r="330" spans="1:11" ht="15">
      <c r="A330" s="13">
        <v>51167</v>
      </c>
      <c r="B330" s="67">
        <f>5.1429 * CHOOSE(CONTROL!$C$22, $C$13, 100%, $E$13)</f>
        <v>5.1429</v>
      </c>
      <c r="C330" s="67">
        <f>5.1429 * CHOOSE(CONTROL!$C$22, $C$13, 100%, $E$13)</f>
        <v>5.1429</v>
      </c>
      <c r="D330" s="67">
        <f>5.1439 * CHOOSE(CONTROL!$C$22, $C$13, 100%, $E$13)</f>
        <v>5.1439000000000004</v>
      </c>
      <c r="E330" s="68">
        <f>6.1681 * CHOOSE(CONTROL!$C$22, $C$13, 100%, $E$13)</f>
        <v>6.1680999999999999</v>
      </c>
      <c r="F330" s="68">
        <f>6.1681 * CHOOSE(CONTROL!$C$22, $C$13, 100%, $E$13)</f>
        <v>6.1680999999999999</v>
      </c>
      <c r="G330" s="68">
        <f>6.1694 * CHOOSE(CONTROL!$C$22, $C$13, 100%, $E$13)</f>
        <v>6.1694000000000004</v>
      </c>
      <c r="H330" s="68">
        <f>10.0153* CHOOSE(CONTROL!$C$22, $C$13, 100%, $E$13)</f>
        <v>10.0153</v>
      </c>
      <c r="I330" s="68">
        <f>10.0166 * CHOOSE(CONTROL!$C$22, $C$13, 100%, $E$13)</f>
        <v>10.0166</v>
      </c>
      <c r="J330" s="68">
        <f>6.1681 * CHOOSE(CONTROL!$C$22, $C$13, 100%, $E$13)</f>
        <v>6.1680999999999999</v>
      </c>
      <c r="K330" s="68">
        <f>6.1694 * CHOOSE(CONTROL!$C$22, $C$13, 100%, $E$13)</f>
        <v>6.1694000000000004</v>
      </c>
    </row>
    <row r="331" spans="1:11" ht="15">
      <c r="A331" s="13">
        <v>51196</v>
      </c>
      <c r="B331" s="67">
        <f>5.1399 * CHOOSE(CONTROL!$C$22, $C$13, 100%, $E$13)</f>
        <v>5.1398999999999999</v>
      </c>
      <c r="C331" s="67">
        <f>5.1399 * CHOOSE(CONTROL!$C$22, $C$13, 100%, $E$13)</f>
        <v>5.1398999999999999</v>
      </c>
      <c r="D331" s="67">
        <f>5.1409 * CHOOSE(CONTROL!$C$22, $C$13, 100%, $E$13)</f>
        <v>5.1409000000000002</v>
      </c>
      <c r="E331" s="68">
        <f>6.2435 * CHOOSE(CONTROL!$C$22, $C$13, 100%, $E$13)</f>
        <v>6.2435</v>
      </c>
      <c r="F331" s="68">
        <f>6.2435 * CHOOSE(CONTROL!$C$22, $C$13, 100%, $E$13)</f>
        <v>6.2435</v>
      </c>
      <c r="G331" s="68">
        <f>6.2448 * CHOOSE(CONTROL!$C$22, $C$13, 100%, $E$13)</f>
        <v>6.2447999999999997</v>
      </c>
      <c r="H331" s="68">
        <f>10.0361* CHOOSE(CONTROL!$C$22, $C$13, 100%, $E$13)</f>
        <v>10.036099999999999</v>
      </c>
      <c r="I331" s="68">
        <f>10.0374 * CHOOSE(CONTROL!$C$22, $C$13, 100%, $E$13)</f>
        <v>10.0374</v>
      </c>
      <c r="J331" s="68">
        <f>6.2435 * CHOOSE(CONTROL!$C$22, $C$13, 100%, $E$13)</f>
        <v>6.2435</v>
      </c>
      <c r="K331" s="68">
        <f>6.2448 * CHOOSE(CONTROL!$C$22, $C$13, 100%, $E$13)</f>
        <v>6.2447999999999997</v>
      </c>
    </row>
    <row r="332" spans="1:11" ht="15">
      <c r="A332" s="13">
        <v>51227</v>
      </c>
      <c r="B332" s="67">
        <f>5.1385 * CHOOSE(CONTROL!$C$22, $C$13, 100%, $E$13)</f>
        <v>5.1384999999999996</v>
      </c>
      <c r="C332" s="67">
        <f>5.1385 * CHOOSE(CONTROL!$C$22, $C$13, 100%, $E$13)</f>
        <v>5.1384999999999996</v>
      </c>
      <c r="D332" s="67">
        <f>5.1395 * CHOOSE(CONTROL!$C$22, $C$13, 100%, $E$13)</f>
        <v>5.1395</v>
      </c>
      <c r="E332" s="68">
        <f>6.3226 * CHOOSE(CONTROL!$C$22, $C$13, 100%, $E$13)</f>
        <v>6.3226000000000004</v>
      </c>
      <c r="F332" s="68">
        <f>6.3226 * CHOOSE(CONTROL!$C$22, $C$13, 100%, $E$13)</f>
        <v>6.3226000000000004</v>
      </c>
      <c r="G332" s="68">
        <f>6.3239 * CHOOSE(CONTROL!$C$22, $C$13, 100%, $E$13)</f>
        <v>6.3239000000000001</v>
      </c>
      <c r="H332" s="68">
        <f>10.0571* CHOOSE(CONTROL!$C$22, $C$13, 100%, $E$13)</f>
        <v>10.0571</v>
      </c>
      <c r="I332" s="68">
        <f>10.0583 * CHOOSE(CONTROL!$C$22, $C$13, 100%, $E$13)</f>
        <v>10.058299999999999</v>
      </c>
      <c r="J332" s="68">
        <f>6.3226 * CHOOSE(CONTROL!$C$22, $C$13, 100%, $E$13)</f>
        <v>6.3226000000000004</v>
      </c>
      <c r="K332" s="68">
        <f>6.3239 * CHOOSE(CONTROL!$C$22, $C$13, 100%, $E$13)</f>
        <v>6.3239000000000001</v>
      </c>
    </row>
    <row r="333" spans="1:11" ht="15">
      <c r="A333" s="13">
        <v>51257</v>
      </c>
      <c r="B333" s="67">
        <f>5.1385 * CHOOSE(CONTROL!$C$22, $C$13, 100%, $E$13)</f>
        <v>5.1384999999999996</v>
      </c>
      <c r="C333" s="67">
        <f>5.1385 * CHOOSE(CONTROL!$C$22, $C$13, 100%, $E$13)</f>
        <v>5.1384999999999996</v>
      </c>
      <c r="D333" s="67">
        <f>5.1411 * CHOOSE(CONTROL!$C$22, $C$13, 100%, $E$13)</f>
        <v>5.1410999999999998</v>
      </c>
      <c r="E333" s="68">
        <f>6.3538 * CHOOSE(CONTROL!$C$22, $C$13, 100%, $E$13)</f>
        <v>6.3537999999999997</v>
      </c>
      <c r="F333" s="68">
        <f>6.3538 * CHOOSE(CONTROL!$C$22, $C$13, 100%, $E$13)</f>
        <v>6.3537999999999997</v>
      </c>
      <c r="G333" s="68">
        <f>6.3571 * CHOOSE(CONTROL!$C$22, $C$13, 100%, $E$13)</f>
        <v>6.3571</v>
      </c>
      <c r="H333" s="68">
        <f>10.078* CHOOSE(CONTROL!$C$22, $C$13, 100%, $E$13)</f>
        <v>10.077999999999999</v>
      </c>
      <c r="I333" s="68">
        <f>10.0813 * CHOOSE(CONTROL!$C$22, $C$13, 100%, $E$13)</f>
        <v>10.081300000000001</v>
      </c>
      <c r="J333" s="68">
        <f>6.3538 * CHOOSE(CONTROL!$C$22, $C$13, 100%, $E$13)</f>
        <v>6.3537999999999997</v>
      </c>
      <c r="K333" s="68">
        <f>6.3571 * CHOOSE(CONTROL!$C$22, $C$13, 100%, $E$13)</f>
        <v>6.3571</v>
      </c>
    </row>
    <row r="334" spans="1:11" ht="15">
      <c r="A334" s="13">
        <v>51288</v>
      </c>
      <c r="B334" s="67">
        <f>5.1446 * CHOOSE(CONTROL!$C$22, $C$13, 100%, $E$13)</f>
        <v>5.1445999999999996</v>
      </c>
      <c r="C334" s="67">
        <f>5.1446 * CHOOSE(CONTROL!$C$22, $C$13, 100%, $E$13)</f>
        <v>5.1445999999999996</v>
      </c>
      <c r="D334" s="67">
        <f>5.1472 * CHOOSE(CONTROL!$C$22, $C$13, 100%, $E$13)</f>
        <v>5.1471999999999998</v>
      </c>
      <c r="E334" s="68">
        <f>6.3268 * CHOOSE(CONTROL!$C$22, $C$13, 100%, $E$13)</f>
        <v>6.3268000000000004</v>
      </c>
      <c r="F334" s="68">
        <f>6.3268 * CHOOSE(CONTROL!$C$22, $C$13, 100%, $E$13)</f>
        <v>6.3268000000000004</v>
      </c>
      <c r="G334" s="68">
        <f>6.3301 * CHOOSE(CONTROL!$C$22, $C$13, 100%, $E$13)</f>
        <v>6.3300999999999998</v>
      </c>
      <c r="H334" s="68">
        <f>10.099* CHOOSE(CONTROL!$C$22, $C$13, 100%, $E$13)</f>
        <v>10.099</v>
      </c>
      <c r="I334" s="68">
        <f>10.1023 * CHOOSE(CONTROL!$C$22, $C$13, 100%, $E$13)</f>
        <v>10.1023</v>
      </c>
      <c r="J334" s="68">
        <f>6.3268 * CHOOSE(CONTROL!$C$22, $C$13, 100%, $E$13)</f>
        <v>6.3268000000000004</v>
      </c>
      <c r="K334" s="68">
        <f>6.3301 * CHOOSE(CONTROL!$C$22, $C$13, 100%, $E$13)</f>
        <v>6.3300999999999998</v>
      </c>
    </row>
    <row r="335" spans="1:11" ht="15">
      <c r="A335" s="13">
        <v>51318</v>
      </c>
      <c r="B335" s="67">
        <f>5.2293 * CHOOSE(CONTROL!$C$22, $C$13, 100%, $E$13)</f>
        <v>5.2293000000000003</v>
      </c>
      <c r="C335" s="67">
        <f>5.2293 * CHOOSE(CONTROL!$C$22, $C$13, 100%, $E$13)</f>
        <v>5.2293000000000003</v>
      </c>
      <c r="D335" s="67">
        <f>5.2319 * CHOOSE(CONTROL!$C$22, $C$13, 100%, $E$13)</f>
        <v>5.2319000000000004</v>
      </c>
      <c r="E335" s="68">
        <f>6.4346 * CHOOSE(CONTROL!$C$22, $C$13, 100%, $E$13)</f>
        <v>6.4345999999999997</v>
      </c>
      <c r="F335" s="68">
        <f>6.4346 * CHOOSE(CONTROL!$C$22, $C$13, 100%, $E$13)</f>
        <v>6.4345999999999997</v>
      </c>
      <c r="G335" s="68">
        <f>6.4378 * CHOOSE(CONTROL!$C$22, $C$13, 100%, $E$13)</f>
        <v>6.4378000000000002</v>
      </c>
      <c r="H335" s="68">
        <f>10.12* CHOOSE(CONTROL!$C$22, $C$13, 100%, $E$13)</f>
        <v>10.119999999999999</v>
      </c>
      <c r="I335" s="68">
        <f>10.1233 * CHOOSE(CONTROL!$C$22, $C$13, 100%, $E$13)</f>
        <v>10.1233</v>
      </c>
      <c r="J335" s="68">
        <f>6.4346 * CHOOSE(CONTROL!$C$22, $C$13, 100%, $E$13)</f>
        <v>6.4345999999999997</v>
      </c>
      <c r="K335" s="68">
        <f>6.4378 * CHOOSE(CONTROL!$C$22, $C$13, 100%, $E$13)</f>
        <v>6.4378000000000002</v>
      </c>
    </row>
    <row r="336" spans="1:11" ht="15">
      <c r="A336" s="13">
        <v>51349</v>
      </c>
      <c r="B336" s="67">
        <f>5.236 * CHOOSE(CONTROL!$C$22, $C$13, 100%, $E$13)</f>
        <v>5.2359999999999998</v>
      </c>
      <c r="C336" s="67">
        <f>5.236 * CHOOSE(CONTROL!$C$22, $C$13, 100%, $E$13)</f>
        <v>5.2359999999999998</v>
      </c>
      <c r="D336" s="67">
        <f>5.2386 * CHOOSE(CONTROL!$C$22, $C$13, 100%, $E$13)</f>
        <v>5.2385999999999999</v>
      </c>
      <c r="E336" s="68">
        <f>6.3455 * CHOOSE(CONTROL!$C$22, $C$13, 100%, $E$13)</f>
        <v>6.3455000000000004</v>
      </c>
      <c r="F336" s="68">
        <f>6.3455 * CHOOSE(CONTROL!$C$22, $C$13, 100%, $E$13)</f>
        <v>6.3455000000000004</v>
      </c>
      <c r="G336" s="68">
        <f>6.3488 * CHOOSE(CONTROL!$C$22, $C$13, 100%, $E$13)</f>
        <v>6.3487999999999998</v>
      </c>
      <c r="H336" s="68">
        <f>10.1411* CHOOSE(CONTROL!$C$22, $C$13, 100%, $E$13)</f>
        <v>10.1411</v>
      </c>
      <c r="I336" s="68">
        <f>10.1444 * CHOOSE(CONTROL!$C$22, $C$13, 100%, $E$13)</f>
        <v>10.144399999999999</v>
      </c>
      <c r="J336" s="68">
        <f>6.3455 * CHOOSE(CONTROL!$C$22, $C$13, 100%, $E$13)</f>
        <v>6.3455000000000004</v>
      </c>
      <c r="K336" s="68">
        <f>6.3488 * CHOOSE(CONTROL!$C$22, $C$13, 100%, $E$13)</f>
        <v>6.3487999999999998</v>
      </c>
    </row>
    <row r="337" spans="1:11" ht="15">
      <c r="A337" s="13">
        <v>51380</v>
      </c>
      <c r="B337" s="67">
        <f>5.233 * CHOOSE(CONTROL!$C$22, $C$13, 100%, $E$13)</f>
        <v>5.2329999999999997</v>
      </c>
      <c r="C337" s="67">
        <f>5.233 * CHOOSE(CONTROL!$C$22, $C$13, 100%, $E$13)</f>
        <v>5.2329999999999997</v>
      </c>
      <c r="D337" s="67">
        <f>5.2356 * CHOOSE(CONTROL!$C$22, $C$13, 100%, $E$13)</f>
        <v>5.2355999999999998</v>
      </c>
      <c r="E337" s="68">
        <f>6.333 * CHOOSE(CONTROL!$C$22, $C$13, 100%, $E$13)</f>
        <v>6.3330000000000002</v>
      </c>
      <c r="F337" s="68">
        <f>6.333 * CHOOSE(CONTROL!$C$22, $C$13, 100%, $E$13)</f>
        <v>6.3330000000000002</v>
      </c>
      <c r="G337" s="68">
        <f>6.3362 * CHOOSE(CONTROL!$C$22, $C$13, 100%, $E$13)</f>
        <v>6.3361999999999998</v>
      </c>
      <c r="H337" s="68">
        <f>10.1623* CHOOSE(CONTROL!$C$22, $C$13, 100%, $E$13)</f>
        <v>10.1623</v>
      </c>
      <c r="I337" s="68">
        <f>10.1655 * CHOOSE(CONTROL!$C$22, $C$13, 100%, $E$13)</f>
        <v>10.1655</v>
      </c>
      <c r="J337" s="68">
        <f>6.333 * CHOOSE(CONTROL!$C$22, $C$13, 100%, $E$13)</f>
        <v>6.3330000000000002</v>
      </c>
      <c r="K337" s="68">
        <f>6.3362 * CHOOSE(CONTROL!$C$22, $C$13, 100%, $E$13)</f>
        <v>6.3361999999999998</v>
      </c>
    </row>
    <row r="338" spans="1:11" ht="15">
      <c r="A338" s="13">
        <v>51410</v>
      </c>
      <c r="B338" s="67">
        <f>5.2321 * CHOOSE(CONTROL!$C$22, $C$13, 100%, $E$13)</f>
        <v>5.2321</v>
      </c>
      <c r="C338" s="67">
        <f>5.2321 * CHOOSE(CONTROL!$C$22, $C$13, 100%, $E$13)</f>
        <v>5.2321</v>
      </c>
      <c r="D338" s="67">
        <f>5.2331 * CHOOSE(CONTROL!$C$22, $C$13, 100%, $E$13)</f>
        <v>5.2331000000000003</v>
      </c>
      <c r="E338" s="68">
        <f>6.3612 * CHOOSE(CONTROL!$C$22, $C$13, 100%, $E$13)</f>
        <v>6.3612000000000002</v>
      </c>
      <c r="F338" s="68">
        <f>6.3612 * CHOOSE(CONTROL!$C$22, $C$13, 100%, $E$13)</f>
        <v>6.3612000000000002</v>
      </c>
      <c r="G338" s="68">
        <f>6.3625 * CHOOSE(CONTROL!$C$22, $C$13, 100%, $E$13)</f>
        <v>6.3624999999999998</v>
      </c>
      <c r="H338" s="68">
        <f>10.1834* CHOOSE(CONTROL!$C$22, $C$13, 100%, $E$13)</f>
        <v>10.183400000000001</v>
      </c>
      <c r="I338" s="68">
        <f>10.1847 * CHOOSE(CONTROL!$C$22, $C$13, 100%, $E$13)</f>
        <v>10.184699999999999</v>
      </c>
      <c r="J338" s="68">
        <f>6.3612 * CHOOSE(CONTROL!$C$22, $C$13, 100%, $E$13)</f>
        <v>6.3612000000000002</v>
      </c>
      <c r="K338" s="68">
        <f>6.3625 * CHOOSE(CONTROL!$C$22, $C$13, 100%, $E$13)</f>
        <v>6.3624999999999998</v>
      </c>
    </row>
    <row r="339" spans="1:11" ht="15">
      <c r="A339" s="13">
        <v>51441</v>
      </c>
      <c r="B339" s="67">
        <f>5.2352 * CHOOSE(CONTROL!$C$22, $C$13, 100%, $E$13)</f>
        <v>5.2351999999999999</v>
      </c>
      <c r="C339" s="67">
        <f>5.2352 * CHOOSE(CONTROL!$C$22, $C$13, 100%, $E$13)</f>
        <v>5.2351999999999999</v>
      </c>
      <c r="D339" s="67">
        <f>5.2362 * CHOOSE(CONTROL!$C$22, $C$13, 100%, $E$13)</f>
        <v>5.2362000000000002</v>
      </c>
      <c r="E339" s="68">
        <f>6.3842 * CHOOSE(CONTROL!$C$22, $C$13, 100%, $E$13)</f>
        <v>6.3841999999999999</v>
      </c>
      <c r="F339" s="68">
        <f>6.3842 * CHOOSE(CONTROL!$C$22, $C$13, 100%, $E$13)</f>
        <v>6.3841999999999999</v>
      </c>
      <c r="G339" s="68">
        <f>6.3855 * CHOOSE(CONTROL!$C$22, $C$13, 100%, $E$13)</f>
        <v>6.3855000000000004</v>
      </c>
      <c r="H339" s="68">
        <f>10.2046* CHOOSE(CONTROL!$C$22, $C$13, 100%, $E$13)</f>
        <v>10.204599999999999</v>
      </c>
      <c r="I339" s="68">
        <f>10.2059 * CHOOSE(CONTROL!$C$22, $C$13, 100%, $E$13)</f>
        <v>10.2059</v>
      </c>
      <c r="J339" s="68">
        <f>6.3842 * CHOOSE(CONTROL!$C$22, $C$13, 100%, $E$13)</f>
        <v>6.3841999999999999</v>
      </c>
      <c r="K339" s="68">
        <f>6.3855 * CHOOSE(CONTROL!$C$22, $C$13, 100%, $E$13)</f>
        <v>6.3855000000000004</v>
      </c>
    </row>
    <row r="340" spans="1:11" ht="15">
      <c r="A340" s="13">
        <v>51471</v>
      </c>
      <c r="B340" s="67">
        <f>5.2352 * CHOOSE(CONTROL!$C$22, $C$13, 100%, $E$13)</f>
        <v>5.2351999999999999</v>
      </c>
      <c r="C340" s="67">
        <f>5.2352 * CHOOSE(CONTROL!$C$22, $C$13, 100%, $E$13)</f>
        <v>5.2351999999999999</v>
      </c>
      <c r="D340" s="67">
        <f>5.2362 * CHOOSE(CONTROL!$C$22, $C$13, 100%, $E$13)</f>
        <v>5.2362000000000002</v>
      </c>
      <c r="E340" s="68">
        <f>6.3321 * CHOOSE(CONTROL!$C$22, $C$13, 100%, $E$13)</f>
        <v>6.3320999999999996</v>
      </c>
      <c r="F340" s="68">
        <f>6.3321 * CHOOSE(CONTROL!$C$22, $C$13, 100%, $E$13)</f>
        <v>6.3320999999999996</v>
      </c>
      <c r="G340" s="68">
        <f>6.3334 * CHOOSE(CONTROL!$C$22, $C$13, 100%, $E$13)</f>
        <v>6.3334000000000001</v>
      </c>
      <c r="H340" s="68">
        <f>10.2259* CHOOSE(CONTROL!$C$22, $C$13, 100%, $E$13)</f>
        <v>10.225899999999999</v>
      </c>
      <c r="I340" s="68">
        <f>10.2272 * CHOOSE(CONTROL!$C$22, $C$13, 100%, $E$13)</f>
        <v>10.2272</v>
      </c>
      <c r="J340" s="68">
        <f>6.3321 * CHOOSE(CONTROL!$C$22, $C$13, 100%, $E$13)</f>
        <v>6.3320999999999996</v>
      </c>
      <c r="K340" s="68">
        <f>6.3334 * CHOOSE(CONTROL!$C$22, $C$13, 100%, $E$13)</f>
        <v>6.3334000000000001</v>
      </c>
    </row>
    <row r="341" spans="1:11" ht="15">
      <c r="A341" s="13">
        <v>51502</v>
      </c>
      <c r="B341" s="67">
        <f>5.2816 * CHOOSE(CONTROL!$C$22, $C$13, 100%, $E$13)</f>
        <v>5.2816000000000001</v>
      </c>
      <c r="C341" s="67">
        <f>5.2816 * CHOOSE(CONTROL!$C$22, $C$13, 100%, $E$13)</f>
        <v>5.2816000000000001</v>
      </c>
      <c r="D341" s="67">
        <f>5.2826 * CHOOSE(CONTROL!$C$22, $C$13, 100%, $E$13)</f>
        <v>5.2826000000000004</v>
      </c>
      <c r="E341" s="68">
        <f>6.4218 * CHOOSE(CONTROL!$C$22, $C$13, 100%, $E$13)</f>
        <v>6.4218000000000002</v>
      </c>
      <c r="F341" s="68">
        <f>6.4218 * CHOOSE(CONTROL!$C$22, $C$13, 100%, $E$13)</f>
        <v>6.4218000000000002</v>
      </c>
      <c r="G341" s="68">
        <f>6.4231 * CHOOSE(CONTROL!$C$22, $C$13, 100%, $E$13)</f>
        <v>6.4230999999999998</v>
      </c>
      <c r="H341" s="68">
        <f>10.2472* CHOOSE(CONTROL!$C$22, $C$13, 100%, $E$13)</f>
        <v>10.247199999999999</v>
      </c>
      <c r="I341" s="68">
        <f>10.2485 * CHOOSE(CONTROL!$C$22, $C$13, 100%, $E$13)</f>
        <v>10.2485</v>
      </c>
      <c r="J341" s="68">
        <f>6.4218 * CHOOSE(CONTROL!$C$22, $C$13, 100%, $E$13)</f>
        <v>6.4218000000000002</v>
      </c>
      <c r="K341" s="68">
        <f>6.4231 * CHOOSE(CONTROL!$C$22, $C$13, 100%, $E$13)</f>
        <v>6.4230999999999998</v>
      </c>
    </row>
    <row r="342" spans="1:11" ht="15">
      <c r="A342" s="13">
        <v>51533</v>
      </c>
      <c r="B342" s="67">
        <f>5.2786 * CHOOSE(CONTROL!$C$22, $C$13, 100%, $E$13)</f>
        <v>5.2786</v>
      </c>
      <c r="C342" s="67">
        <f>5.2786 * CHOOSE(CONTROL!$C$22, $C$13, 100%, $E$13)</f>
        <v>5.2786</v>
      </c>
      <c r="D342" s="67">
        <f>5.2796 * CHOOSE(CONTROL!$C$22, $C$13, 100%, $E$13)</f>
        <v>5.2796000000000003</v>
      </c>
      <c r="E342" s="68">
        <f>6.3185 * CHOOSE(CONTROL!$C$22, $C$13, 100%, $E$13)</f>
        <v>6.3185000000000002</v>
      </c>
      <c r="F342" s="68">
        <f>6.3185 * CHOOSE(CONTROL!$C$22, $C$13, 100%, $E$13)</f>
        <v>6.3185000000000002</v>
      </c>
      <c r="G342" s="68">
        <f>6.3198 * CHOOSE(CONTROL!$C$22, $C$13, 100%, $E$13)</f>
        <v>6.3197999999999999</v>
      </c>
      <c r="H342" s="68">
        <f>10.2686* CHOOSE(CONTROL!$C$22, $C$13, 100%, $E$13)</f>
        <v>10.268599999999999</v>
      </c>
      <c r="I342" s="68">
        <f>10.2698 * CHOOSE(CONTROL!$C$22, $C$13, 100%, $E$13)</f>
        <v>10.2698</v>
      </c>
      <c r="J342" s="68">
        <f>6.3185 * CHOOSE(CONTROL!$C$22, $C$13, 100%, $E$13)</f>
        <v>6.3185000000000002</v>
      </c>
      <c r="K342" s="68">
        <f>6.3198 * CHOOSE(CONTROL!$C$22, $C$13, 100%, $E$13)</f>
        <v>6.3197999999999999</v>
      </c>
    </row>
    <row r="343" spans="1:11" ht="15">
      <c r="A343" s="13">
        <v>51561</v>
      </c>
      <c r="B343" s="67">
        <f>5.2755 * CHOOSE(CONTROL!$C$22, $C$13, 100%, $E$13)</f>
        <v>5.2755000000000001</v>
      </c>
      <c r="C343" s="67">
        <f>5.2755 * CHOOSE(CONTROL!$C$22, $C$13, 100%, $E$13)</f>
        <v>5.2755000000000001</v>
      </c>
      <c r="D343" s="67">
        <f>5.2765 * CHOOSE(CONTROL!$C$22, $C$13, 100%, $E$13)</f>
        <v>5.2765000000000004</v>
      </c>
      <c r="E343" s="68">
        <f>6.3961 * CHOOSE(CONTROL!$C$22, $C$13, 100%, $E$13)</f>
        <v>6.3960999999999997</v>
      </c>
      <c r="F343" s="68">
        <f>6.3961 * CHOOSE(CONTROL!$C$22, $C$13, 100%, $E$13)</f>
        <v>6.3960999999999997</v>
      </c>
      <c r="G343" s="68">
        <f>6.3974 * CHOOSE(CONTROL!$C$22, $C$13, 100%, $E$13)</f>
        <v>6.3974000000000002</v>
      </c>
      <c r="H343" s="68">
        <f>10.2899* CHOOSE(CONTROL!$C$22, $C$13, 100%, $E$13)</f>
        <v>10.289899999999999</v>
      </c>
      <c r="I343" s="68">
        <f>10.2912 * CHOOSE(CONTROL!$C$22, $C$13, 100%, $E$13)</f>
        <v>10.2912</v>
      </c>
      <c r="J343" s="68">
        <f>6.3961 * CHOOSE(CONTROL!$C$22, $C$13, 100%, $E$13)</f>
        <v>6.3960999999999997</v>
      </c>
      <c r="K343" s="68">
        <f>6.3974 * CHOOSE(CONTROL!$C$22, $C$13, 100%, $E$13)</f>
        <v>6.3974000000000002</v>
      </c>
    </row>
    <row r="344" spans="1:11" ht="15">
      <c r="A344" s="13">
        <v>51592</v>
      </c>
      <c r="B344" s="67">
        <f>5.2743 * CHOOSE(CONTROL!$C$22, $C$13, 100%, $E$13)</f>
        <v>5.2743000000000002</v>
      </c>
      <c r="C344" s="67">
        <f>5.2743 * CHOOSE(CONTROL!$C$22, $C$13, 100%, $E$13)</f>
        <v>5.2743000000000002</v>
      </c>
      <c r="D344" s="67">
        <f>5.2753 * CHOOSE(CONTROL!$C$22, $C$13, 100%, $E$13)</f>
        <v>5.2752999999999997</v>
      </c>
      <c r="E344" s="68">
        <f>6.4775 * CHOOSE(CONTROL!$C$22, $C$13, 100%, $E$13)</f>
        <v>6.4775</v>
      </c>
      <c r="F344" s="68">
        <f>6.4775 * CHOOSE(CONTROL!$C$22, $C$13, 100%, $E$13)</f>
        <v>6.4775</v>
      </c>
      <c r="G344" s="68">
        <f>6.4788 * CHOOSE(CONTROL!$C$22, $C$13, 100%, $E$13)</f>
        <v>6.4787999999999997</v>
      </c>
      <c r="H344" s="68">
        <f>10.3114* CHOOSE(CONTROL!$C$22, $C$13, 100%, $E$13)</f>
        <v>10.311400000000001</v>
      </c>
      <c r="I344" s="68">
        <f>10.3127 * CHOOSE(CONTROL!$C$22, $C$13, 100%, $E$13)</f>
        <v>10.3127</v>
      </c>
      <c r="J344" s="68">
        <f>6.4775 * CHOOSE(CONTROL!$C$22, $C$13, 100%, $E$13)</f>
        <v>6.4775</v>
      </c>
      <c r="K344" s="68">
        <f>6.4788 * CHOOSE(CONTROL!$C$22, $C$13, 100%, $E$13)</f>
        <v>6.4787999999999997</v>
      </c>
    </row>
    <row r="345" spans="1:11" ht="15">
      <c r="A345" s="13">
        <v>51622</v>
      </c>
      <c r="B345" s="67">
        <f>5.2743 * CHOOSE(CONTROL!$C$22, $C$13, 100%, $E$13)</f>
        <v>5.2743000000000002</v>
      </c>
      <c r="C345" s="67">
        <f>5.2743 * CHOOSE(CONTROL!$C$22, $C$13, 100%, $E$13)</f>
        <v>5.2743000000000002</v>
      </c>
      <c r="D345" s="67">
        <f>5.2769 * CHOOSE(CONTROL!$C$22, $C$13, 100%, $E$13)</f>
        <v>5.2769000000000004</v>
      </c>
      <c r="E345" s="68">
        <f>6.5097 * CHOOSE(CONTROL!$C$22, $C$13, 100%, $E$13)</f>
        <v>6.5096999999999996</v>
      </c>
      <c r="F345" s="68">
        <f>6.5097 * CHOOSE(CONTROL!$C$22, $C$13, 100%, $E$13)</f>
        <v>6.5096999999999996</v>
      </c>
      <c r="G345" s="68">
        <f>6.5129 * CHOOSE(CONTROL!$C$22, $C$13, 100%, $E$13)</f>
        <v>6.5129000000000001</v>
      </c>
      <c r="H345" s="68">
        <f>10.3329* CHOOSE(CONTROL!$C$22, $C$13, 100%, $E$13)</f>
        <v>10.3329</v>
      </c>
      <c r="I345" s="68">
        <f>10.3361 * CHOOSE(CONTROL!$C$22, $C$13, 100%, $E$13)</f>
        <v>10.3361</v>
      </c>
      <c r="J345" s="68">
        <f>6.5097 * CHOOSE(CONTROL!$C$22, $C$13, 100%, $E$13)</f>
        <v>6.5096999999999996</v>
      </c>
      <c r="K345" s="68">
        <f>6.5129 * CHOOSE(CONTROL!$C$22, $C$13, 100%, $E$13)</f>
        <v>6.5129000000000001</v>
      </c>
    </row>
    <row r="346" spans="1:11" ht="15">
      <c r="A346" s="13">
        <v>51653</v>
      </c>
      <c r="B346" s="67">
        <f>5.2804 * CHOOSE(CONTROL!$C$22, $C$13, 100%, $E$13)</f>
        <v>5.2804000000000002</v>
      </c>
      <c r="C346" s="67">
        <f>5.2804 * CHOOSE(CONTROL!$C$22, $C$13, 100%, $E$13)</f>
        <v>5.2804000000000002</v>
      </c>
      <c r="D346" s="67">
        <f>5.283 * CHOOSE(CONTROL!$C$22, $C$13, 100%, $E$13)</f>
        <v>5.2830000000000004</v>
      </c>
      <c r="E346" s="68">
        <f>6.4818 * CHOOSE(CONTROL!$C$22, $C$13, 100%, $E$13)</f>
        <v>6.4817999999999998</v>
      </c>
      <c r="F346" s="68">
        <f>6.4818 * CHOOSE(CONTROL!$C$22, $C$13, 100%, $E$13)</f>
        <v>6.4817999999999998</v>
      </c>
      <c r="G346" s="68">
        <f>6.485 * CHOOSE(CONTROL!$C$22, $C$13, 100%, $E$13)</f>
        <v>6.4850000000000003</v>
      </c>
      <c r="H346" s="68">
        <f>10.3544* CHOOSE(CONTROL!$C$22, $C$13, 100%, $E$13)</f>
        <v>10.3544</v>
      </c>
      <c r="I346" s="68">
        <f>10.3576 * CHOOSE(CONTROL!$C$22, $C$13, 100%, $E$13)</f>
        <v>10.3576</v>
      </c>
      <c r="J346" s="68">
        <f>6.4818 * CHOOSE(CONTROL!$C$22, $C$13, 100%, $E$13)</f>
        <v>6.4817999999999998</v>
      </c>
      <c r="K346" s="68">
        <f>6.485 * CHOOSE(CONTROL!$C$22, $C$13, 100%, $E$13)</f>
        <v>6.4850000000000003</v>
      </c>
    </row>
    <row r="347" spans="1:11" ht="15">
      <c r="A347" s="13">
        <v>51683</v>
      </c>
      <c r="B347" s="67">
        <f>5.3669 * CHOOSE(CONTROL!$C$22, $C$13, 100%, $E$13)</f>
        <v>5.3669000000000002</v>
      </c>
      <c r="C347" s="67">
        <f>5.3669 * CHOOSE(CONTROL!$C$22, $C$13, 100%, $E$13)</f>
        <v>5.3669000000000002</v>
      </c>
      <c r="D347" s="67">
        <f>5.3695 * CHOOSE(CONTROL!$C$22, $C$13, 100%, $E$13)</f>
        <v>5.3695000000000004</v>
      </c>
      <c r="E347" s="68">
        <f>6.5916 * CHOOSE(CONTROL!$C$22, $C$13, 100%, $E$13)</f>
        <v>6.5915999999999997</v>
      </c>
      <c r="F347" s="68">
        <f>6.5916 * CHOOSE(CONTROL!$C$22, $C$13, 100%, $E$13)</f>
        <v>6.5915999999999997</v>
      </c>
      <c r="G347" s="68">
        <f>6.5949 * CHOOSE(CONTROL!$C$22, $C$13, 100%, $E$13)</f>
        <v>6.5949</v>
      </c>
      <c r="H347" s="68">
        <f>10.376* CHOOSE(CONTROL!$C$22, $C$13, 100%, $E$13)</f>
        <v>10.375999999999999</v>
      </c>
      <c r="I347" s="68">
        <f>10.3792 * CHOOSE(CONTROL!$C$22, $C$13, 100%, $E$13)</f>
        <v>10.379200000000001</v>
      </c>
      <c r="J347" s="68">
        <f>6.5916 * CHOOSE(CONTROL!$C$22, $C$13, 100%, $E$13)</f>
        <v>6.5915999999999997</v>
      </c>
      <c r="K347" s="68">
        <f>6.5949 * CHOOSE(CONTROL!$C$22, $C$13, 100%, $E$13)</f>
        <v>6.5949</v>
      </c>
    </row>
    <row r="348" spans="1:11" ht="15">
      <c r="A348" s="13">
        <v>51714</v>
      </c>
      <c r="B348" s="67">
        <f>5.3736 * CHOOSE(CONTROL!$C$22, $C$13, 100%, $E$13)</f>
        <v>5.3735999999999997</v>
      </c>
      <c r="C348" s="67">
        <f>5.3736 * CHOOSE(CONTROL!$C$22, $C$13, 100%, $E$13)</f>
        <v>5.3735999999999997</v>
      </c>
      <c r="D348" s="67">
        <f>5.3762 * CHOOSE(CONTROL!$C$22, $C$13, 100%, $E$13)</f>
        <v>5.3761999999999999</v>
      </c>
      <c r="E348" s="68">
        <f>6.4999 * CHOOSE(CONTROL!$C$22, $C$13, 100%, $E$13)</f>
        <v>6.4999000000000002</v>
      </c>
      <c r="F348" s="68">
        <f>6.4999 * CHOOSE(CONTROL!$C$22, $C$13, 100%, $E$13)</f>
        <v>6.4999000000000002</v>
      </c>
      <c r="G348" s="68">
        <f>6.5032 * CHOOSE(CONTROL!$C$22, $C$13, 100%, $E$13)</f>
        <v>6.5031999999999996</v>
      </c>
      <c r="H348" s="68">
        <f>10.3976* CHOOSE(CONTROL!$C$22, $C$13, 100%, $E$13)</f>
        <v>10.397600000000001</v>
      </c>
      <c r="I348" s="68">
        <f>10.4008 * CHOOSE(CONTROL!$C$22, $C$13, 100%, $E$13)</f>
        <v>10.4008</v>
      </c>
      <c r="J348" s="68">
        <f>6.4999 * CHOOSE(CONTROL!$C$22, $C$13, 100%, $E$13)</f>
        <v>6.4999000000000002</v>
      </c>
      <c r="K348" s="68">
        <f>6.5032 * CHOOSE(CONTROL!$C$22, $C$13, 100%, $E$13)</f>
        <v>6.5031999999999996</v>
      </c>
    </row>
    <row r="349" spans="1:11" ht="15">
      <c r="A349" s="13">
        <v>51745</v>
      </c>
      <c r="B349" s="67">
        <f>5.3705 * CHOOSE(CONTROL!$C$22, $C$13, 100%, $E$13)</f>
        <v>5.3704999999999998</v>
      </c>
      <c r="C349" s="67">
        <f>5.3705 * CHOOSE(CONTROL!$C$22, $C$13, 100%, $E$13)</f>
        <v>5.3704999999999998</v>
      </c>
      <c r="D349" s="67">
        <f>5.3731 * CHOOSE(CONTROL!$C$22, $C$13, 100%, $E$13)</f>
        <v>5.3731</v>
      </c>
      <c r="E349" s="68">
        <f>6.4871 * CHOOSE(CONTROL!$C$22, $C$13, 100%, $E$13)</f>
        <v>6.4870999999999999</v>
      </c>
      <c r="F349" s="68">
        <f>6.4871 * CHOOSE(CONTROL!$C$22, $C$13, 100%, $E$13)</f>
        <v>6.4870999999999999</v>
      </c>
      <c r="G349" s="68">
        <f>6.4904 * CHOOSE(CONTROL!$C$22, $C$13, 100%, $E$13)</f>
        <v>6.4904000000000002</v>
      </c>
      <c r="H349" s="68">
        <f>10.4192* CHOOSE(CONTROL!$C$22, $C$13, 100%, $E$13)</f>
        <v>10.4192</v>
      </c>
      <c r="I349" s="68">
        <f>10.4225 * CHOOSE(CONTROL!$C$22, $C$13, 100%, $E$13)</f>
        <v>10.422499999999999</v>
      </c>
      <c r="J349" s="68">
        <f>6.4871 * CHOOSE(CONTROL!$C$22, $C$13, 100%, $E$13)</f>
        <v>6.4870999999999999</v>
      </c>
      <c r="K349" s="68">
        <f>6.4904 * CHOOSE(CONTROL!$C$22, $C$13, 100%, $E$13)</f>
        <v>6.4904000000000002</v>
      </c>
    </row>
    <row r="350" spans="1:11" ht="15">
      <c r="A350" s="13">
        <v>51775</v>
      </c>
      <c r="B350" s="67">
        <f>5.3701 * CHOOSE(CONTROL!$C$22, $C$13, 100%, $E$13)</f>
        <v>5.3700999999999999</v>
      </c>
      <c r="C350" s="67">
        <f>5.3701 * CHOOSE(CONTROL!$C$22, $C$13, 100%, $E$13)</f>
        <v>5.3700999999999999</v>
      </c>
      <c r="D350" s="67">
        <f>5.3711 * CHOOSE(CONTROL!$C$22, $C$13, 100%, $E$13)</f>
        <v>5.3711000000000002</v>
      </c>
      <c r="E350" s="68">
        <f>6.5165 * CHOOSE(CONTROL!$C$22, $C$13, 100%, $E$13)</f>
        <v>6.5164999999999997</v>
      </c>
      <c r="F350" s="68">
        <f>6.5165 * CHOOSE(CONTROL!$C$22, $C$13, 100%, $E$13)</f>
        <v>6.5164999999999997</v>
      </c>
      <c r="G350" s="68">
        <f>6.5178 * CHOOSE(CONTROL!$C$22, $C$13, 100%, $E$13)</f>
        <v>6.5178000000000003</v>
      </c>
      <c r="H350" s="68">
        <f>10.441* CHOOSE(CONTROL!$C$22, $C$13, 100%, $E$13)</f>
        <v>10.441000000000001</v>
      </c>
      <c r="I350" s="68">
        <f>10.4422 * CHOOSE(CONTROL!$C$22, $C$13, 100%, $E$13)</f>
        <v>10.4422</v>
      </c>
      <c r="J350" s="68">
        <f>6.5165 * CHOOSE(CONTROL!$C$22, $C$13, 100%, $E$13)</f>
        <v>6.5164999999999997</v>
      </c>
      <c r="K350" s="68">
        <f>6.5178 * CHOOSE(CONTROL!$C$22, $C$13, 100%, $E$13)</f>
        <v>6.5178000000000003</v>
      </c>
    </row>
    <row r="351" spans="1:11" ht="15">
      <c r="A351" s="13">
        <v>51806</v>
      </c>
      <c r="B351" s="67">
        <f>5.3732 * CHOOSE(CONTROL!$C$22, $C$13, 100%, $E$13)</f>
        <v>5.3731999999999998</v>
      </c>
      <c r="C351" s="67">
        <f>5.3732 * CHOOSE(CONTROL!$C$22, $C$13, 100%, $E$13)</f>
        <v>5.3731999999999998</v>
      </c>
      <c r="D351" s="67">
        <f>5.3741 * CHOOSE(CONTROL!$C$22, $C$13, 100%, $E$13)</f>
        <v>5.3741000000000003</v>
      </c>
      <c r="E351" s="68">
        <f>6.54 * CHOOSE(CONTROL!$C$22, $C$13, 100%, $E$13)</f>
        <v>6.54</v>
      </c>
      <c r="F351" s="68">
        <f>6.54 * CHOOSE(CONTROL!$C$22, $C$13, 100%, $E$13)</f>
        <v>6.54</v>
      </c>
      <c r="G351" s="68">
        <f>6.5413 * CHOOSE(CONTROL!$C$22, $C$13, 100%, $E$13)</f>
        <v>6.5412999999999997</v>
      </c>
      <c r="H351" s="68">
        <f>10.4627* CHOOSE(CONTROL!$C$22, $C$13, 100%, $E$13)</f>
        <v>10.4627</v>
      </c>
      <c r="I351" s="68">
        <f>10.464 * CHOOSE(CONTROL!$C$22, $C$13, 100%, $E$13)</f>
        <v>10.464</v>
      </c>
      <c r="J351" s="68">
        <f>6.54 * CHOOSE(CONTROL!$C$22, $C$13, 100%, $E$13)</f>
        <v>6.54</v>
      </c>
      <c r="K351" s="68">
        <f>6.5413 * CHOOSE(CONTROL!$C$22, $C$13, 100%, $E$13)</f>
        <v>6.5412999999999997</v>
      </c>
    </row>
    <row r="352" spans="1:11" ht="15">
      <c r="A352" s="13">
        <v>51836</v>
      </c>
      <c r="B352" s="67">
        <f>5.3732 * CHOOSE(CONTROL!$C$22, $C$13, 100%, $E$13)</f>
        <v>5.3731999999999998</v>
      </c>
      <c r="C352" s="67">
        <f>5.3732 * CHOOSE(CONTROL!$C$22, $C$13, 100%, $E$13)</f>
        <v>5.3731999999999998</v>
      </c>
      <c r="D352" s="67">
        <f>5.3741 * CHOOSE(CONTROL!$C$22, $C$13, 100%, $E$13)</f>
        <v>5.3741000000000003</v>
      </c>
      <c r="E352" s="68">
        <f>6.4865 * CHOOSE(CONTROL!$C$22, $C$13, 100%, $E$13)</f>
        <v>6.4865000000000004</v>
      </c>
      <c r="F352" s="68">
        <f>6.4865 * CHOOSE(CONTROL!$C$22, $C$13, 100%, $E$13)</f>
        <v>6.4865000000000004</v>
      </c>
      <c r="G352" s="68">
        <f>6.4878 * CHOOSE(CONTROL!$C$22, $C$13, 100%, $E$13)</f>
        <v>6.4878</v>
      </c>
      <c r="H352" s="68">
        <f>10.4845* CHOOSE(CONTROL!$C$22, $C$13, 100%, $E$13)</f>
        <v>10.484500000000001</v>
      </c>
      <c r="I352" s="68">
        <f>10.4858 * CHOOSE(CONTROL!$C$22, $C$13, 100%, $E$13)</f>
        <v>10.485799999999999</v>
      </c>
      <c r="J352" s="68">
        <f>6.4865 * CHOOSE(CONTROL!$C$22, $C$13, 100%, $E$13)</f>
        <v>6.4865000000000004</v>
      </c>
      <c r="K352" s="68">
        <f>6.4878 * CHOOSE(CONTROL!$C$22, $C$13, 100%, $E$13)</f>
        <v>6.4878</v>
      </c>
    </row>
    <row r="353" spans="1:11" ht="15">
      <c r="A353" s="13">
        <v>51867</v>
      </c>
      <c r="B353" s="67">
        <f>5.4207 * CHOOSE(CONTROL!$C$22, $C$13, 100%, $E$13)</f>
        <v>5.4207000000000001</v>
      </c>
      <c r="C353" s="67">
        <f>5.4207 * CHOOSE(CONTROL!$C$22, $C$13, 100%, $E$13)</f>
        <v>5.4207000000000001</v>
      </c>
      <c r="D353" s="67">
        <f>5.4217 * CHOOSE(CONTROL!$C$22, $C$13, 100%, $E$13)</f>
        <v>5.4217000000000004</v>
      </c>
      <c r="E353" s="68">
        <f>6.5785 * CHOOSE(CONTROL!$C$22, $C$13, 100%, $E$13)</f>
        <v>6.5785</v>
      </c>
      <c r="F353" s="68">
        <f>6.5785 * CHOOSE(CONTROL!$C$22, $C$13, 100%, $E$13)</f>
        <v>6.5785</v>
      </c>
      <c r="G353" s="68">
        <f>6.5798 * CHOOSE(CONTROL!$C$22, $C$13, 100%, $E$13)</f>
        <v>6.5797999999999996</v>
      </c>
      <c r="H353" s="68">
        <f>10.5063* CHOOSE(CONTROL!$C$22, $C$13, 100%, $E$13)</f>
        <v>10.5063</v>
      </c>
      <c r="I353" s="68">
        <f>10.5076 * CHOOSE(CONTROL!$C$22, $C$13, 100%, $E$13)</f>
        <v>10.5076</v>
      </c>
      <c r="J353" s="68">
        <f>6.5785 * CHOOSE(CONTROL!$C$22, $C$13, 100%, $E$13)</f>
        <v>6.5785</v>
      </c>
      <c r="K353" s="68">
        <f>6.5798 * CHOOSE(CONTROL!$C$22, $C$13, 100%, $E$13)</f>
        <v>6.5797999999999996</v>
      </c>
    </row>
    <row r="354" spans="1:11" ht="15">
      <c r="A354" s="13">
        <v>51898</v>
      </c>
      <c r="B354" s="67">
        <f>5.4177 * CHOOSE(CONTROL!$C$22, $C$13, 100%, $E$13)</f>
        <v>5.4177</v>
      </c>
      <c r="C354" s="67">
        <f>5.4177 * CHOOSE(CONTROL!$C$22, $C$13, 100%, $E$13)</f>
        <v>5.4177</v>
      </c>
      <c r="D354" s="67">
        <f>5.4187 * CHOOSE(CONTROL!$C$22, $C$13, 100%, $E$13)</f>
        <v>5.4187000000000003</v>
      </c>
      <c r="E354" s="68">
        <f>6.4724 * CHOOSE(CONTROL!$C$22, $C$13, 100%, $E$13)</f>
        <v>6.4724000000000004</v>
      </c>
      <c r="F354" s="68">
        <f>6.4724 * CHOOSE(CONTROL!$C$22, $C$13, 100%, $E$13)</f>
        <v>6.4724000000000004</v>
      </c>
      <c r="G354" s="68">
        <f>6.4737 * CHOOSE(CONTROL!$C$22, $C$13, 100%, $E$13)</f>
        <v>6.4737</v>
      </c>
      <c r="H354" s="68">
        <f>10.5282* CHOOSE(CONTROL!$C$22, $C$13, 100%, $E$13)</f>
        <v>10.5282</v>
      </c>
      <c r="I354" s="68">
        <f>10.5295 * CHOOSE(CONTROL!$C$22, $C$13, 100%, $E$13)</f>
        <v>10.529500000000001</v>
      </c>
      <c r="J354" s="68">
        <f>6.4724 * CHOOSE(CONTROL!$C$22, $C$13, 100%, $E$13)</f>
        <v>6.4724000000000004</v>
      </c>
      <c r="K354" s="68">
        <f>6.4737 * CHOOSE(CONTROL!$C$22, $C$13, 100%, $E$13)</f>
        <v>6.4737</v>
      </c>
    </row>
    <row r="355" spans="1:11" ht="15">
      <c r="A355" s="13">
        <v>51926</v>
      </c>
      <c r="B355" s="67">
        <f>5.4147 * CHOOSE(CONTROL!$C$22, $C$13, 100%, $E$13)</f>
        <v>5.4146999999999998</v>
      </c>
      <c r="C355" s="67">
        <f>5.4147 * CHOOSE(CONTROL!$C$22, $C$13, 100%, $E$13)</f>
        <v>5.4146999999999998</v>
      </c>
      <c r="D355" s="67">
        <f>5.4156 * CHOOSE(CONTROL!$C$22, $C$13, 100%, $E$13)</f>
        <v>5.4156000000000004</v>
      </c>
      <c r="E355" s="68">
        <f>6.5523 * CHOOSE(CONTROL!$C$22, $C$13, 100%, $E$13)</f>
        <v>6.5522999999999998</v>
      </c>
      <c r="F355" s="68">
        <f>6.5523 * CHOOSE(CONTROL!$C$22, $C$13, 100%, $E$13)</f>
        <v>6.5522999999999998</v>
      </c>
      <c r="G355" s="68">
        <f>6.5535 * CHOOSE(CONTROL!$C$22, $C$13, 100%, $E$13)</f>
        <v>6.5534999999999997</v>
      </c>
      <c r="H355" s="68">
        <f>10.5502* CHOOSE(CONTROL!$C$22, $C$13, 100%, $E$13)</f>
        <v>10.5502</v>
      </c>
      <c r="I355" s="68">
        <f>10.5514 * CHOOSE(CONTROL!$C$22, $C$13, 100%, $E$13)</f>
        <v>10.551399999999999</v>
      </c>
      <c r="J355" s="68">
        <f>6.5523 * CHOOSE(CONTROL!$C$22, $C$13, 100%, $E$13)</f>
        <v>6.5522999999999998</v>
      </c>
      <c r="K355" s="68">
        <f>6.5535 * CHOOSE(CONTROL!$C$22, $C$13, 100%, $E$13)</f>
        <v>6.5534999999999997</v>
      </c>
    </row>
    <row r="356" spans="1:11" ht="15">
      <c r="A356" s="13">
        <v>51957</v>
      </c>
      <c r="B356" s="67">
        <f>5.4135 * CHOOSE(CONTROL!$C$22, $C$13, 100%, $E$13)</f>
        <v>5.4135</v>
      </c>
      <c r="C356" s="67">
        <f>5.4135 * CHOOSE(CONTROL!$C$22, $C$13, 100%, $E$13)</f>
        <v>5.4135</v>
      </c>
      <c r="D356" s="67">
        <f>5.4145 * CHOOSE(CONTROL!$C$22, $C$13, 100%, $E$13)</f>
        <v>5.4145000000000003</v>
      </c>
      <c r="E356" s="68">
        <f>6.6361 * CHOOSE(CONTROL!$C$22, $C$13, 100%, $E$13)</f>
        <v>6.6360999999999999</v>
      </c>
      <c r="F356" s="68">
        <f>6.6361 * CHOOSE(CONTROL!$C$22, $C$13, 100%, $E$13)</f>
        <v>6.6360999999999999</v>
      </c>
      <c r="G356" s="68">
        <f>6.6374 * CHOOSE(CONTROL!$C$22, $C$13, 100%, $E$13)</f>
        <v>6.6374000000000004</v>
      </c>
      <c r="H356" s="68">
        <f>10.5721* CHOOSE(CONTROL!$C$22, $C$13, 100%, $E$13)</f>
        <v>10.572100000000001</v>
      </c>
      <c r="I356" s="68">
        <f>10.5734 * CHOOSE(CONTROL!$C$22, $C$13, 100%, $E$13)</f>
        <v>10.573399999999999</v>
      </c>
      <c r="J356" s="68">
        <f>6.6361 * CHOOSE(CONTROL!$C$22, $C$13, 100%, $E$13)</f>
        <v>6.6360999999999999</v>
      </c>
      <c r="K356" s="68">
        <f>6.6374 * CHOOSE(CONTROL!$C$22, $C$13, 100%, $E$13)</f>
        <v>6.6374000000000004</v>
      </c>
    </row>
    <row r="357" spans="1:11" ht="15">
      <c r="A357" s="13">
        <v>51987</v>
      </c>
      <c r="B357" s="67">
        <f>5.4135 * CHOOSE(CONTROL!$C$22, $C$13, 100%, $E$13)</f>
        <v>5.4135</v>
      </c>
      <c r="C357" s="67">
        <f>5.4135 * CHOOSE(CONTROL!$C$22, $C$13, 100%, $E$13)</f>
        <v>5.4135</v>
      </c>
      <c r="D357" s="67">
        <f>5.4161 * CHOOSE(CONTROL!$C$22, $C$13, 100%, $E$13)</f>
        <v>5.4161000000000001</v>
      </c>
      <c r="E357" s="68">
        <f>6.6691 * CHOOSE(CONTROL!$C$22, $C$13, 100%, $E$13)</f>
        <v>6.6691000000000003</v>
      </c>
      <c r="F357" s="68">
        <f>6.6691 * CHOOSE(CONTROL!$C$22, $C$13, 100%, $E$13)</f>
        <v>6.6691000000000003</v>
      </c>
      <c r="G357" s="68">
        <f>6.6723 * CHOOSE(CONTROL!$C$22, $C$13, 100%, $E$13)</f>
        <v>6.6722999999999999</v>
      </c>
      <c r="H357" s="68">
        <f>10.5942* CHOOSE(CONTROL!$C$22, $C$13, 100%, $E$13)</f>
        <v>10.594200000000001</v>
      </c>
      <c r="I357" s="68">
        <f>10.5974 * CHOOSE(CONTROL!$C$22, $C$13, 100%, $E$13)</f>
        <v>10.5974</v>
      </c>
      <c r="J357" s="68">
        <f>6.6691 * CHOOSE(CONTROL!$C$22, $C$13, 100%, $E$13)</f>
        <v>6.6691000000000003</v>
      </c>
      <c r="K357" s="68">
        <f>6.6723 * CHOOSE(CONTROL!$C$22, $C$13, 100%, $E$13)</f>
        <v>6.6722999999999999</v>
      </c>
    </row>
    <row r="358" spans="1:11" ht="15">
      <c r="A358" s="13">
        <v>52018</v>
      </c>
      <c r="B358" s="67">
        <f>5.4196 * CHOOSE(CONTROL!$C$22, $C$13, 100%, $E$13)</f>
        <v>5.4196</v>
      </c>
      <c r="C358" s="67">
        <f>5.4196 * CHOOSE(CONTROL!$C$22, $C$13, 100%, $E$13)</f>
        <v>5.4196</v>
      </c>
      <c r="D358" s="67">
        <f>5.4222 * CHOOSE(CONTROL!$C$22, $C$13, 100%, $E$13)</f>
        <v>5.4222000000000001</v>
      </c>
      <c r="E358" s="68">
        <f>6.6403 * CHOOSE(CONTROL!$C$22, $C$13, 100%, $E$13)</f>
        <v>6.6402999999999999</v>
      </c>
      <c r="F358" s="68">
        <f>6.6403 * CHOOSE(CONTROL!$C$22, $C$13, 100%, $E$13)</f>
        <v>6.6402999999999999</v>
      </c>
      <c r="G358" s="68">
        <f>6.6436 * CHOOSE(CONTROL!$C$22, $C$13, 100%, $E$13)</f>
        <v>6.6436000000000002</v>
      </c>
      <c r="H358" s="68">
        <f>10.6162* CHOOSE(CONTROL!$C$22, $C$13, 100%, $E$13)</f>
        <v>10.616199999999999</v>
      </c>
      <c r="I358" s="68">
        <f>10.6195 * CHOOSE(CONTROL!$C$22, $C$13, 100%, $E$13)</f>
        <v>10.6195</v>
      </c>
      <c r="J358" s="68">
        <f>6.6403 * CHOOSE(CONTROL!$C$22, $C$13, 100%, $E$13)</f>
        <v>6.6402999999999999</v>
      </c>
      <c r="K358" s="68">
        <f>6.6436 * CHOOSE(CONTROL!$C$22, $C$13, 100%, $E$13)</f>
        <v>6.6436000000000002</v>
      </c>
    </row>
    <row r="359" spans="1:11" ht="15">
      <c r="A359" s="13">
        <v>52048</v>
      </c>
      <c r="B359" s="67">
        <f>5.5082 * CHOOSE(CONTROL!$C$22, $C$13, 100%, $E$13)</f>
        <v>5.5082000000000004</v>
      </c>
      <c r="C359" s="67">
        <f>5.5082 * CHOOSE(CONTROL!$C$22, $C$13, 100%, $E$13)</f>
        <v>5.5082000000000004</v>
      </c>
      <c r="D359" s="67">
        <f>5.5108 * CHOOSE(CONTROL!$C$22, $C$13, 100%, $E$13)</f>
        <v>5.5107999999999997</v>
      </c>
      <c r="E359" s="68">
        <f>6.7527 * CHOOSE(CONTROL!$C$22, $C$13, 100%, $E$13)</f>
        <v>6.7526999999999999</v>
      </c>
      <c r="F359" s="68">
        <f>6.7527 * CHOOSE(CONTROL!$C$22, $C$13, 100%, $E$13)</f>
        <v>6.7526999999999999</v>
      </c>
      <c r="G359" s="68">
        <f>6.756 * CHOOSE(CONTROL!$C$22, $C$13, 100%, $E$13)</f>
        <v>6.7560000000000002</v>
      </c>
      <c r="H359" s="68">
        <f>10.6384* CHOOSE(CONTROL!$C$22, $C$13, 100%, $E$13)</f>
        <v>10.638400000000001</v>
      </c>
      <c r="I359" s="68">
        <f>10.6416 * CHOOSE(CONTROL!$C$22, $C$13, 100%, $E$13)</f>
        <v>10.6416</v>
      </c>
      <c r="J359" s="68">
        <f>6.7527 * CHOOSE(CONTROL!$C$22, $C$13, 100%, $E$13)</f>
        <v>6.7526999999999999</v>
      </c>
      <c r="K359" s="68">
        <f>6.756 * CHOOSE(CONTROL!$C$22, $C$13, 100%, $E$13)</f>
        <v>6.7560000000000002</v>
      </c>
    </row>
    <row r="360" spans="1:11" ht="15">
      <c r="A360" s="13">
        <v>52079</v>
      </c>
      <c r="B360" s="67">
        <f>5.5149 * CHOOSE(CONTROL!$C$22, $C$13, 100%, $E$13)</f>
        <v>5.5148999999999999</v>
      </c>
      <c r="C360" s="67">
        <f>5.5149 * CHOOSE(CONTROL!$C$22, $C$13, 100%, $E$13)</f>
        <v>5.5148999999999999</v>
      </c>
      <c r="D360" s="67">
        <f>5.5175 * CHOOSE(CONTROL!$C$22, $C$13, 100%, $E$13)</f>
        <v>5.5175000000000001</v>
      </c>
      <c r="E360" s="68">
        <f>6.6583 * CHOOSE(CONTROL!$C$22, $C$13, 100%, $E$13)</f>
        <v>6.6582999999999997</v>
      </c>
      <c r="F360" s="68">
        <f>6.6583 * CHOOSE(CONTROL!$C$22, $C$13, 100%, $E$13)</f>
        <v>6.6582999999999997</v>
      </c>
      <c r="G360" s="68">
        <f>6.6616 * CHOOSE(CONTROL!$C$22, $C$13, 100%, $E$13)</f>
        <v>6.6616</v>
      </c>
      <c r="H360" s="68">
        <f>10.6605* CHOOSE(CONTROL!$C$22, $C$13, 100%, $E$13)</f>
        <v>10.660500000000001</v>
      </c>
      <c r="I360" s="68">
        <f>10.6638 * CHOOSE(CONTROL!$C$22, $C$13, 100%, $E$13)</f>
        <v>10.6638</v>
      </c>
      <c r="J360" s="68">
        <f>6.6583 * CHOOSE(CONTROL!$C$22, $C$13, 100%, $E$13)</f>
        <v>6.6582999999999997</v>
      </c>
      <c r="K360" s="68">
        <f>6.6616 * CHOOSE(CONTROL!$C$22, $C$13, 100%, $E$13)</f>
        <v>6.6616</v>
      </c>
    </row>
    <row r="361" spans="1:11" ht="15">
      <c r="A361" s="13">
        <v>52110</v>
      </c>
      <c r="B361" s="67">
        <f>5.5119 * CHOOSE(CONTROL!$C$22, $C$13, 100%, $E$13)</f>
        <v>5.5118999999999998</v>
      </c>
      <c r="C361" s="67">
        <f>5.5119 * CHOOSE(CONTROL!$C$22, $C$13, 100%, $E$13)</f>
        <v>5.5118999999999998</v>
      </c>
      <c r="D361" s="67">
        <f>5.5145 * CHOOSE(CONTROL!$C$22, $C$13, 100%, $E$13)</f>
        <v>5.5145</v>
      </c>
      <c r="E361" s="68">
        <f>6.6452 * CHOOSE(CONTROL!$C$22, $C$13, 100%, $E$13)</f>
        <v>6.6452</v>
      </c>
      <c r="F361" s="68">
        <f>6.6452 * CHOOSE(CONTROL!$C$22, $C$13, 100%, $E$13)</f>
        <v>6.6452</v>
      </c>
      <c r="G361" s="68">
        <f>6.6485 * CHOOSE(CONTROL!$C$22, $C$13, 100%, $E$13)</f>
        <v>6.6485000000000003</v>
      </c>
      <c r="H361" s="68">
        <f>10.6827* CHOOSE(CONTROL!$C$22, $C$13, 100%, $E$13)</f>
        <v>10.682700000000001</v>
      </c>
      <c r="I361" s="68">
        <f>10.686 * CHOOSE(CONTROL!$C$22, $C$13, 100%, $E$13)</f>
        <v>10.686</v>
      </c>
      <c r="J361" s="68">
        <f>6.6452 * CHOOSE(CONTROL!$C$22, $C$13, 100%, $E$13)</f>
        <v>6.6452</v>
      </c>
      <c r="K361" s="68">
        <f>6.6485 * CHOOSE(CONTROL!$C$22, $C$13, 100%, $E$13)</f>
        <v>6.6485000000000003</v>
      </c>
    </row>
    <row r="362" spans="1:11" ht="15">
      <c r="A362" s="13">
        <v>52140</v>
      </c>
      <c r="B362" s="67">
        <f>5.5119 * CHOOSE(CONTROL!$C$22, $C$13, 100%, $E$13)</f>
        <v>5.5118999999999998</v>
      </c>
      <c r="C362" s="67">
        <f>5.5119 * CHOOSE(CONTROL!$C$22, $C$13, 100%, $E$13)</f>
        <v>5.5118999999999998</v>
      </c>
      <c r="D362" s="67">
        <f>5.5129 * CHOOSE(CONTROL!$C$22, $C$13, 100%, $E$13)</f>
        <v>5.5129000000000001</v>
      </c>
      <c r="E362" s="68">
        <f>6.6758 * CHOOSE(CONTROL!$C$22, $C$13, 100%, $E$13)</f>
        <v>6.6757999999999997</v>
      </c>
      <c r="F362" s="68">
        <f>6.6758 * CHOOSE(CONTROL!$C$22, $C$13, 100%, $E$13)</f>
        <v>6.6757999999999997</v>
      </c>
      <c r="G362" s="68">
        <f>6.6771 * CHOOSE(CONTROL!$C$22, $C$13, 100%, $E$13)</f>
        <v>6.6771000000000003</v>
      </c>
      <c r="H362" s="68">
        <f>10.705* CHOOSE(CONTROL!$C$22, $C$13, 100%, $E$13)</f>
        <v>10.705</v>
      </c>
      <c r="I362" s="68">
        <f>10.7063 * CHOOSE(CONTROL!$C$22, $C$13, 100%, $E$13)</f>
        <v>10.706300000000001</v>
      </c>
      <c r="J362" s="68">
        <f>6.6758 * CHOOSE(CONTROL!$C$22, $C$13, 100%, $E$13)</f>
        <v>6.6757999999999997</v>
      </c>
      <c r="K362" s="68">
        <f>6.6771 * CHOOSE(CONTROL!$C$22, $C$13, 100%, $E$13)</f>
        <v>6.6771000000000003</v>
      </c>
    </row>
    <row r="363" spans="1:11" ht="15">
      <c r="A363" s="13">
        <v>52171</v>
      </c>
      <c r="B363" s="67">
        <f>5.515 * CHOOSE(CONTROL!$C$22, $C$13, 100%, $E$13)</f>
        <v>5.5149999999999997</v>
      </c>
      <c r="C363" s="67">
        <f>5.515 * CHOOSE(CONTROL!$C$22, $C$13, 100%, $E$13)</f>
        <v>5.5149999999999997</v>
      </c>
      <c r="D363" s="67">
        <f>5.516 * CHOOSE(CONTROL!$C$22, $C$13, 100%, $E$13)</f>
        <v>5.516</v>
      </c>
      <c r="E363" s="68">
        <f>6.6999 * CHOOSE(CONTROL!$C$22, $C$13, 100%, $E$13)</f>
        <v>6.6999000000000004</v>
      </c>
      <c r="F363" s="68">
        <f>6.6999 * CHOOSE(CONTROL!$C$22, $C$13, 100%, $E$13)</f>
        <v>6.6999000000000004</v>
      </c>
      <c r="G363" s="68">
        <f>6.7012 * CHOOSE(CONTROL!$C$22, $C$13, 100%, $E$13)</f>
        <v>6.7012</v>
      </c>
      <c r="H363" s="68">
        <f>10.7273* CHOOSE(CONTROL!$C$22, $C$13, 100%, $E$13)</f>
        <v>10.7273</v>
      </c>
      <c r="I363" s="68">
        <f>10.7286 * CHOOSE(CONTROL!$C$22, $C$13, 100%, $E$13)</f>
        <v>10.7286</v>
      </c>
      <c r="J363" s="68">
        <f>6.6999 * CHOOSE(CONTROL!$C$22, $C$13, 100%, $E$13)</f>
        <v>6.6999000000000004</v>
      </c>
      <c r="K363" s="68">
        <f>6.7012 * CHOOSE(CONTROL!$C$22, $C$13, 100%, $E$13)</f>
        <v>6.7012</v>
      </c>
    </row>
    <row r="364" spans="1:11" ht="15">
      <c r="A364" s="13">
        <v>52201</v>
      </c>
      <c r="B364" s="67">
        <f>5.515 * CHOOSE(CONTROL!$C$22, $C$13, 100%, $E$13)</f>
        <v>5.5149999999999997</v>
      </c>
      <c r="C364" s="67">
        <f>5.515 * CHOOSE(CONTROL!$C$22, $C$13, 100%, $E$13)</f>
        <v>5.5149999999999997</v>
      </c>
      <c r="D364" s="67">
        <f>5.516 * CHOOSE(CONTROL!$C$22, $C$13, 100%, $E$13)</f>
        <v>5.516</v>
      </c>
      <c r="E364" s="68">
        <f>6.6449 * CHOOSE(CONTROL!$C$22, $C$13, 100%, $E$13)</f>
        <v>6.6448999999999998</v>
      </c>
      <c r="F364" s="68">
        <f>6.6449 * CHOOSE(CONTROL!$C$22, $C$13, 100%, $E$13)</f>
        <v>6.6448999999999998</v>
      </c>
      <c r="G364" s="68">
        <f>6.6462 * CHOOSE(CONTROL!$C$22, $C$13, 100%, $E$13)</f>
        <v>6.6462000000000003</v>
      </c>
      <c r="H364" s="68">
        <f>10.7496* CHOOSE(CONTROL!$C$22, $C$13, 100%, $E$13)</f>
        <v>10.749599999999999</v>
      </c>
      <c r="I364" s="68">
        <f>10.7509 * CHOOSE(CONTROL!$C$22, $C$13, 100%, $E$13)</f>
        <v>10.7509</v>
      </c>
      <c r="J364" s="68">
        <f>6.6449 * CHOOSE(CONTROL!$C$22, $C$13, 100%, $E$13)</f>
        <v>6.6448999999999998</v>
      </c>
      <c r="K364" s="68">
        <f>6.6462 * CHOOSE(CONTROL!$C$22, $C$13, 100%, $E$13)</f>
        <v>6.6462000000000003</v>
      </c>
    </row>
    <row r="365" spans="1:11" ht="15">
      <c r="A365" s="13">
        <v>52232</v>
      </c>
      <c r="B365" s="67">
        <f>5.5637 * CHOOSE(CONTROL!$C$22, $C$13, 100%, $E$13)</f>
        <v>5.5636999999999999</v>
      </c>
      <c r="C365" s="67">
        <f>5.5637 * CHOOSE(CONTROL!$C$22, $C$13, 100%, $E$13)</f>
        <v>5.5636999999999999</v>
      </c>
      <c r="D365" s="67">
        <f>5.5646 * CHOOSE(CONTROL!$C$22, $C$13, 100%, $E$13)</f>
        <v>5.5646000000000004</v>
      </c>
      <c r="E365" s="68">
        <f>6.7392 * CHOOSE(CONTROL!$C$22, $C$13, 100%, $E$13)</f>
        <v>6.7392000000000003</v>
      </c>
      <c r="F365" s="68">
        <f>6.7392 * CHOOSE(CONTROL!$C$22, $C$13, 100%, $E$13)</f>
        <v>6.7392000000000003</v>
      </c>
      <c r="G365" s="68">
        <f>6.7405 * CHOOSE(CONTROL!$C$22, $C$13, 100%, $E$13)</f>
        <v>6.7404999999999999</v>
      </c>
      <c r="H365" s="68">
        <f>10.772* CHOOSE(CONTROL!$C$22, $C$13, 100%, $E$13)</f>
        <v>10.772</v>
      </c>
      <c r="I365" s="68">
        <f>10.7733 * CHOOSE(CONTROL!$C$22, $C$13, 100%, $E$13)</f>
        <v>10.773300000000001</v>
      </c>
      <c r="J365" s="68">
        <f>6.7392 * CHOOSE(CONTROL!$C$22, $C$13, 100%, $E$13)</f>
        <v>6.7392000000000003</v>
      </c>
      <c r="K365" s="68">
        <f>6.7405 * CHOOSE(CONTROL!$C$22, $C$13, 100%, $E$13)</f>
        <v>6.7404999999999999</v>
      </c>
    </row>
    <row r="366" spans="1:11" ht="15">
      <c r="A366" s="13">
        <v>52263</v>
      </c>
      <c r="B366" s="67">
        <f>5.5606 * CHOOSE(CONTROL!$C$22, $C$13, 100%, $E$13)</f>
        <v>5.5606</v>
      </c>
      <c r="C366" s="67">
        <f>5.5606 * CHOOSE(CONTROL!$C$22, $C$13, 100%, $E$13)</f>
        <v>5.5606</v>
      </c>
      <c r="D366" s="67">
        <f>5.5616 * CHOOSE(CONTROL!$C$22, $C$13, 100%, $E$13)</f>
        <v>5.5616000000000003</v>
      </c>
      <c r="E366" s="68">
        <f>6.6302 * CHOOSE(CONTROL!$C$22, $C$13, 100%, $E$13)</f>
        <v>6.6302000000000003</v>
      </c>
      <c r="F366" s="68">
        <f>6.6302 * CHOOSE(CONTROL!$C$22, $C$13, 100%, $E$13)</f>
        <v>6.6302000000000003</v>
      </c>
      <c r="G366" s="68">
        <f>6.6315 * CHOOSE(CONTROL!$C$22, $C$13, 100%, $E$13)</f>
        <v>6.6315</v>
      </c>
      <c r="H366" s="68">
        <f>10.7945* CHOOSE(CONTROL!$C$22, $C$13, 100%, $E$13)</f>
        <v>10.794499999999999</v>
      </c>
      <c r="I366" s="68">
        <f>10.7958 * CHOOSE(CONTROL!$C$22, $C$13, 100%, $E$13)</f>
        <v>10.7958</v>
      </c>
      <c r="J366" s="68">
        <f>6.6302 * CHOOSE(CONTROL!$C$22, $C$13, 100%, $E$13)</f>
        <v>6.6302000000000003</v>
      </c>
      <c r="K366" s="68">
        <f>6.6315 * CHOOSE(CONTROL!$C$22, $C$13, 100%, $E$13)</f>
        <v>6.6315</v>
      </c>
    </row>
    <row r="367" spans="1:11" ht="15">
      <c r="A367" s="13">
        <v>52291</v>
      </c>
      <c r="B367" s="67">
        <f>5.5576 * CHOOSE(CONTROL!$C$22, $C$13, 100%, $E$13)</f>
        <v>5.5575999999999999</v>
      </c>
      <c r="C367" s="67">
        <f>5.5576 * CHOOSE(CONTROL!$C$22, $C$13, 100%, $E$13)</f>
        <v>5.5575999999999999</v>
      </c>
      <c r="D367" s="67">
        <f>5.5586 * CHOOSE(CONTROL!$C$22, $C$13, 100%, $E$13)</f>
        <v>5.5586000000000002</v>
      </c>
      <c r="E367" s="68">
        <f>6.7123 * CHOOSE(CONTROL!$C$22, $C$13, 100%, $E$13)</f>
        <v>6.7122999999999999</v>
      </c>
      <c r="F367" s="68">
        <f>6.7123 * CHOOSE(CONTROL!$C$22, $C$13, 100%, $E$13)</f>
        <v>6.7122999999999999</v>
      </c>
      <c r="G367" s="68">
        <f>6.7136 * CHOOSE(CONTROL!$C$22, $C$13, 100%, $E$13)</f>
        <v>6.7135999999999996</v>
      </c>
      <c r="H367" s="68">
        <f>10.817* CHOOSE(CONTROL!$C$22, $C$13, 100%, $E$13)</f>
        <v>10.817</v>
      </c>
      <c r="I367" s="68">
        <f>10.8182 * CHOOSE(CONTROL!$C$22, $C$13, 100%, $E$13)</f>
        <v>10.818199999999999</v>
      </c>
      <c r="J367" s="68">
        <f>6.7123 * CHOOSE(CONTROL!$C$22, $C$13, 100%, $E$13)</f>
        <v>6.7122999999999999</v>
      </c>
      <c r="K367" s="68">
        <f>6.7136 * CHOOSE(CONTROL!$C$22, $C$13, 100%, $E$13)</f>
        <v>6.7135999999999996</v>
      </c>
    </row>
    <row r="368" spans="1:11" ht="15">
      <c r="A368" s="13">
        <v>52322</v>
      </c>
      <c r="B368" s="67">
        <f>5.5566 * CHOOSE(CONTROL!$C$22, $C$13, 100%, $E$13)</f>
        <v>5.5566000000000004</v>
      </c>
      <c r="C368" s="67">
        <f>5.5566 * CHOOSE(CONTROL!$C$22, $C$13, 100%, $E$13)</f>
        <v>5.5566000000000004</v>
      </c>
      <c r="D368" s="67">
        <f>5.5576 * CHOOSE(CONTROL!$C$22, $C$13, 100%, $E$13)</f>
        <v>5.5575999999999999</v>
      </c>
      <c r="E368" s="68">
        <f>6.7986 * CHOOSE(CONTROL!$C$22, $C$13, 100%, $E$13)</f>
        <v>6.7986000000000004</v>
      </c>
      <c r="F368" s="68">
        <f>6.7986 * CHOOSE(CONTROL!$C$22, $C$13, 100%, $E$13)</f>
        <v>6.7986000000000004</v>
      </c>
      <c r="G368" s="68">
        <f>6.7999 * CHOOSE(CONTROL!$C$22, $C$13, 100%, $E$13)</f>
        <v>6.7999000000000001</v>
      </c>
      <c r="H368" s="68">
        <f>10.8395* CHOOSE(CONTROL!$C$22, $C$13, 100%, $E$13)</f>
        <v>10.839499999999999</v>
      </c>
      <c r="I368" s="68">
        <f>10.8408 * CHOOSE(CONTROL!$C$22, $C$13, 100%, $E$13)</f>
        <v>10.8408</v>
      </c>
      <c r="J368" s="68">
        <f>6.7986 * CHOOSE(CONTROL!$C$22, $C$13, 100%, $E$13)</f>
        <v>6.7986000000000004</v>
      </c>
      <c r="K368" s="68">
        <f>6.7999 * CHOOSE(CONTROL!$C$22, $C$13, 100%, $E$13)</f>
        <v>6.7999000000000001</v>
      </c>
    </row>
    <row r="369" spans="1:11" ht="15">
      <c r="A369" s="13">
        <v>52352</v>
      </c>
      <c r="B369" s="67">
        <f>5.5566 * CHOOSE(CONTROL!$C$22, $C$13, 100%, $E$13)</f>
        <v>5.5566000000000004</v>
      </c>
      <c r="C369" s="67">
        <f>5.5566 * CHOOSE(CONTROL!$C$22, $C$13, 100%, $E$13)</f>
        <v>5.5566000000000004</v>
      </c>
      <c r="D369" s="67">
        <f>5.5592 * CHOOSE(CONTROL!$C$22, $C$13, 100%, $E$13)</f>
        <v>5.5591999999999997</v>
      </c>
      <c r="E369" s="68">
        <f>6.8326 * CHOOSE(CONTROL!$C$22, $C$13, 100%, $E$13)</f>
        <v>6.8326000000000002</v>
      </c>
      <c r="F369" s="68">
        <f>6.8326 * CHOOSE(CONTROL!$C$22, $C$13, 100%, $E$13)</f>
        <v>6.8326000000000002</v>
      </c>
      <c r="G369" s="68">
        <f>6.8358 * CHOOSE(CONTROL!$C$22, $C$13, 100%, $E$13)</f>
        <v>6.8357999999999999</v>
      </c>
      <c r="H369" s="68">
        <f>10.8621* CHOOSE(CONTROL!$C$22, $C$13, 100%, $E$13)</f>
        <v>10.8621</v>
      </c>
      <c r="I369" s="68">
        <f>10.8653 * CHOOSE(CONTROL!$C$22, $C$13, 100%, $E$13)</f>
        <v>10.8653</v>
      </c>
      <c r="J369" s="68">
        <f>6.8326 * CHOOSE(CONTROL!$C$22, $C$13, 100%, $E$13)</f>
        <v>6.8326000000000002</v>
      </c>
      <c r="K369" s="68">
        <f>6.8358 * CHOOSE(CONTROL!$C$22, $C$13, 100%, $E$13)</f>
        <v>6.8357999999999999</v>
      </c>
    </row>
    <row r="370" spans="1:11" ht="15">
      <c r="A370" s="13">
        <v>52383</v>
      </c>
      <c r="B370" s="67">
        <f>5.5627 * CHOOSE(CONTROL!$C$22, $C$13, 100%, $E$13)</f>
        <v>5.5627000000000004</v>
      </c>
      <c r="C370" s="67">
        <f>5.5627 * CHOOSE(CONTROL!$C$22, $C$13, 100%, $E$13)</f>
        <v>5.5627000000000004</v>
      </c>
      <c r="D370" s="67">
        <f>5.5653 * CHOOSE(CONTROL!$C$22, $C$13, 100%, $E$13)</f>
        <v>5.5652999999999997</v>
      </c>
      <c r="E370" s="68">
        <f>6.8029 * CHOOSE(CONTROL!$C$22, $C$13, 100%, $E$13)</f>
        <v>6.8029000000000002</v>
      </c>
      <c r="F370" s="68">
        <f>6.8029 * CHOOSE(CONTROL!$C$22, $C$13, 100%, $E$13)</f>
        <v>6.8029000000000002</v>
      </c>
      <c r="G370" s="68">
        <f>6.8061 * CHOOSE(CONTROL!$C$22, $C$13, 100%, $E$13)</f>
        <v>6.8060999999999998</v>
      </c>
      <c r="H370" s="68">
        <f>10.8847* CHOOSE(CONTROL!$C$22, $C$13, 100%, $E$13)</f>
        <v>10.8847</v>
      </c>
      <c r="I370" s="68">
        <f>10.888 * CHOOSE(CONTROL!$C$22, $C$13, 100%, $E$13)</f>
        <v>10.888</v>
      </c>
      <c r="J370" s="68">
        <f>6.8029 * CHOOSE(CONTROL!$C$22, $C$13, 100%, $E$13)</f>
        <v>6.8029000000000002</v>
      </c>
      <c r="K370" s="68">
        <f>6.8061 * CHOOSE(CONTROL!$C$22, $C$13, 100%, $E$13)</f>
        <v>6.8060999999999998</v>
      </c>
    </row>
    <row r="371" spans="1:11" ht="15">
      <c r="A371" s="13">
        <v>52413</v>
      </c>
      <c r="B371" s="67">
        <f>5.6532 * CHOOSE(CONTROL!$C$22, $C$13, 100%, $E$13)</f>
        <v>5.6532</v>
      </c>
      <c r="C371" s="67">
        <f>5.6532 * CHOOSE(CONTROL!$C$22, $C$13, 100%, $E$13)</f>
        <v>5.6532</v>
      </c>
      <c r="D371" s="67">
        <f>5.6558 * CHOOSE(CONTROL!$C$22, $C$13, 100%, $E$13)</f>
        <v>5.6558000000000002</v>
      </c>
      <c r="E371" s="68">
        <f>6.9177 * CHOOSE(CONTROL!$C$22, $C$13, 100%, $E$13)</f>
        <v>6.9177</v>
      </c>
      <c r="F371" s="68">
        <f>6.9177 * CHOOSE(CONTROL!$C$22, $C$13, 100%, $E$13)</f>
        <v>6.9177</v>
      </c>
      <c r="G371" s="68">
        <f>6.9209 * CHOOSE(CONTROL!$C$22, $C$13, 100%, $E$13)</f>
        <v>6.9208999999999996</v>
      </c>
      <c r="H371" s="68">
        <f>10.9074* CHOOSE(CONTROL!$C$22, $C$13, 100%, $E$13)</f>
        <v>10.907400000000001</v>
      </c>
      <c r="I371" s="68">
        <f>10.9106 * CHOOSE(CONTROL!$C$22, $C$13, 100%, $E$13)</f>
        <v>10.910600000000001</v>
      </c>
      <c r="J371" s="68">
        <f>6.9177 * CHOOSE(CONTROL!$C$22, $C$13, 100%, $E$13)</f>
        <v>6.9177</v>
      </c>
      <c r="K371" s="68">
        <f>6.9209 * CHOOSE(CONTROL!$C$22, $C$13, 100%, $E$13)</f>
        <v>6.9208999999999996</v>
      </c>
    </row>
    <row r="372" spans="1:11" ht="15">
      <c r="A372" s="13">
        <v>52444</v>
      </c>
      <c r="B372" s="67">
        <f>5.6599 * CHOOSE(CONTROL!$C$22, $C$13, 100%, $E$13)</f>
        <v>5.6599000000000004</v>
      </c>
      <c r="C372" s="67">
        <f>5.6599 * CHOOSE(CONTROL!$C$22, $C$13, 100%, $E$13)</f>
        <v>5.6599000000000004</v>
      </c>
      <c r="D372" s="67">
        <f>5.6625 * CHOOSE(CONTROL!$C$22, $C$13, 100%, $E$13)</f>
        <v>5.6624999999999996</v>
      </c>
      <c r="E372" s="68">
        <f>6.8205 * CHOOSE(CONTROL!$C$22, $C$13, 100%, $E$13)</f>
        <v>6.8205</v>
      </c>
      <c r="F372" s="68">
        <f>6.8205 * CHOOSE(CONTROL!$C$22, $C$13, 100%, $E$13)</f>
        <v>6.8205</v>
      </c>
      <c r="G372" s="68">
        <f>6.8237 * CHOOSE(CONTROL!$C$22, $C$13, 100%, $E$13)</f>
        <v>6.8236999999999997</v>
      </c>
      <c r="H372" s="68">
        <f>10.9301* CHOOSE(CONTROL!$C$22, $C$13, 100%, $E$13)</f>
        <v>10.930099999999999</v>
      </c>
      <c r="I372" s="68">
        <f>10.9334 * CHOOSE(CONTROL!$C$22, $C$13, 100%, $E$13)</f>
        <v>10.933400000000001</v>
      </c>
      <c r="J372" s="68">
        <f>6.8205 * CHOOSE(CONTROL!$C$22, $C$13, 100%, $E$13)</f>
        <v>6.8205</v>
      </c>
      <c r="K372" s="68">
        <f>6.8237 * CHOOSE(CONTROL!$C$22, $C$13, 100%, $E$13)</f>
        <v>6.8236999999999997</v>
      </c>
    </row>
    <row r="373" spans="1:11" ht="15">
      <c r="A373" s="13">
        <v>52475</v>
      </c>
      <c r="B373" s="67">
        <f>5.6569 * CHOOSE(CONTROL!$C$22, $C$13, 100%, $E$13)</f>
        <v>5.6569000000000003</v>
      </c>
      <c r="C373" s="67">
        <f>5.6569 * CHOOSE(CONTROL!$C$22, $C$13, 100%, $E$13)</f>
        <v>5.6569000000000003</v>
      </c>
      <c r="D373" s="67">
        <f>5.6595 * CHOOSE(CONTROL!$C$22, $C$13, 100%, $E$13)</f>
        <v>5.6595000000000004</v>
      </c>
      <c r="E373" s="68">
        <f>6.8071 * CHOOSE(CONTROL!$C$22, $C$13, 100%, $E$13)</f>
        <v>6.8071000000000002</v>
      </c>
      <c r="F373" s="68">
        <f>6.8071 * CHOOSE(CONTROL!$C$22, $C$13, 100%, $E$13)</f>
        <v>6.8071000000000002</v>
      </c>
      <c r="G373" s="68">
        <f>6.8103 * CHOOSE(CONTROL!$C$22, $C$13, 100%, $E$13)</f>
        <v>6.8102999999999998</v>
      </c>
      <c r="H373" s="68">
        <f>10.9529* CHOOSE(CONTROL!$C$22, $C$13, 100%, $E$13)</f>
        <v>10.9529</v>
      </c>
      <c r="I373" s="68">
        <f>10.9561 * CHOOSE(CONTROL!$C$22, $C$13, 100%, $E$13)</f>
        <v>10.956099999999999</v>
      </c>
      <c r="J373" s="68">
        <f>6.8071 * CHOOSE(CONTROL!$C$22, $C$13, 100%, $E$13)</f>
        <v>6.8071000000000002</v>
      </c>
      <c r="K373" s="68">
        <f>6.8103 * CHOOSE(CONTROL!$C$22, $C$13, 100%, $E$13)</f>
        <v>6.8102999999999998</v>
      </c>
    </row>
    <row r="374" spans="1:11" ht="15">
      <c r="A374" s="13">
        <v>52505</v>
      </c>
      <c r="B374" s="67">
        <f>5.6574 * CHOOSE(CONTROL!$C$22, $C$13, 100%, $E$13)</f>
        <v>5.6574</v>
      </c>
      <c r="C374" s="67">
        <f>5.6574 * CHOOSE(CONTROL!$C$22, $C$13, 100%, $E$13)</f>
        <v>5.6574</v>
      </c>
      <c r="D374" s="67">
        <f>5.6584 * CHOOSE(CONTROL!$C$22, $C$13, 100%, $E$13)</f>
        <v>5.6584000000000003</v>
      </c>
      <c r="E374" s="68">
        <f>6.8389 * CHOOSE(CONTROL!$C$22, $C$13, 100%, $E$13)</f>
        <v>6.8388999999999998</v>
      </c>
      <c r="F374" s="68">
        <f>6.8389 * CHOOSE(CONTROL!$C$22, $C$13, 100%, $E$13)</f>
        <v>6.8388999999999998</v>
      </c>
      <c r="G374" s="68">
        <f>6.8402 * CHOOSE(CONTROL!$C$22, $C$13, 100%, $E$13)</f>
        <v>6.8402000000000003</v>
      </c>
      <c r="H374" s="68">
        <f>10.9757* CHOOSE(CONTROL!$C$22, $C$13, 100%, $E$13)</f>
        <v>10.9757</v>
      </c>
      <c r="I374" s="68">
        <f>10.977 * CHOOSE(CONTROL!$C$22, $C$13, 100%, $E$13)</f>
        <v>10.977</v>
      </c>
      <c r="J374" s="68">
        <f>6.8389 * CHOOSE(CONTROL!$C$22, $C$13, 100%, $E$13)</f>
        <v>6.8388999999999998</v>
      </c>
      <c r="K374" s="68">
        <f>6.8402 * CHOOSE(CONTROL!$C$22, $C$13, 100%, $E$13)</f>
        <v>6.8402000000000003</v>
      </c>
    </row>
    <row r="375" spans="1:11" ht="15">
      <c r="A375" s="13">
        <v>52536</v>
      </c>
      <c r="B375" s="67">
        <f>5.6605 * CHOOSE(CONTROL!$C$22, $C$13, 100%, $E$13)</f>
        <v>5.6604999999999999</v>
      </c>
      <c r="C375" s="67">
        <f>5.6605 * CHOOSE(CONTROL!$C$22, $C$13, 100%, $E$13)</f>
        <v>5.6604999999999999</v>
      </c>
      <c r="D375" s="67">
        <f>5.6614 * CHOOSE(CONTROL!$C$22, $C$13, 100%, $E$13)</f>
        <v>5.6614000000000004</v>
      </c>
      <c r="E375" s="68">
        <f>6.8636 * CHOOSE(CONTROL!$C$22, $C$13, 100%, $E$13)</f>
        <v>6.8635999999999999</v>
      </c>
      <c r="F375" s="68">
        <f>6.8636 * CHOOSE(CONTROL!$C$22, $C$13, 100%, $E$13)</f>
        <v>6.8635999999999999</v>
      </c>
      <c r="G375" s="68">
        <f>6.8649 * CHOOSE(CONTROL!$C$22, $C$13, 100%, $E$13)</f>
        <v>6.8648999999999996</v>
      </c>
      <c r="H375" s="68">
        <f>10.9986* CHOOSE(CONTROL!$C$22, $C$13, 100%, $E$13)</f>
        <v>10.9986</v>
      </c>
      <c r="I375" s="68">
        <f>10.9998 * CHOOSE(CONTROL!$C$22, $C$13, 100%, $E$13)</f>
        <v>10.9998</v>
      </c>
      <c r="J375" s="68">
        <f>6.8636 * CHOOSE(CONTROL!$C$22, $C$13, 100%, $E$13)</f>
        <v>6.8635999999999999</v>
      </c>
      <c r="K375" s="68">
        <f>6.8649 * CHOOSE(CONTROL!$C$22, $C$13, 100%, $E$13)</f>
        <v>6.8648999999999996</v>
      </c>
    </row>
    <row r="376" spans="1:11" ht="15">
      <c r="A376" s="13">
        <v>52566</v>
      </c>
      <c r="B376" s="67">
        <f>5.6605 * CHOOSE(CONTROL!$C$22, $C$13, 100%, $E$13)</f>
        <v>5.6604999999999999</v>
      </c>
      <c r="C376" s="67">
        <f>5.6605 * CHOOSE(CONTROL!$C$22, $C$13, 100%, $E$13)</f>
        <v>5.6604999999999999</v>
      </c>
      <c r="D376" s="67">
        <f>5.6614 * CHOOSE(CONTROL!$C$22, $C$13, 100%, $E$13)</f>
        <v>5.6614000000000004</v>
      </c>
      <c r="E376" s="68">
        <f>6.8071 * CHOOSE(CONTROL!$C$22, $C$13, 100%, $E$13)</f>
        <v>6.8071000000000002</v>
      </c>
      <c r="F376" s="68">
        <f>6.8071 * CHOOSE(CONTROL!$C$22, $C$13, 100%, $E$13)</f>
        <v>6.8071000000000002</v>
      </c>
      <c r="G376" s="68">
        <f>6.8084 * CHOOSE(CONTROL!$C$22, $C$13, 100%, $E$13)</f>
        <v>6.8083999999999998</v>
      </c>
      <c r="H376" s="68">
        <f>11.0215* CHOOSE(CONTROL!$C$22, $C$13, 100%, $E$13)</f>
        <v>11.0215</v>
      </c>
      <c r="I376" s="68">
        <f>11.0228 * CHOOSE(CONTROL!$C$22, $C$13, 100%, $E$13)</f>
        <v>11.0228</v>
      </c>
      <c r="J376" s="68">
        <f>6.8071 * CHOOSE(CONTROL!$C$22, $C$13, 100%, $E$13)</f>
        <v>6.8071000000000002</v>
      </c>
      <c r="K376" s="68">
        <f>6.8084 * CHOOSE(CONTROL!$C$22, $C$13, 100%, $E$13)</f>
        <v>6.8083999999999998</v>
      </c>
    </row>
    <row r="377" spans="1:11" ht="15">
      <c r="A377" s="13">
        <v>52597</v>
      </c>
      <c r="B377" s="67">
        <f>5.7103 * CHOOSE(CONTROL!$C$22, $C$13, 100%, $E$13)</f>
        <v>5.7103000000000002</v>
      </c>
      <c r="C377" s="67">
        <f>5.7103 * CHOOSE(CONTROL!$C$22, $C$13, 100%, $E$13)</f>
        <v>5.7103000000000002</v>
      </c>
      <c r="D377" s="67">
        <f>5.7113 * CHOOSE(CONTROL!$C$22, $C$13, 100%, $E$13)</f>
        <v>5.7112999999999996</v>
      </c>
      <c r="E377" s="68">
        <f>6.9038 * CHOOSE(CONTROL!$C$22, $C$13, 100%, $E$13)</f>
        <v>6.9038000000000004</v>
      </c>
      <c r="F377" s="68">
        <f>6.9038 * CHOOSE(CONTROL!$C$22, $C$13, 100%, $E$13)</f>
        <v>6.9038000000000004</v>
      </c>
      <c r="G377" s="68">
        <f>6.9051 * CHOOSE(CONTROL!$C$22, $C$13, 100%, $E$13)</f>
        <v>6.9051</v>
      </c>
      <c r="H377" s="68">
        <f>11.0444* CHOOSE(CONTROL!$C$22, $C$13, 100%, $E$13)</f>
        <v>11.0444</v>
      </c>
      <c r="I377" s="68">
        <f>11.0457 * CHOOSE(CONTROL!$C$22, $C$13, 100%, $E$13)</f>
        <v>11.0457</v>
      </c>
      <c r="J377" s="68">
        <f>6.9038 * CHOOSE(CONTROL!$C$22, $C$13, 100%, $E$13)</f>
        <v>6.9038000000000004</v>
      </c>
      <c r="K377" s="68">
        <f>6.9051 * CHOOSE(CONTROL!$C$22, $C$13, 100%, $E$13)</f>
        <v>6.9051</v>
      </c>
    </row>
    <row r="378" spans="1:11" ht="15">
      <c r="A378" s="13">
        <v>52628</v>
      </c>
      <c r="B378" s="67">
        <f>5.7073 * CHOOSE(CONTROL!$C$22, $C$13, 100%, $E$13)</f>
        <v>5.7073</v>
      </c>
      <c r="C378" s="67">
        <f>5.7073 * CHOOSE(CONTROL!$C$22, $C$13, 100%, $E$13)</f>
        <v>5.7073</v>
      </c>
      <c r="D378" s="67">
        <f>5.7083 * CHOOSE(CONTROL!$C$22, $C$13, 100%, $E$13)</f>
        <v>5.7083000000000004</v>
      </c>
      <c r="E378" s="68">
        <f>6.7917 * CHOOSE(CONTROL!$C$22, $C$13, 100%, $E$13)</f>
        <v>6.7916999999999996</v>
      </c>
      <c r="F378" s="68">
        <f>6.7917 * CHOOSE(CONTROL!$C$22, $C$13, 100%, $E$13)</f>
        <v>6.7916999999999996</v>
      </c>
      <c r="G378" s="68">
        <f>6.793 * CHOOSE(CONTROL!$C$22, $C$13, 100%, $E$13)</f>
        <v>6.7930000000000001</v>
      </c>
      <c r="H378" s="68">
        <f>11.0674* CHOOSE(CONTROL!$C$22, $C$13, 100%, $E$13)</f>
        <v>11.067399999999999</v>
      </c>
      <c r="I378" s="68">
        <f>11.0687 * CHOOSE(CONTROL!$C$22, $C$13, 100%, $E$13)</f>
        <v>11.0687</v>
      </c>
      <c r="J378" s="68">
        <f>6.7917 * CHOOSE(CONTROL!$C$22, $C$13, 100%, $E$13)</f>
        <v>6.7916999999999996</v>
      </c>
      <c r="K378" s="68">
        <f>6.793 * CHOOSE(CONTROL!$C$22, $C$13, 100%, $E$13)</f>
        <v>6.7930000000000001</v>
      </c>
    </row>
    <row r="379" spans="1:11" ht="15">
      <c r="A379" s="13">
        <v>52657</v>
      </c>
      <c r="B379" s="67">
        <f>5.7042 * CHOOSE(CONTROL!$C$22, $C$13, 100%, $E$13)</f>
        <v>5.7042000000000002</v>
      </c>
      <c r="C379" s="67">
        <f>5.7042 * CHOOSE(CONTROL!$C$22, $C$13, 100%, $E$13)</f>
        <v>5.7042000000000002</v>
      </c>
      <c r="D379" s="67">
        <f>5.7052 * CHOOSE(CONTROL!$C$22, $C$13, 100%, $E$13)</f>
        <v>5.7051999999999996</v>
      </c>
      <c r="E379" s="68">
        <f>6.8763 * CHOOSE(CONTROL!$C$22, $C$13, 100%, $E$13)</f>
        <v>6.8762999999999996</v>
      </c>
      <c r="F379" s="68">
        <f>6.8763 * CHOOSE(CONTROL!$C$22, $C$13, 100%, $E$13)</f>
        <v>6.8762999999999996</v>
      </c>
      <c r="G379" s="68">
        <f>6.8776 * CHOOSE(CONTROL!$C$22, $C$13, 100%, $E$13)</f>
        <v>6.8776000000000002</v>
      </c>
      <c r="H379" s="68">
        <f>11.0905* CHOOSE(CONTROL!$C$22, $C$13, 100%, $E$13)</f>
        <v>11.0905</v>
      </c>
      <c r="I379" s="68">
        <f>11.0918 * CHOOSE(CONTROL!$C$22, $C$13, 100%, $E$13)</f>
        <v>11.091799999999999</v>
      </c>
      <c r="J379" s="68">
        <f>6.8763 * CHOOSE(CONTROL!$C$22, $C$13, 100%, $E$13)</f>
        <v>6.8762999999999996</v>
      </c>
      <c r="K379" s="68">
        <f>6.8776 * CHOOSE(CONTROL!$C$22, $C$13, 100%, $E$13)</f>
        <v>6.8776000000000002</v>
      </c>
    </row>
    <row r="380" spans="1:11" ht="15">
      <c r="A380" s="13">
        <v>52688</v>
      </c>
      <c r="B380" s="67">
        <f>5.7034 * CHOOSE(CONTROL!$C$22, $C$13, 100%, $E$13)</f>
        <v>5.7034000000000002</v>
      </c>
      <c r="C380" s="67">
        <f>5.7034 * CHOOSE(CONTROL!$C$22, $C$13, 100%, $E$13)</f>
        <v>5.7034000000000002</v>
      </c>
      <c r="D380" s="67">
        <f>5.7043 * CHOOSE(CONTROL!$C$22, $C$13, 100%, $E$13)</f>
        <v>5.7042999999999999</v>
      </c>
      <c r="E380" s="68">
        <f>6.9651 * CHOOSE(CONTROL!$C$22, $C$13, 100%, $E$13)</f>
        <v>6.9650999999999996</v>
      </c>
      <c r="F380" s="68">
        <f>6.9651 * CHOOSE(CONTROL!$C$22, $C$13, 100%, $E$13)</f>
        <v>6.9650999999999996</v>
      </c>
      <c r="G380" s="68">
        <f>6.9664 * CHOOSE(CONTROL!$C$22, $C$13, 100%, $E$13)</f>
        <v>6.9664000000000001</v>
      </c>
      <c r="H380" s="68">
        <f>11.1136* CHOOSE(CONTROL!$C$22, $C$13, 100%, $E$13)</f>
        <v>11.1136</v>
      </c>
      <c r="I380" s="68">
        <f>11.1149 * CHOOSE(CONTROL!$C$22, $C$13, 100%, $E$13)</f>
        <v>11.1149</v>
      </c>
      <c r="J380" s="68">
        <f>6.9651 * CHOOSE(CONTROL!$C$22, $C$13, 100%, $E$13)</f>
        <v>6.9650999999999996</v>
      </c>
      <c r="K380" s="68">
        <f>6.9664 * CHOOSE(CONTROL!$C$22, $C$13, 100%, $E$13)</f>
        <v>6.9664000000000001</v>
      </c>
    </row>
    <row r="381" spans="1:11" ht="15">
      <c r="A381" s="13">
        <v>52718</v>
      </c>
      <c r="B381" s="67">
        <f>5.7034 * CHOOSE(CONTROL!$C$22, $C$13, 100%, $E$13)</f>
        <v>5.7034000000000002</v>
      </c>
      <c r="C381" s="67">
        <f>5.7034 * CHOOSE(CONTROL!$C$22, $C$13, 100%, $E$13)</f>
        <v>5.7034000000000002</v>
      </c>
      <c r="D381" s="67">
        <f>5.706 * CHOOSE(CONTROL!$C$22, $C$13, 100%, $E$13)</f>
        <v>5.7060000000000004</v>
      </c>
      <c r="E381" s="68">
        <f>7 * CHOOSE(CONTROL!$C$22, $C$13, 100%, $E$13)</f>
        <v>7</v>
      </c>
      <c r="F381" s="68">
        <f>7 * CHOOSE(CONTROL!$C$22, $C$13, 100%, $E$13)</f>
        <v>7</v>
      </c>
      <c r="G381" s="68">
        <f>7.0033 * CHOOSE(CONTROL!$C$22, $C$13, 100%, $E$13)</f>
        <v>7.0033000000000003</v>
      </c>
      <c r="H381" s="68">
        <f>11.1368* CHOOSE(CONTROL!$C$22, $C$13, 100%, $E$13)</f>
        <v>11.136799999999999</v>
      </c>
      <c r="I381" s="68">
        <f>11.14 * CHOOSE(CONTROL!$C$22, $C$13, 100%, $E$13)</f>
        <v>11.14</v>
      </c>
      <c r="J381" s="68">
        <f>7 * CHOOSE(CONTROL!$C$22, $C$13, 100%, $E$13)</f>
        <v>7</v>
      </c>
      <c r="K381" s="68">
        <f>7.0033 * CHOOSE(CONTROL!$C$22, $C$13, 100%, $E$13)</f>
        <v>7.0033000000000003</v>
      </c>
    </row>
    <row r="382" spans="1:11" ht="15">
      <c r="A382" s="13">
        <v>52749</v>
      </c>
      <c r="B382" s="67">
        <f>5.7094 * CHOOSE(CONTROL!$C$22, $C$13, 100%, $E$13)</f>
        <v>5.7093999999999996</v>
      </c>
      <c r="C382" s="67">
        <f>5.7094 * CHOOSE(CONTROL!$C$22, $C$13, 100%, $E$13)</f>
        <v>5.7093999999999996</v>
      </c>
      <c r="D382" s="67">
        <f>5.7121 * CHOOSE(CONTROL!$C$22, $C$13, 100%, $E$13)</f>
        <v>5.7121000000000004</v>
      </c>
      <c r="E382" s="68">
        <f>6.9693 * CHOOSE(CONTROL!$C$22, $C$13, 100%, $E$13)</f>
        <v>6.9692999999999996</v>
      </c>
      <c r="F382" s="68">
        <f>6.9693 * CHOOSE(CONTROL!$C$22, $C$13, 100%, $E$13)</f>
        <v>6.9692999999999996</v>
      </c>
      <c r="G382" s="68">
        <f>6.9726 * CHOOSE(CONTROL!$C$22, $C$13, 100%, $E$13)</f>
        <v>6.9725999999999999</v>
      </c>
      <c r="H382" s="68">
        <f>11.16* CHOOSE(CONTROL!$C$22, $C$13, 100%, $E$13)</f>
        <v>11.16</v>
      </c>
      <c r="I382" s="68">
        <f>11.1632 * CHOOSE(CONTROL!$C$22, $C$13, 100%, $E$13)</f>
        <v>11.1632</v>
      </c>
      <c r="J382" s="68">
        <f>6.9693 * CHOOSE(CONTROL!$C$22, $C$13, 100%, $E$13)</f>
        <v>6.9692999999999996</v>
      </c>
      <c r="K382" s="68">
        <f>6.9726 * CHOOSE(CONTROL!$C$22, $C$13, 100%, $E$13)</f>
        <v>6.9725999999999999</v>
      </c>
    </row>
    <row r="383" spans="1:11" ht="15">
      <c r="A383" s="13">
        <v>52779</v>
      </c>
      <c r="B383" s="67">
        <f>5.8021 * CHOOSE(CONTROL!$C$22, $C$13, 100%, $E$13)</f>
        <v>5.8021000000000003</v>
      </c>
      <c r="C383" s="67">
        <f>5.8021 * CHOOSE(CONTROL!$C$22, $C$13, 100%, $E$13)</f>
        <v>5.8021000000000003</v>
      </c>
      <c r="D383" s="67">
        <f>5.8048 * CHOOSE(CONTROL!$C$22, $C$13, 100%, $E$13)</f>
        <v>5.8048000000000002</v>
      </c>
      <c r="E383" s="68">
        <f>7.0867 * CHOOSE(CONTROL!$C$22, $C$13, 100%, $E$13)</f>
        <v>7.0867000000000004</v>
      </c>
      <c r="F383" s="68">
        <f>7.0867 * CHOOSE(CONTROL!$C$22, $C$13, 100%, $E$13)</f>
        <v>7.0867000000000004</v>
      </c>
      <c r="G383" s="68">
        <f>7.09 * CHOOSE(CONTROL!$C$22, $C$13, 100%, $E$13)</f>
        <v>7.09</v>
      </c>
      <c r="H383" s="68">
        <f>11.1832* CHOOSE(CONTROL!$C$22, $C$13, 100%, $E$13)</f>
        <v>11.183199999999999</v>
      </c>
      <c r="I383" s="68">
        <f>11.1865 * CHOOSE(CONTROL!$C$22, $C$13, 100%, $E$13)</f>
        <v>11.186500000000001</v>
      </c>
      <c r="J383" s="68">
        <f>7.0867 * CHOOSE(CONTROL!$C$22, $C$13, 100%, $E$13)</f>
        <v>7.0867000000000004</v>
      </c>
      <c r="K383" s="68">
        <f>7.09 * CHOOSE(CONTROL!$C$22, $C$13, 100%, $E$13)</f>
        <v>7.09</v>
      </c>
    </row>
    <row r="384" spans="1:11" ht="15">
      <c r="A384" s="13">
        <v>52810</v>
      </c>
      <c r="B384" s="67">
        <f>5.8088 * CHOOSE(CONTROL!$C$22, $C$13, 100%, $E$13)</f>
        <v>5.8087999999999997</v>
      </c>
      <c r="C384" s="67">
        <f>5.8088 * CHOOSE(CONTROL!$C$22, $C$13, 100%, $E$13)</f>
        <v>5.8087999999999997</v>
      </c>
      <c r="D384" s="67">
        <f>5.8114 * CHOOSE(CONTROL!$C$22, $C$13, 100%, $E$13)</f>
        <v>5.8113999999999999</v>
      </c>
      <c r="E384" s="68">
        <f>6.9867 * CHOOSE(CONTROL!$C$22, $C$13, 100%, $E$13)</f>
        <v>6.9866999999999999</v>
      </c>
      <c r="F384" s="68">
        <f>6.9867 * CHOOSE(CONTROL!$C$22, $C$13, 100%, $E$13)</f>
        <v>6.9866999999999999</v>
      </c>
      <c r="G384" s="68">
        <f>6.9899 * CHOOSE(CONTROL!$C$22, $C$13, 100%, $E$13)</f>
        <v>6.9898999999999996</v>
      </c>
      <c r="H384" s="68">
        <f>11.2065* CHOOSE(CONTROL!$C$22, $C$13, 100%, $E$13)</f>
        <v>11.2065</v>
      </c>
      <c r="I384" s="68">
        <f>11.2098 * CHOOSE(CONTROL!$C$22, $C$13, 100%, $E$13)</f>
        <v>11.2098</v>
      </c>
      <c r="J384" s="68">
        <f>6.9867 * CHOOSE(CONTROL!$C$22, $C$13, 100%, $E$13)</f>
        <v>6.9866999999999999</v>
      </c>
      <c r="K384" s="68">
        <f>6.9899 * CHOOSE(CONTROL!$C$22, $C$13, 100%, $E$13)</f>
        <v>6.9898999999999996</v>
      </c>
    </row>
    <row r="385" spans="1:11" ht="15">
      <c r="A385" s="13">
        <v>52841</v>
      </c>
      <c r="B385" s="67">
        <f>5.8058 * CHOOSE(CONTROL!$C$22, $C$13, 100%, $E$13)</f>
        <v>5.8057999999999996</v>
      </c>
      <c r="C385" s="67">
        <f>5.8058 * CHOOSE(CONTROL!$C$22, $C$13, 100%, $E$13)</f>
        <v>5.8057999999999996</v>
      </c>
      <c r="D385" s="67">
        <f>5.8084 * CHOOSE(CONTROL!$C$22, $C$13, 100%, $E$13)</f>
        <v>5.8083999999999998</v>
      </c>
      <c r="E385" s="68">
        <f>6.9729 * CHOOSE(CONTROL!$C$22, $C$13, 100%, $E$13)</f>
        <v>6.9729000000000001</v>
      </c>
      <c r="F385" s="68">
        <f>6.9729 * CHOOSE(CONTROL!$C$22, $C$13, 100%, $E$13)</f>
        <v>6.9729000000000001</v>
      </c>
      <c r="G385" s="68">
        <f>6.9762 * CHOOSE(CONTROL!$C$22, $C$13, 100%, $E$13)</f>
        <v>6.9762000000000004</v>
      </c>
      <c r="H385" s="68">
        <f>11.2299* CHOOSE(CONTROL!$C$22, $C$13, 100%, $E$13)</f>
        <v>11.229900000000001</v>
      </c>
      <c r="I385" s="68">
        <f>11.2331 * CHOOSE(CONTROL!$C$22, $C$13, 100%, $E$13)</f>
        <v>11.2331</v>
      </c>
      <c r="J385" s="68">
        <f>6.9729 * CHOOSE(CONTROL!$C$22, $C$13, 100%, $E$13)</f>
        <v>6.9729000000000001</v>
      </c>
      <c r="K385" s="68">
        <f>6.9762 * CHOOSE(CONTROL!$C$22, $C$13, 100%, $E$13)</f>
        <v>6.9762000000000004</v>
      </c>
    </row>
    <row r="386" spans="1:11" ht="15">
      <c r="A386" s="13">
        <v>52871</v>
      </c>
      <c r="B386" s="67">
        <f>5.8068 * CHOOSE(CONTROL!$C$22, $C$13, 100%, $E$13)</f>
        <v>5.8068</v>
      </c>
      <c r="C386" s="67">
        <f>5.8068 * CHOOSE(CONTROL!$C$22, $C$13, 100%, $E$13)</f>
        <v>5.8068</v>
      </c>
      <c r="D386" s="67">
        <f>5.8078 * CHOOSE(CONTROL!$C$22, $C$13, 100%, $E$13)</f>
        <v>5.8078000000000003</v>
      </c>
      <c r="E386" s="68">
        <f>7.0061 * CHOOSE(CONTROL!$C$22, $C$13, 100%, $E$13)</f>
        <v>7.0061</v>
      </c>
      <c r="F386" s="68">
        <f>7.0061 * CHOOSE(CONTROL!$C$22, $C$13, 100%, $E$13)</f>
        <v>7.0061</v>
      </c>
      <c r="G386" s="68">
        <f>7.0073 * CHOOSE(CONTROL!$C$22, $C$13, 100%, $E$13)</f>
        <v>7.0072999999999999</v>
      </c>
      <c r="H386" s="68">
        <f>11.2533* CHOOSE(CONTROL!$C$22, $C$13, 100%, $E$13)</f>
        <v>11.253299999999999</v>
      </c>
      <c r="I386" s="68">
        <f>11.2545 * CHOOSE(CONTROL!$C$22, $C$13, 100%, $E$13)</f>
        <v>11.2545</v>
      </c>
      <c r="J386" s="68">
        <f>7.0061 * CHOOSE(CONTROL!$C$22, $C$13, 100%, $E$13)</f>
        <v>7.0061</v>
      </c>
      <c r="K386" s="68">
        <f>7.0073 * CHOOSE(CONTROL!$C$22, $C$13, 100%, $E$13)</f>
        <v>7.0072999999999999</v>
      </c>
    </row>
    <row r="387" spans="1:11" ht="15">
      <c r="A387" s="13">
        <v>52902</v>
      </c>
      <c r="B387" s="67">
        <f>5.8099 * CHOOSE(CONTROL!$C$22, $C$13, 100%, $E$13)</f>
        <v>5.8098999999999998</v>
      </c>
      <c r="C387" s="67">
        <f>5.8099 * CHOOSE(CONTROL!$C$22, $C$13, 100%, $E$13)</f>
        <v>5.8098999999999998</v>
      </c>
      <c r="D387" s="67">
        <f>5.8109 * CHOOSE(CONTROL!$C$22, $C$13, 100%, $E$13)</f>
        <v>5.8109000000000002</v>
      </c>
      <c r="E387" s="68">
        <f>7.0314 * CHOOSE(CONTROL!$C$22, $C$13, 100%, $E$13)</f>
        <v>7.0313999999999997</v>
      </c>
      <c r="F387" s="68">
        <f>7.0314 * CHOOSE(CONTROL!$C$22, $C$13, 100%, $E$13)</f>
        <v>7.0313999999999997</v>
      </c>
      <c r="G387" s="68">
        <f>7.0327 * CHOOSE(CONTROL!$C$22, $C$13, 100%, $E$13)</f>
        <v>7.0327000000000002</v>
      </c>
      <c r="H387" s="68">
        <f>11.2767* CHOOSE(CONTROL!$C$22, $C$13, 100%, $E$13)</f>
        <v>11.2767</v>
      </c>
      <c r="I387" s="68">
        <f>11.278 * CHOOSE(CONTROL!$C$22, $C$13, 100%, $E$13)</f>
        <v>11.278</v>
      </c>
      <c r="J387" s="68">
        <f>7.0314 * CHOOSE(CONTROL!$C$22, $C$13, 100%, $E$13)</f>
        <v>7.0313999999999997</v>
      </c>
      <c r="K387" s="68">
        <f>7.0327 * CHOOSE(CONTROL!$C$22, $C$13, 100%, $E$13)</f>
        <v>7.0327000000000002</v>
      </c>
    </row>
    <row r="388" spans="1:11" ht="15">
      <c r="A388" s="13">
        <v>52932</v>
      </c>
      <c r="B388" s="67">
        <f>5.8099 * CHOOSE(CONTROL!$C$22, $C$13, 100%, $E$13)</f>
        <v>5.8098999999999998</v>
      </c>
      <c r="C388" s="67">
        <f>5.8099 * CHOOSE(CONTROL!$C$22, $C$13, 100%, $E$13)</f>
        <v>5.8098999999999998</v>
      </c>
      <c r="D388" s="67">
        <f>5.8109 * CHOOSE(CONTROL!$C$22, $C$13, 100%, $E$13)</f>
        <v>5.8109000000000002</v>
      </c>
      <c r="E388" s="68">
        <f>6.9733 * CHOOSE(CONTROL!$C$22, $C$13, 100%, $E$13)</f>
        <v>6.9733000000000001</v>
      </c>
      <c r="F388" s="68">
        <f>6.9733 * CHOOSE(CONTROL!$C$22, $C$13, 100%, $E$13)</f>
        <v>6.9733000000000001</v>
      </c>
      <c r="G388" s="68">
        <f>6.9746 * CHOOSE(CONTROL!$C$22, $C$13, 100%, $E$13)</f>
        <v>6.9745999999999997</v>
      </c>
      <c r="H388" s="68">
        <f>11.3002* CHOOSE(CONTROL!$C$22, $C$13, 100%, $E$13)</f>
        <v>11.3002</v>
      </c>
      <c r="I388" s="68">
        <f>11.3015 * CHOOSE(CONTROL!$C$22, $C$13, 100%, $E$13)</f>
        <v>11.301500000000001</v>
      </c>
      <c r="J388" s="68">
        <f>6.9733 * CHOOSE(CONTROL!$C$22, $C$13, 100%, $E$13)</f>
        <v>6.9733000000000001</v>
      </c>
      <c r="K388" s="68">
        <f>6.9746 * CHOOSE(CONTROL!$C$22, $C$13, 100%, $E$13)</f>
        <v>6.9745999999999997</v>
      </c>
    </row>
    <row r="389" spans="1:11" ht="15">
      <c r="A389" s="13">
        <v>52963</v>
      </c>
      <c r="B389" s="67">
        <f>5.8609 * CHOOSE(CONTROL!$C$22, $C$13, 100%, $E$13)</f>
        <v>5.8609</v>
      </c>
      <c r="C389" s="67">
        <f>5.8609 * CHOOSE(CONTROL!$C$22, $C$13, 100%, $E$13)</f>
        <v>5.8609</v>
      </c>
      <c r="D389" s="67">
        <f>5.8619 * CHOOSE(CONTROL!$C$22, $C$13, 100%, $E$13)</f>
        <v>5.8619000000000003</v>
      </c>
      <c r="E389" s="68">
        <f>7.0724 * CHOOSE(CONTROL!$C$22, $C$13, 100%, $E$13)</f>
        <v>7.0724</v>
      </c>
      <c r="F389" s="68">
        <f>7.0724 * CHOOSE(CONTROL!$C$22, $C$13, 100%, $E$13)</f>
        <v>7.0724</v>
      </c>
      <c r="G389" s="68">
        <f>7.0737 * CHOOSE(CONTROL!$C$22, $C$13, 100%, $E$13)</f>
        <v>7.0736999999999997</v>
      </c>
      <c r="H389" s="68">
        <f>11.3237* CHOOSE(CONTROL!$C$22, $C$13, 100%, $E$13)</f>
        <v>11.323700000000001</v>
      </c>
      <c r="I389" s="68">
        <f>11.325 * CHOOSE(CONTROL!$C$22, $C$13, 100%, $E$13)</f>
        <v>11.324999999999999</v>
      </c>
      <c r="J389" s="68">
        <f>7.0724 * CHOOSE(CONTROL!$C$22, $C$13, 100%, $E$13)</f>
        <v>7.0724</v>
      </c>
      <c r="K389" s="68">
        <f>7.0737 * CHOOSE(CONTROL!$C$22, $C$13, 100%, $E$13)</f>
        <v>7.0736999999999997</v>
      </c>
    </row>
    <row r="390" spans="1:11" ht="15">
      <c r="A390" s="13">
        <v>52994</v>
      </c>
      <c r="B390" s="67">
        <f>5.8579 * CHOOSE(CONTROL!$C$22, $C$13, 100%, $E$13)</f>
        <v>5.8578999999999999</v>
      </c>
      <c r="C390" s="67">
        <f>5.8579 * CHOOSE(CONTROL!$C$22, $C$13, 100%, $E$13)</f>
        <v>5.8578999999999999</v>
      </c>
      <c r="D390" s="67">
        <f>5.8589 * CHOOSE(CONTROL!$C$22, $C$13, 100%, $E$13)</f>
        <v>5.8589000000000002</v>
      </c>
      <c r="E390" s="68">
        <f>6.9573 * CHOOSE(CONTROL!$C$22, $C$13, 100%, $E$13)</f>
        <v>6.9573</v>
      </c>
      <c r="F390" s="68">
        <f>6.9573 * CHOOSE(CONTROL!$C$22, $C$13, 100%, $E$13)</f>
        <v>6.9573</v>
      </c>
      <c r="G390" s="68">
        <f>6.9586 * CHOOSE(CONTROL!$C$22, $C$13, 100%, $E$13)</f>
        <v>6.9585999999999997</v>
      </c>
      <c r="H390" s="68">
        <f>11.3473* CHOOSE(CONTROL!$C$22, $C$13, 100%, $E$13)</f>
        <v>11.347300000000001</v>
      </c>
      <c r="I390" s="68">
        <f>11.3486 * CHOOSE(CONTROL!$C$22, $C$13, 100%, $E$13)</f>
        <v>11.348599999999999</v>
      </c>
      <c r="J390" s="68">
        <f>6.9573 * CHOOSE(CONTROL!$C$22, $C$13, 100%, $E$13)</f>
        <v>6.9573</v>
      </c>
      <c r="K390" s="68">
        <f>6.9586 * CHOOSE(CONTROL!$C$22, $C$13, 100%, $E$13)</f>
        <v>6.9585999999999997</v>
      </c>
    </row>
    <row r="391" spans="1:11" ht="15">
      <c r="A391" s="13">
        <v>53022</v>
      </c>
      <c r="B391" s="67">
        <f>5.8548 * CHOOSE(CONTROL!$C$22, $C$13, 100%, $E$13)</f>
        <v>5.8548</v>
      </c>
      <c r="C391" s="67">
        <f>5.8548 * CHOOSE(CONTROL!$C$22, $C$13, 100%, $E$13)</f>
        <v>5.8548</v>
      </c>
      <c r="D391" s="67">
        <f>5.8558 * CHOOSE(CONTROL!$C$22, $C$13, 100%, $E$13)</f>
        <v>5.8558000000000003</v>
      </c>
      <c r="E391" s="68">
        <f>7.0443 * CHOOSE(CONTROL!$C$22, $C$13, 100%, $E$13)</f>
        <v>7.0442999999999998</v>
      </c>
      <c r="F391" s="68">
        <f>7.0443 * CHOOSE(CONTROL!$C$22, $C$13, 100%, $E$13)</f>
        <v>7.0442999999999998</v>
      </c>
      <c r="G391" s="68">
        <f>7.0455 * CHOOSE(CONTROL!$C$22, $C$13, 100%, $E$13)</f>
        <v>7.0454999999999997</v>
      </c>
      <c r="H391" s="68">
        <f>11.371* CHOOSE(CONTROL!$C$22, $C$13, 100%, $E$13)</f>
        <v>11.371</v>
      </c>
      <c r="I391" s="68">
        <f>11.3723 * CHOOSE(CONTROL!$C$22, $C$13, 100%, $E$13)</f>
        <v>11.372299999999999</v>
      </c>
      <c r="J391" s="68">
        <f>7.0443 * CHOOSE(CONTROL!$C$22, $C$13, 100%, $E$13)</f>
        <v>7.0442999999999998</v>
      </c>
      <c r="K391" s="68">
        <f>7.0455 * CHOOSE(CONTROL!$C$22, $C$13, 100%, $E$13)</f>
        <v>7.0454999999999997</v>
      </c>
    </row>
    <row r="392" spans="1:11" ht="15">
      <c r="A392" s="13">
        <v>53053</v>
      </c>
      <c r="B392" s="67">
        <f>5.8541 * CHOOSE(CONTROL!$C$22, $C$13, 100%, $E$13)</f>
        <v>5.8540999999999999</v>
      </c>
      <c r="C392" s="67">
        <f>5.8541 * CHOOSE(CONTROL!$C$22, $C$13, 100%, $E$13)</f>
        <v>5.8540999999999999</v>
      </c>
      <c r="D392" s="67">
        <f>5.8551 * CHOOSE(CONTROL!$C$22, $C$13, 100%, $E$13)</f>
        <v>5.8551000000000002</v>
      </c>
      <c r="E392" s="68">
        <f>7.1357 * CHOOSE(CONTROL!$C$22, $C$13, 100%, $E$13)</f>
        <v>7.1356999999999999</v>
      </c>
      <c r="F392" s="68">
        <f>7.1357 * CHOOSE(CONTROL!$C$22, $C$13, 100%, $E$13)</f>
        <v>7.1356999999999999</v>
      </c>
      <c r="G392" s="68">
        <f>7.137 * CHOOSE(CONTROL!$C$22, $C$13, 100%, $E$13)</f>
        <v>7.1369999999999996</v>
      </c>
      <c r="H392" s="68">
        <f>11.3947* CHOOSE(CONTROL!$C$22, $C$13, 100%, $E$13)</f>
        <v>11.3947</v>
      </c>
      <c r="I392" s="68">
        <f>11.3959 * CHOOSE(CONTROL!$C$22, $C$13, 100%, $E$13)</f>
        <v>11.395899999999999</v>
      </c>
      <c r="J392" s="68">
        <f>7.1357 * CHOOSE(CONTROL!$C$22, $C$13, 100%, $E$13)</f>
        <v>7.1356999999999999</v>
      </c>
      <c r="K392" s="68">
        <f>7.137 * CHOOSE(CONTROL!$C$22, $C$13, 100%, $E$13)</f>
        <v>7.1369999999999996</v>
      </c>
    </row>
    <row r="393" spans="1:11" ht="15">
      <c r="A393" s="13">
        <v>53083</v>
      </c>
      <c r="B393" s="67">
        <f>5.8541 * CHOOSE(CONTROL!$C$22, $C$13, 100%, $E$13)</f>
        <v>5.8540999999999999</v>
      </c>
      <c r="C393" s="67">
        <f>5.8541 * CHOOSE(CONTROL!$C$22, $C$13, 100%, $E$13)</f>
        <v>5.8540999999999999</v>
      </c>
      <c r="D393" s="67">
        <f>5.8567 * CHOOSE(CONTROL!$C$22, $C$13, 100%, $E$13)</f>
        <v>5.8567</v>
      </c>
      <c r="E393" s="68">
        <f>7.1716 * CHOOSE(CONTROL!$C$22, $C$13, 100%, $E$13)</f>
        <v>7.1715999999999998</v>
      </c>
      <c r="F393" s="68">
        <f>7.1716 * CHOOSE(CONTROL!$C$22, $C$13, 100%, $E$13)</f>
        <v>7.1715999999999998</v>
      </c>
      <c r="G393" s="68">
        <f>7.1748 * CHOOSE(CONTROL!$C$22, $C$13, 100%, $E$13)</f>
        <v>7.1748000000000003</v>
      </c>
      <c r="H393" s="68">
        <f>11.4184* CHOOSE(CONTROL!$C$22, $C$13, 100%, $E$13)</f>
        <v>11.4184</v>
      </c>
      <c r="I393" s="68">
        <f>11.4216 * CHOOSE(CONTROL!$C$22, $C$13, 100%, $E$13)</f>
        <v>11.4216</v>
      </c>
      <c r="J393" s="68">
        <f>7.1716 * CHOOSE(CONTROL!$C$22, $C$13, 100%, $E$13)</f>
        <v>7.1715999999999998</v>
      </c>
      <c r="K393" s="68">
        <f>7.1748 * CHOOSE(CONTROL!$C$22, $C$13, 100%, $E$13)</f>
        <v>7.1748000000000003</v>
      </c>
    </row>
    <row r="394" spans="1:11" ht="15">
      <c r="A394" s="13">
        <v>53114</v>
      </c>
      <c r="B394" s="67">
        <f>5.8602 * CHOOSE(CONTROL!$C$22, $C$13, 100%, $E$13)</f>
        <v>5.8601999999999999</v>
      </c>
      <c r="C394" s="67">
        <f>5.8602 * CHOOSE(CONTROL!$C$22, $C$13, 100%, $E$13)</f>
        <v>5.8601999999999999</v>
      </c>
      <c r="D394" s="67">
        <f>5.8628 * CHOOSE(CONTROL!$C$22, $C$13, 100%, $E$13)</f>
        <v>5.8628</v>
      </c>
      <c r="E394" s="68">
        <f>7.1399 * CHOOSE(CONTROL!$C$22, $C$13, 100%, $E$13)</f>
        <v>7.1398999999999999</v>
      </c>
      <c r="F394" s="68">
        <f>7.1399 * CHOOSE(CONTROL!$C$22, $C$13, 100%, $E$13)</f>
        <v>7.1398999999999999</v>
      </c>
      <c r="G394" s="68">
        <f>7.1432 * CHOOSE(CONTROL!$C$22, $C$13, 100%, $E$13)</f>
        <v>7.1432000000000002</v>
      </c>
      <c r="H394" s="68">
        <f>11.4422* CHOOSE(CONTROL!$C$22, $C$13, 100%, $E$13)</f>
        <v>11.4422</v>
      </c>
      <c r="I394" s="68">
        <f>11.4454 * CHOOSE(CONTROL!$C$22, $C$13, 100%, $E$13)</f>
        <v>11.445399999999999</v>
      </c>
      <c r="J394" s="68">
        <f>7.1399 * CHOOSE(CONTROL!$C$22, $C$13, 100%, $E$13)</f>
        <v>7.1398999999999999</v>
      </c>
      <c r="K394" s="68">
        <f>7.1432 * CHOOSE(CONTROL!$C$22, $C$13, 100%, $E$13)</f>
        <v>7.1432000000000002</v>
      </c>
    </row>
    <row r="395" spans="1:11" ht="15">
      <c r="A395" s="13">
        <v>53144</v>
      </c>
      <c r="B395" s="67">
        <f>5.955 * CHOOSE(CONTROL!$C$22, $C$13, 100%, $E$13)</f>
        <v>5.9550000000000001</v>
      </c>
      <c r="C395" s="67">
        <f>5.955 * CHOOSE(CONTROL!$C$22, $C$13, 100%, $E$13)</f>
        <v>5.9550000000000001</v>
      </c>
      <c r="D395" s="67">
        <f>5.9576 * CHOOSE(CONTROL!$C$22, $C$13, 100%, $E$13)</f>
        <v>5.9576000000000002</v>
      </c>
      <c r="E395" s="68">
        <f>7.2599 * CHOOSE(CONTROL!$C$22, $C$13, 100%, $E$13)</f>
        <v>7.2599</v>
      </c>
      <c r="F395" s="68">
        <f>7.2599 * CHOOSE(CONTROL!$C$22, $C$13, 100%, $E$13)</f>
        <v>7.2599</v>
      </c>
      <c r="G395" s="68">
        <f>7.2632 * CHOOSE(CONTROL!$C$22, $C$13, 100%, $E$13)</f>
        <v>7.2632000000000003</v>
      </c>
      <c r="H395" s="68">
        <f>11.466* CHOOSE(CONTROL!$C$22, $C$13, 100%, $E$13)</f>
        <v>11.465999999999999</v>
      </c>
      <c r="I395" s="68">
        <f>11.4693 * CHOOSE(CONTROL!$C$22, $C$13, 100%, $E$13)</f>
        <v>11.4693</v>
      </c>
      <c r="J395" s="68">
        <f>7.2599 * CHOOSE(CONTROL!$C$22, $C$13, 100%, $E$13)</f>
        <v>7.2599</v>
      </c>
      <c r="K395" s="68">
        <f>7.2632 * CHOOSE(CONTROL!$C$22, $C$13, 100%, $E$13)</f>
        <v>7.2632000000000003</v>
      </c>
    </row>
    <row r="396" spans="1:11" ht="15">
      <c r="A396" s="13">
        <v>53175</v>
      </c>
      <c r="B396" s="67">
        <f>5.9617 * CHOOSE(CONTROL!$C$22, $C$13, 100%, $E$13)</f>
        <v>5.9617000000000004</v>
      </c>
      <c r="C396" s="67">
        <f>5.9617 * CHOOSE(CONTROL!$C$22, $C$13, 100%, $E$13)</f>
        <v>5.9617000000000004</v>
      </c>
      <c r="D396" s="67">
        <f>5.9643 * CHOOSE(CONTROL!$C$22, $C$13, 100%, $E$13)</f>
        <v>5.9642999999999997</v>
      </c>
      <c r="E396" s="68">
        <f>7.1569 * CHOOSE(CONTROL!$C$22, $C$13, 100%, $E$13)</f>
        <v>7.1569000000000003</v>
      </c>
      <c r="F396" s="68">
        <f>7.1569 * CHOOSE(CONTROL!$C$22, $C$13, 100%, $E$13)</f>
        <v>7.1569000000000003</v>
      </c>
      <c r="G396" s="68">
        <f>7.1602 * CHOOSE(CONTROL!$C$22, $C$13, 100%, $E$13)</f>
        <v>7.1601999999999997</v>
      </c>
      <c r="H396" s="68">
        <f>11.4899* CHOOSE(CONTROL!$C$22, $C$13, 100%, $E$13)</f>
        <v>11.4899</v>
      </c>
      <c r="I396" s="68">
        <f>11.4932 * CHOOSE(CONTROL!$C$22, $C$13, 100%, $E$13)</f>
        <v>11.4932</v>
      </c>
      <c r="J396" s="68">
        <f>7.1569 * CHOOSE(CONTROL!$C$22, $C$13, 100%, $E$13)</f>
        <v>7.1569000000000003</v>
      </c>
      <c r="K396" s="68">
        <f>7.1602 * CHOOSE(CONTROL!$C$22, $C$13, 100%, $E$13)</f>
        <v>7.1601999999999997</v>
      </c>
    </row>
    <row r="397" spans="1:11" ht="15">
      <c r="A397" s="13">
        <v>53206</v>
      </c>
      <c r="B397" s="67">
        <f>5.9586 * CHOOSE(CONTROL!$C$22, $C$13, 100%, $E$13)</f>
        <v>5.9585999999999997</v>
      </c>
      <c r="C397" s="67">
        <f>5.9586 * CHOOSE(CONTROL!$C$22, $C$13, 100%, $E$13)</f>
        <v>5.9585999999999997</v>
      </c>
      <c r="D397" s="67">
        <f>5.9613 * CHOOSE(CONTROL!$C$22, $C$13, 100%, $E$13)</f>
        <v>5.9612999999999996</v>
      </c>
      <c r="E397" s="68">
        <f>7.1429 * CHOOSE(CONTROL!$C$22, $C$13, 100%, $E$13)</f>
        <v>7.1429</v>
      </c>
      <c r="F397" s="68">
        <f>7.1429 * CHOOSE(CONTROL!$C$22, $C$13, 100%, $E$13)</f>
        <v>7.1429</v>
      </c>
      <c r="G397" s="68">
        <f>7.1461 * CHOOSE(CONTROL!$C$22, $C$13, 100%, $E$13)</f>
        <v>7.1460999999999997</v>
      </c>
      <c r="H397" s="68">
        <f>11.5138* CHOOSE(CONTROL!$C$22, $C$13, 100%, $E$13)</f>
        <v>11.5138</v>
      </c>
      <c r="I397" s="68">
        <f>11.5171 * CHOOSE(CONTROL!$C$22, $C$13, 100%, $E$13)</f>
        <v>11.517099999999999</v>
      </c>
      <c r="J397" s="68">
        <f>7.1429 * CHOOSE(CONTROL!$C$22, $C$13, 100%, $E$13)</f>
        <v>7.1429</v>
      </c>
      <c r="K397" s="68">
        <f>7.1461 * CHOOSE(CONTROL!$C$22, $C$13, 100%, $E$13)</f>
        <v>7.1460999999999997</v>
      </c>
    </row>
    <row r="398" spans="1:11" ht="15">
      <c r="A398" s="13">
        <v>53236</v>
      </c>
      <c r="B398" s="67">
        <f>5.9602 * CHOOSE(CONTROL!$C$22, $C$13, 100%, $E$13)</f>
        <v>5.9602000000000004</v>
      </c>
      <c r="C398" s="67">
        <f>5.9602 * CHOOSE(CONTROL!$C$22, $C$13, 100%, $E$13)</f>
        <v>5.9602000000000004</v>
      </c>
      <c r="D398" s="67">
        <f>5.9612 * CHOOSE(CONTROL!$C$22, $C$13, 100%, $E$13)</f>
        <v>5.9611999999999998</v>
      </c>
      <c r="E398" s="68">
        <f>7.1773 * CHOOSE(CONTROL!$C$22, $C$13, 100%, $E$13)</f>
        <v>7.1772999999999998</v>
      </c>
      <c r="F398" s="68">
        <f>7.1773 * CHOOSE(CONTROL!$C$22, $C$13, 100%, $E$13)</f>
        <v>7.1772999999999998</v>
      </c>
      <c r="G398" s="68">
        <f>7.1786 * CHOOSE(CONTROL!$C$22, $C$13, 100%, $E$13)</f>
        <v>7.1786000000000003</v>
      </c>
      <c r="H398" s="68">
        <f>11.5378* CHOOSE(CONTROL!$C$22, $C$13, 100%, $E$13)</f>
        <v>11.537800000000001</v>
      </c>
      <c r="I398" s="68">
        <f>11.5391 * CHOOSE(CONTROL!$C$22, $C$13, 100%, $E$13)</f>
        <v>11.539099999999999</v>
      </c>
      <c r="J398" s="68">
        <f>7.1773 * CHOOSE(CONTROL!$C$22, $C$13, 100%, $E$13)</f>
        <v>7.1772999999999998</v>
      </c>
      <c r="K398" s="68">
        <f>7.1786 * CHOOSE(CONTROL!$C$22, $C$13, 100%, $E$13)</f>
        <v>7.1786000000000003</v>
      </c>
    </row>
    <row r="399" spans="1:11" ht="15">
      <c r="A399" s="13">
        <v>53267</v>
      </c>
      <c r="B399" s="67">
        <f>5.9632 * CHOOSE(CONTROL!$C$22, $C$13, 100%, $E$13)</f>
        <v>5.9631999999999996</v>
      </c>
      <c r="C399" s="67">
        <f>5.9632 * CHOOSE(CONTROL!$C$22, $C$13, 100%, $E$13)</f>
        <v>5.9631999999999996</v>
      </c>
      <c r="D399" s="67">
        <f>5.9642 * CHOOSE(CONTROL!$C$22, $C$13, 100%, $E$13)</f>
        <v>5.9641999999999999</v>
      </c>
      <c r="E399" s="68">
        <f>7.2033 * CHOOSE(CONTROL!$C$22, $C$13, 100%, $E$13)</f>
        <v>7.2032999999999996</v>
      </c>
      <c r="F399" s="68">
        <f>7.2033 * CHOOSE(CONTROL!$C$22, $C$13, 100%, $E$13)</f>
        <v>7.2032999999999996</v>
      </c>
      <c r="G399" s="68">
        <f>7.2046 * CHOOSE(CONTROL!$C$22, $C$13, 100%, $E$13)</f>
        <v>7.2046000000000001</v>
      </c>
      <c r="H399" s="68">
        <f>11.5619* CHOOSE(CONTROL!$C$22, $C$13, 100%, $E$13)</f>
        <v>11.5619</v>
      </c>
      <c r="I399" s="68">
        <f>11.5632 * CHOOSE(CONTROL!$C$22, $C$13, 100%, $E$13)</f>
        <v>11.5632</v>
      </c>
      <c r="J399" s="68">
        <f>7.2033 * CHOOSE(CONTROL!$C$22, $C$13, 100%, $E$13)</f>
        <v>7.2032999999999996</v>
      </c>
      <c r="K399" s="68">
        <f>7.2046 * CHOOSE(CONTROL!$C$22, $C$13, 100%, $E$13)</f>
        <v>7.2046000000000001</v>
      </c>
    </row>
    <row r="400" spans="1:11" ht="15">
      <c r="A400" s="13">
        <v>53297</v>
      </c>
      <c r="B400" s="67">
        <f>5.9632 * CHOOSE(CONTROL!$C$22, $C$13, 100%, $E$13)</f>
        <v>5.9631999999999996</v>
      </c>
      <c r="C400" s="67">
        <f>5.9632 * CHOOSE(CONTROL!$C$22, $C$13, 100%, $E$13)</f>
        <v>5.9631999999999996</v>
      </c>
      <c r="D400" s="67">
        <f>5.9642 * CHOOSE(CONTROL!$C$22, $C$13, 100%, $E$13)</f>
        <v>5.9641999999999999</v>
      </c>
      <c r="E400" s="68">
        <f>7.1435 * CHOOSE(CONTROL!$C$22, $C$13, 100%, $E$13)</f>
        <v>7.1435000000000004</v>
      </c>
      <c r="F400" s="68">
        <f>7.1435 * CHOOSE(CONTROL!$C$22, $C$13, 100%, $E$13)</f>
        <v>7.1435000000000004</v>
      </c>
      <c r="G400" s="68">
        <f>7.1448 * CHOOSE(CONTROL!$C$22, $C$13, 100%, $E$13)</f>
        <v>7.1448</v>
      </c>
      <c r="H400" s="68">
        <f>11.586* CHOOSE(CONTROL!$C$22, $C$13, 100%, $E$13)</f>
        <v>11.586</v>
      </c>
      <c r="I400" s="68">
        <f>11.5872 * CHOOSE(CONTROL!$C$22, $C$13, 100%, $E$13)</f>
        <v>11.587199999999999</v>
      </c>
      <c r="J400" s="68">
        <f>7.1435 * CHOOSE(CONTROL!$C$22, $C$13, 100%, $E$13)</f>
        <v>7.1435000000000004</v>
      </c>
      <c r="K400" s="68">
        <f>7.1448 * CHOOSE(CONTROL!$C$22, $C$13, 100%, $E$13)</f>
        <v>7.1448</v>
      </c>
    </row>
    <row r="401" spans="1:11" ht="15">
      <c r="A401" s="13">
        <v>53328</v>
      </c>
      <c r="B401" s="67">
        <f>6.0155 * CHOOSE(CONTROL!$C$22, $C$13, 100%, $E$13)</f>
        <v>6.0155000000000003</v>
      </c>
      <c r="C401" s="67">
        <f>6.0155 * CHOOSE(CONTROL!$C$22, $C$13, 100%, $E$13)</f>
        <v>6.0155000000000003</v>
      </c>
      <c r="D401" s="67">
        <f>6.0165 * CHOOSE(CONTROL!$C$22, $C$13, 100%, $E$13)</f>
        <v>6.0164999999999997</v>
      </c>
      <c r="E401" s="68">
        <f>7.2452 * CHOOSE(CONTROL!$C$22, $C$13, 100%, $E$13)</f>
        <v>7.2451999999999996</v>
      </c>
      <c r="F401" s="68">
        <f>7.2452 * CHOOSE(CONTROL!$C$22, $C$13, 100%, $E$13)</f>
        <v>7.2451999999999996</v>
      </c>
      <c r="G401" s="68">
        <f>7.2465 * CHOOSE(CONTROL!$C$22, $C$13, 100%, $E$13)</f>
        <v>7.2465000000000002</v>
      </c>
      <c r="H401" s="68">
        <f>11.6101* CHOOSE(CONTROL!$C$22, $C$13, 100%, $E$13)</f>
        <v>11.610099999999999</v>
      </c>
      <c r="I401" s="68">
        <f>11.6114 * CHOOSE(CONTROL!$C$22, $C$13, 100%, $E$13)</f>
        <v>11.6114</v>
      </c>
      <c r="J401" s="68">
        <f>7.2452 * CHOOSE(CONTROL!$C$22, $C$13, 100%, $E$13)</f>
        <v>7.2451999999999996</v>
      </c>
      <c r="K401" s="68">
        <f>7.2465 * CHOOSE(CONTROL!$C$22, $C$13, 100%, $E$13)</f>
        <v>7.2465000000000002</v>
      </c>
    </row>
    <row r="402" spans="1:11" ht="15">
      <c r="A402" s="13">
        <v>53359</v>
      </c>
      <c r="B402" s="67">
        <f>6.0125 * CHOOSE(CONTROL!$C$22, $C$13, 100%, $E$13)</f>
        <v>6.0125000000000002</v>
      </c>
      <c r="C402" s="67">
        <f>6.0125 * CHOOSE(CONTROL!$C$22, $C$13, 100%, $E$13)</f>
        <v>6.0125000000000002</v>
      </c>
      <c r="D402" s="67">
        <f>6.0135 * CHOOSE(CONTROL!$C$22, $C$13, 100%, $E$13)</f>
        <v>6.0134999999999996</v>
      </c>
      <c r="E402" s="68">
        <f>7.1269 * CHOOSE(CONTROL!$C$22, $C$13, 100%, $E$13)</f>
        <v>7.1269</v>
      </c>
      <c r="F402" s="68">
        <f>7.1269 * CHOOSE(CONTROL!$C$22, $C$13, 100%, $E$13)</f>
        <v>7.1269</v>
      </c>
      <c r="G402" s="68">
        <f>7.1282 * CHOOSE(CONTROL!$C$22, $C$13, 100%, $E$13)</f>
        <v>7.1281999999999996</v>
      </c>
      <c r="H402" s="68">
        <f>11.6343* CHOOSE(CONTROL!$C$22, $C$13, 100%, $E$13)</f>
        <v>11.6343</v>
      </c>
      <c r="I402" s="68">
        <f>11.6356 * CHOOSE(CONTROL!$C$22, $C$13, 100%, $E$13)</f>
        <v>11.6356</v>
      </c>
      <c r="J402" s="68">
        <f>7.1269 * CHOOSE(CONTROL!$C$22, $C$13, 100%, $E$13)</f>
        <v>7.1269</v>
      </c>
      <c r="K402" s="68">
        <f>7.1282 * CHOOSE(CONTROL!$C$22, $C$13, 100%, $E$13)</f>
        <v>7.1281999999999996</v>
      </c>
    </row>
    <row r="403" spans="1:11" ht="15">
      <c r="A403" s="13">
        <v>53387</v>
      </c>
      <c r="B403" s="67">
        <f>6.0094 * CHOOSE(CONTROL!$C$22, $C$13, 100%, $E$13)</f>
        <v>6.0094000000000003</v>
      </c>
      <c r="C403" s="67">
        <f>6.0094 * CHOOSE(CONTROL!$C$22, $C$13, 100%, $E$13)</f>
        <v>6.0094000000000003</v>
      </c>
      <c r="D403" s="67">
        <f>6.0104 * CHOOSE(CONTROL!$C$22, $C$13, 100%, $E$13)</f>
        <v>6.0103999999999997</v>
      </c>
      <c r="E403" s="68">
        <f>7.2164 * CHOOSE(CONTROL!$C$22, $C$13, 100%, $E$13)</f>
        <v>7.2164000000000001</v>
      </c>
      <c r="F403" s="68">
        <f>7.2164 * CHOOSE(CONTROL!$C$22, $C$13, 100%, $E$13)</f>
        <v>7.2164000000000001</v>
      </c>
      <c r="G403" s="68">
        <f>7.2176 * CHOOSE(CONTROL!$C$22, $C$13, 100%, $E$13)</f>
        <v>7.2176</v>
      </c>
      <c r="H403" s="68">
        <f>11.6585* CHOOSE(CONTROL!$C$22, $C$13, 100%, $E$13)</f>
        <v>11.6585</v>
      </c>
      <c r="I403" s="68">
        <f>11.6598 * CHOOSE(CONTROL!$C$22, $C$13, 100%, $E$13)</f>
        <v>11.659800000000001</v>
      </c>
      <c r="J403" s="68">
        <f>7.2164 * CHOOSE(CONTROL!$C$22, $C$13, 100%, $E$13)</f>
        <v>7.2164000000000001</v>
      </c>
      <c r="K403" s="68">
        <f>7.2176 * CHOOSE(CONTROL!$C$22, $C$13, 100%, $E$13)</f>
        <v>7.2176</v>
      </c>
    </row>
    <row r="404" spans="1:11" ht="15">
      <c r="A404" s="13">
        <v>53418</v>
      </c>
      <c r="B404" s="67">
        <f>6.0088 * CHOOSE(CONTROL!$C$22, $C$13, 100%, $E$13)</f>
        <v>6.0087999999999999</v>
      </c>
      <c r="C404" s="67">
        <f>6.0088 * CHOOSE(CONTROL!$C$22, $C$13, 100%, $E$13)</f>
        <v>6.0087999999999999</v>
      </c>
      <c r="D404" s="67">
        <f>6.0098 * CHOOSE(CONTROL!$C$22, $C$13, 100%, $E$13)</f>
        <v>6.0098000000000003</v>
      </c>
      <c r="E404" s="68">
        <f>7.3105 * CHOOSE(CONTROL!$C$22, $C$13, 100%, $E$13)</f>
        <v>7.3105000000000002</v>
      </c>
      <c r="F404" s="68">
        <f>7.3105 * CHOOSE(CONTROL!$C$22, $C$13, 100%, $E$13)</f>
        <v>7.3105000000000002</v>
      </c>
      <c r="G404" s="68">
        <f>7.3118 * CHOOSE(CONTROL!$C$22, $C$13, 100%, $E$13)</f>
        <v>7.3117999999999999</v>
      </c>
      <c r="H404" s="68">
        <f>11.6828* CHOOSE(CONTROL!$C$22, $C$13, 100%, $E$13)</f>
        <v>11.6828</v>
      </c>
      <c r="I404" s="68">
        <f>11.6841 * CHOOSE(CONTROL!$C$22, $C$13, 100%, $E$13)</f>
        <v>11.684100000000001</v>
      </c>
      <c r="J404" s="68">
        <f>7.3105 * CHOOSE(CONTROL!$C$22, $C$13, 100%, $E$13)</f>
        <v>7.3105000000000002</v>
      </c>
      <c r="K404" s="68">
        <f>7.3118 * CHOOSE(CONTROL!$C$22, $C$13, 100%, $E$13)</f>
        <v>7.3117999999999999</v>
      </c>
    </row>
    <row r="405" spans="1:11" ht="15">
      <c r="A405" s="13">
        <v>53448</v>
      </c>
      <c r="B405" s="67">
        <f>6.0088 * CHOOSE(CONTROL!$C$22, $C$13, 100%, $E$13)</f>
        <v>6.0087999999999999</v>
      </c>
      <c r="C405" s="67">
        <f>6.0088 * CHOOSE(CONTROL!$C$22, $C$13, 100%, $E$13)</f>
        <v>6.0087999999999999</v>
      </c>
      <c r="D405" s="67">
        <f>6.0114 * CHOOSE(CONTROL!$C$22, $C$13, 100%, $E$13)</f>
        <v>6.0114000000000001</v>
      </c>
      <c r="E405" s="68">
        <f>7.3474 * CHOOSE(CONTROL!$C$22, $C$13, 100%, $E$13)</f>
        <v>7.3474000000000004</v>
      </c>
      <c r="F405" s="68">
        <f>7.3474 * CHOOSE(CONTROL!$C$22, $C$13, 100%, $E$13)</f>
        <v>7.3474000000000004</v>
      </c>
      <c r="G405" s="68">
        <f>7.3506 * CHOOSE(CONTROL!$C$22, $C$13, 100%, $E$13)</f>
        <v>7.3506</v>
      </c>
      <c r="H405" s="68">
        <f>11.7072* CHOOSE(CONTROL!$C$22, $C$13, 100%, $E$13)</f>
        <v>11.7072</v>
      </c>
      <c r="I405" s="68">
        <f>11.7104 * CHOOSE(CONTROL!$C$22, $C$13, 100%, $E$13)</f>
        <v>11.7104</v>
      </c>
      <c r="J405" s="68">
        <f>7.3474 * CHOOSE(CONTROL!$C$22, $C$13, 100%, $E$13)</f>
        <v>7.3474000000000004</v>
      </c>
      <c r="K405" s="68">
        <f>7.3506 * CHOOSE(CONTROL!$C$22, $C$13, 100%, $E$13)</f>
        <v>7.3506</v>
      </c>
    </row>
    <row r="406" spans="1:11" ht="15">
      <c r="A406" s="13">
        <v>53479</v>
      </c>
      <c r="B406" s="67">
        <f>6.0149 * CHOOSE(CONTROL!$C$22, $C$13, 100%, $E$13)</f>
        <v>6.0148999999999999</v>
      </c>
      <c r="C406" s="67">
        <f>6.0149 * CHOOSE(CONTROL!$C$22, $C$13, 100%, $E$13)</f>
        <v>6.0148999999999999</v>
      </c>
      <c r="D406" s="67">
        <f>6.0175 * CHOOSE(CONTROL!$C$22, $C$13, 100%, $E$13)</f>
        <v>6.0175000000000001</v>
      </c>
      <c r="E406" s="68">
        <f>7.3147 * CHOOSE(CONTROL!$C$22, $C$13, 100%, $E$13)</f>
        <v>7.3147000000000002</v>
      </c>
      <c r="F406" s="68">
        <f>7.3147 * CHOOSE(CONTROL!$C$22, $C$13, 100%, $E$13)</f>
        <v>7.3147000000000002</v>
      </c>
      <c r="G406" s="68">
        <f>7.318 * CHOOSE(CONTROL!$C$22, $C$13, 100%, $E$13)</f>
        <v>7.3179999999999996</v>
      </c>
      <c r="H406" s="68">
        <f>11.7315* CHOOSE(CONTROL!$C$22, $C$13, 100%, $E$13)</f>
        <v>11.7315</v>
      </c>
      <c r="I406" s="68">
        <f>11.7348 * CHOOSE(CONTROL!$C$22, $C$13, 100%, $E$13)</f>
        <v>11.7348</v>
      </c>
      <c r="J406" s="68">
        <f>7.3147 * CHOOSE(CONTROL!$C$22, $C$13, 100%, $E$13)</f>
        <v>7.3147000000000002</v>
      </c>
      <c r="K406" s="68">
        <f>7.318 * CHOOSE(CONTROL!$C$22, $C$13, 100%, $E$13)</f>
        <v>7.3179999999999996</v>
      </c>
    </row>
    <row r="407" spans="1:11" ht="15">
      <c r="A407" s="13">
        <v>53509</v>
      </c>
      <c r="B407" s="67">
        <f>6.1119 * CHOOSE(CONTROL!$C$22, $C$13, 100%, $E$13)</f>
        <v>6.1119000000000003</v>
      </c>
      <c r="C407" s="67">
        <f>6.1119 * CHOOSE(CONTROL!$C$22, $C$13, 100%, $E$13)</f>
        <v>6.1119000000000003</v>
      </c>
      <c r="D407" s="67">
        <f>6.1146 * CHOOSE(CONTROL!$C$22, $C$13, 100%, $E$13)</f>
        <v>6.1146000000000003</v>
      </c>
      <c r="E407" s="68">
        <f>7.4374 * CHOOSE(CONTROL!$C$22, $C$13, 100%, $E$13)</f>
        <v>7.4374000000000002</v>
      </c>
      <c r="F407" s="68">
        <f>7.4374 * CHOOSE(CONTROL!$C$22, $C$13, 100%, $E$13)</f>
        <v>7.4374000000000002</v>
      </c>
      <c r="G407" s="68">
        <f>7.4406 * CHOOSE(CONTROL!$C$22, $C$13, 100%, $E$13)</f>
        <v>7.4405999999999999</v>
      </c>
      <c r="H407" s="68">
        <f>11.756* CHOOSE(CONTROL!$C$22, $C$13, 100%, $E$13)</f>
        <v>11.756</v>
      </c>
      <c r="I407" s="68">
        <f>11.7592 * CHOOSE(CONTROL!$C$22, $C$13, 100%, $E$13)</f>
        <v>11.7592</v>
      </c>
      <c r="J407" s="68">
        <f>7.4374 * CHOOSE(CONTROL!$C$22, $C$13, 100%, $E$13)</f>
        <v>7.4374000000000002</v>
      </c>
      <c r="K407" s="68">
        <f>7.4406 * CHOOSE(CONTROL!$C$22, $C$13, 100%, $E$13)</f>
        <v>7.4405999999999999</v>
      </c>
    </row>
    <row r="408" spans="1:11" ht="15">
      <c r="A408" s="13">
        <v>53540</v>
      </c>
      <c r="B408" s="67">
        <f>6.1186 * CHOOSE(CONTROL!$C$22, $C$13, 100%, $E$13)</f>
        <v>6.1185999999999998</v>
      </c>
      <c r="C408" s="67">
        <f>6.1186 * CHOOSE(CONTROL!$C$22, $C$13, 100%, $E$13)</f>
        <v>6.1185999999999998</v>
      </c>
      <c r="D408" s="67">
        <f>6.1212 * CHOOSE(CONTROL!$C$22, $C$13, 100%, $E$13)</f>
        <v>6.1212</v>
      </c>
      <c r="E408" s="68">
        <f>7.3314 * CHOOSE(CONTROL!$C$22, $C$13, 100%, $E$13)</f>
        <v>7.3314000000000004</v>
      </c>
      <c r="F408" s="68">
        <f>7.3314 * CHOOSE(CONTROL!$C$22, $C$13, 100%, $E$13)</f>
        <v>7.3314000000000004</v>
      </c>
      <c r="G408" s="68">
        <f>7.3346 * CHOOSE(CONTROL!$C$22, $C$13, 100%, $E$13)</f>
        <v>7.3346</v>
      </c>
      <c r="H408" s="68">
        <f>11.7805* CHOOSE(CONTROL!$C$22, $C$13, 100%, $E$13)</f>
        <v>11.7805</v>
      </c>
      <c r="I408" s="68">
        <f>11.7837 * CHOOSE(CONTROL!$C$22, $C$13, 100%, $E$13)</f>
        <v>11.7837</v>
      </c>
      <c r="J408" s="68">
        <f>7.3314 * CHOOSE(CONTROL!$C$22, $C$13, 100%, $E$13)</f>
        <v>7.3314000000000004</v>
      </c>
      <c r="K408" s="68">
        <f>7.3346 * CHOOSE(CONTROL!$C$22, $C$13, 100%, $E$13)</f>
        <v>7.3346</v>
      </c>
    </row>
    <row r="409" spans="1:11" ht="15">
      <c r="A409" s="13">
        <v>53571</v>
      </c>
      <c r="B409" s="67">
        <f>6.1156 * CHOOSE(CONTROL!$C$22, $C$13, 100%, $E$13)</f>
        <v>6.1155999999999997</v>
      </c>
      <c r="C409" s="67">
        <f>6.1156 * CHOOSE(CONTROL!$C$22, $C$13, 100%, $E$13)</f>
        <v>6.1155999999999997</v>
      </c>
      <c r="D409" s="67">
        <f>6.1182 * CHOOSE(CONTROL!$C$22, $C$13, 100%, $E$13)</f>
        <v>6.1181999999999999</v>
      </c>
      <c r="E409" s="68">
        <f>7.317 * CHOOSE(CONTROL!$C$22, $C$13, 100%, $E$13)</f>
        <v>7.3170000000000002</v>
      </c>
      <c r="F409" s="68">
        <f>7.317 * CHOOSE(CONTROL!$C$22, $C$13, 100%, $E$13)</f>
        <v>7.3170000000000002</v>
      </c>
      <c r="G409" s="68">
        <f>7.3202 * CHOOSE(CONTROL!$C$22, $C$13, 100%, $E$13)</f>
        <v>7.3201999999999998</v>
      </c>
      <c r="H409" s="68">
        <f>11.805* CHOOSE(CONTROL!$C$22, $C$13, 100%, $E$13)</f>
        <v>11.805</v>
      </c>
      <c r="I409" s="68">
        <f>11.8083 * CHOOSE(CONTROL!$C$22, $C$13, 100%, $E$13)</f>
        <v>11.808299999999999</v>
      </c>
      <c r="J409" s="68">
        <f>7.317 * CHOOSE(CONTROL!$C$22, $C$13, 100%, $E$13)</f>
        <v>7.3170000000000002</v>
      </c>
      <c r="K409" s="68">
        <f>7.3202 * CHOOSE(CONTROL!$C$22, $C$13, 100%, $E$13)</f>
        <v>7.3201999999999998</v>
      </c>
    </row>
    <row r="410" spans="1:11" ht="15">
      <c r="A410" s="13">
        <v>53601</v>
      </c>
      <c r="B410" s="67">
        <f>6.1176 * CHOOSE(CONTROL!$C$22, $C$13, 100%, $E$13)</f>
        <v>6.1176000000000004</v>
      </c>
      <c r="C410" s="67">
        <f>6.1176 * CHOOSE(CONTROL!$C$22, $C$13, 100%, $E$13)</f>
        <v>6.1176000000000004</v>
      </c>
      <c r="D410" s="67">
        <f>6.1186 * CHOOSE(CONTROL!$C$22, $C$13, 100%, $E$13)</f>
        <v>6.1185999999999998</v>
      </c>
      <c r="E410" s="68">
        <f>7.3527 * CHOOSE(CONTROL!$C$22, $C$13, 100%, $E$13)</f>
        <v>7.3526999999999996</v>
      </c>
      <c r="F410" s="68">
        <f>7.3527 * CHOOSE(CONTROL!$C$22, $C$13, 100%, $E$13)</f>
        <v>7.3526999999999996</v>
      </c>
      <c r="G410" s="68">
        <f>7.354 * CHOOSE(CONTROL!$C$22, $C$13, 100%, $E$13)</f>
        <v>7.3540000000000001</v>
      </c>
      <c r="H410" s="68">
        <f>11.8296* CHOOSE(CONTROL!$C$22, $C$13, 100%, $E$13)</f>
        <v>11.829599999999999</v>
      </c>
      <c r="I410" s="68">
        <f>11.8309 * CHOOSE(CONTROL!$C$22, $C$13, 100%, $E$13)</f>
        <v>11.8309</v>
      </c>
      <c r="J410" s="68">
        <f>7.3527 * CHOOSE(CONTROL!$C$22, $C$13, 100%, $E$13)</f>
        <v>7.3526999999999996</v>
      </c>
      <c r="K410" s="68">
        <f>7.354 * CHOOSE(CONTROL!$C$22, $C$13, 100%, $E$13)</f>
        <v>7.3540000000000001</v>
      </c>
    </row>
    <row r="411" spans="1:11" ht="15">
      <c r="A411" s="13">
        <v>53632</v>
      </c>
      <c r="B411" s="67">
        <f>6.1207 * CHOOSE(CONTROL!$C$22, $C$13, 100%, $E$13)</f>
        <v>6.1207000000000003</v>
      </c>
      <c r="C411" s="67">
        <f>6.1207 * CHOOSE(CONTROL!$C$22, $C$13, 100%, $E$13)</f>
        <v>6.1207000000000003</v>
      </c>
      <c r="D411" s="67">
        <f>6.1217 * CHOOSE(CONTROL!$C$22, $C$13, 100%, $E$13)</f>
        <v>6.1216999999999997</v>
      </c>
      <c r="E411" s="68">
        <f>7.3794 * CHOOSE(CONTROL!$C$22, $C$13, 100%, $E$13)</f>
        <v>7.3794000000000004</v>
      </c>
      <c r="F411" s="68">
        <f>7.3794 * CHOOSE(CONTROL!$C$22, $C$13, 100%, $E$13)</f>
        <v>7.3794000000000004</v>
      </c>
      <c r="G411" s="68">
        <f>7.3807 * CHOOSE(CONTROL!$C$22, $C$13, 100%, $E$13)</f>
        <v>7.3807</v>
      </c>
      <c r="H411" s="68">
        <f>11.8543* CHOOSE(CONTROL!$C$22, $C$13, 100%, $E$13)</f>
        <v>11.8543</v>
      </c>
      <c r="I411" s="68">
        <f>11.8555 * CHOOSE(CONTROL!$C$22, $C$13, 100%, $E$13)</f>
        <v>11.855499999999999</v>
      </c>
      <c r="J411" s="68">
        <f>7.3794 * CHOOSE(CONTROL!$C$22, $C$13, 100%, $E$13)</f>
        <v>7.3794000000000004</v>
      </c>
      <c r="K411" s="68">
        <f>7.3807 * CHOOSE(CONTROL!$C$22, $C$13, 100%, $E$13)</f>
        <v>7.3807</v>
      </c>
    </row>
    <row r="412" spans="1:11" ht="15">
      <c r="A412" s="13">
        <v>53662</v>
      </c>
      <c r="B412" s="67">
        <f>6.1207 * CHOOSE(CONTROL!$C$22, $C$13, 100%, $E$13)</f>
        <v>6.1207000000000003</v>
      </c>
      <c r="C412" s="67">
        <f>6.1207 * CHOOSE(CONTROL!$C$22, $C$13, 100%, $E$13)</f>
        <v>6.1207000000000003</v>
      </c>
      <c r="D412" s="67">
        <f>6.1217 * CHOOSE(CONTROL!$C$22, $C$13, 100%, $E$13)</f>
        <v>6.1216999999999997</v>
      </c>
      <c r="E412" s="68">
        <f>7.318 * CHOOSE(CONTROL!$C$22, $C$13, 100%, $E$13)</f>
        <v>7.3179999999999996</v>
      </c>
      <c r="F412" s="68">
        <f>7.318 * CHOOSE(CONTROL!$C$22, $C$13, 100%, $E$13)</f>
        <v>7.3179999999999996</v>
      </c>
      <c r="G412" s="68">
        <f>7.3192 * CHOOSE(CONTROL!$C$22, $C$13, 100%, $E$13)</f>
        <v>7.3192000000000004</v>
      </c>
      <c r="H412" s="68">
        <f>11.879* CHOOSE(CONTROL!$C$22, $C$13, 100%, $E$13)</f>
        <v>11.879</v>
      </c>
      <c r="I412" s="68">
        <f>11.8802 * CHOOSE(CONTROL!$C$22, $C$13, 100%, $E$13)</f>
        <v>11.8802</v>
      </c>
      <c r="J412" s="68">
        <f>7.318 * CHOOSE(CONTROL!$C$22, $C$13, 100%, $E$13)</f>
        <v>7.3179999999999996</v>
      </c>
      <c r="K412" s="68">
        <f>7.3192 * CHOOSE(CONTROL!$C$22, $C$13, 100%, $E$13)</f>
        <v>7.3192000000000004</v>
      </c>
    </row>
    <row r="413" spans="1:11" ht="15">
      <c r="A413" s="13">
        <v>53693</v>
      </c>
      <c r="B413" s="67">
        <f>6.1742 * CHOOSE(CONTROL!$C$22, $C$13, 100%, $E$13)</f>
        <v>6.1741999999999999</v>
      </c>
      <c r="C413" s="67">
        <f>6.1742 * CHOOSE(CONTROL!$C$22, $C$13, 100%, $E$13)</f>
        <v>6.1741999999999999</v>
      </c>
      <c r="D413" s="67">
        <f>6.1752 * CHOOSE(CONTROL!$C$22, $C$13, 100%, $E$13)</f>
        <v>6.1752000000000002</v>
      </c>
      <c r="E413" s="68">
        <f>7.4222 * CHOOSE(CONTROL!$C$22, $C$13, 100%, $E$13)</f>
        <v>7.4222000000000001</v>
      </c>
      <c r="F413" s="68">
        <f>7.4222 * CHOOSE(CONTROL!$C$22, $C$13, 100%, $E$13)</f>
        <v>7.4222000000000001</v>
      </c>
      <c r="G413" s="68">
        <f>7.4235 * CHOOSE(CONTROL!$C$22, $C$13, 100%, $E$13)</f>
        <v>7.4234999999999998</v>
      </c>
      <c r="H413" s="68">
        <f>11.9037* CHOOSE(CONTROL!$C$22, $C$13, 100%, $E$13)</f>
        <v>11.903700000000001</v>
      </c>
      <c r="I413" s="68">
        <f>11.905 * CHOOSE(CONTROL!$C$22, $C$13, 100%, $E$13)</f>
        <v>11.904999999999999</v>
      </c>
      <c r="J413" s="68">
        <f>7.4222 * CHOOSE(CONTROL!$C$22, $C$13, 100%, $E$13)</f>
        <v>7.4222000000000001</v>
      </c>
      <c r="K413" s="68">
        <f>7.4235 * CHOOSE(CONTROL!$C$22, $C$13, 100%, $E$13)</f>
        <v>7.4234999999999998</v>
      </c>
    </row>
    <row r="414" spans="1:11" ht="15">
      <c r="A414" s="13">
        <v>53724</v>
      </c>
      <c r="B414" s="67">
        <f>6.1712 * CHOOSE(CONTROL!$C$22, $C$13, 100%, $E$13)</f>
        <v>6.1711999999999998</v>
      </c>
      <c r="C414" s="67">
        <f>6.1712 * CHOOSE(CONTROL!$C$22, $C$13, 100%, $E$13)</f>
        <v>6.1711999999999998</v>
      </c>
      <c r="D414" s="67">
        <f>6.1722 * CHOOSE(CONTROL!$C$22, $C$13, 100%, $E$13)</f>
        <v>6.1722000000000001</v>
      </c>
      <c r="E414" s="68">
        <f>7.3006 * CHOOSE(CONTROL!$C$22, $C$13, 100%, $E$13)</f>
        <v>7.3006000000000002</v>
      </c>
      <c r="F414" s="68">
        <f>7.3006 * CHOOSE(CONTROL!$C$22, $C$13, 100%, $E$13)</f>
        <v>7.3006000000000002</v>
      </c>
      <c r="G414" s="68">
        <f>7.3019 * CHOOSE(CONTROL!$C$22, $C$13, 100%, $E$13)</f>
        <v>7.3018999999999998</v>
      </c>
      <c r="H414" s="68">
        <f>11.9285* CHOOSE(CONTROL!$C$22, $C$13, 100%, $E$13)</f>
        <v>11.9285</v>
      </c>
      <c r="I414" s="68">
        <f>11.9298 * CHOOSE(CONTROL!$C$22, $C$13, 100%, $E$13)</f>
        <v>11.9298</v>
      </c>
      <c r="J414" s="68">
        <f>7.3006 * CHOOSE(CONTROL!$C$22, $C$13, 100%, $E$13)</f>
        <v>7.3006000000000002</v>
      </c>
      <c r="K414" s="68">
        <f>7.3019 * CHOOSE(CONTROL!$C$22, $C$13, 100%, $E$13)</f>
        <v>7.3018999999999998</v>
      </c>
    </row>
    <row r="415" spans="1:11" ht="15">
      <c r="A415" s="13">
        <v>53752</v>
      </c>
      <c r="B415" s="67">
        <f>6.1681 * CHOOSE(CONTROL!$C$22, $C$13, 100%, $E$13)</f>
        <v>6.1680999999999999</v>
      </c>
      <c r="C415" s="67">
        <f>6.1681 * CHOOSE(CONTROL!$C$22, $C$13, 100%, $E$13)</f>
        <v>6.1680999999999999</v>
      </c>
      <c r="D415" s="67">
        <f>6.1691 * CHOOSE(CONTROL!$C$22, $C$13, 100%, $E$13)</f>
        <v>6.1691000000000003</v>
      </c>
      <c r="E415" s="68">
        <f>7.3927 * CHOOSE(CONTROL!$C$22, $C$13, 100%, $E$13)</f>
        <v>7.3926999999999996</v>
      </c>
      <c r="F415" s="68">
        <f>7.3927 * CHOOSE(CONTROL!$C$22, $C$13, 100%, $E$13)</f>
        <v>7.3926999999999996</v>
      </c>
      <c r="G415" s="68">
        <f>7.394 * CHOOSE(CONTROL!$C$22, $C$13, 100%, $E$13)</f>
        <v>7.3940000000000001</v>
      </c>
      <c r="H415" s="68">
        <f>11.9533* CHOOSE(CONTROL!$C$22, $C$13, 100%, $E$13)</f>
        <v>11.9533</v>
      </c>
      <c r="I415" s="68">
        <f>11.9546 * CHOOSE(CONTROL!$C$22, $C$13, 100%, $E$13)</f>
        <v>11.954599999999999</v>
      </c>
      <c r="J415" s="68">
        <f>7.3927 * CHOOSE(CONTROL!$C$22, $C$13, 100%, $E$13)</f>
        <v>7.3926999999999996</v>
      </c>
      <c r="K415" s="68">
        <f>7.394 * CHOOSE(CONTROL!$C$22, $C$13, 100%, $E$13)</f>
        <v>7.3940000000000001</v>
      </c>
    </row>
    <row r="416" spans="1:11" ht="15">
      <c r="A416" s="13">
        <v>53783</v>
      </c>
      <c r="B416" s="67">
        <f>6.1677 * CHOOSE(CONTROL!$C$22, $C$13, 100%, $E$13)</f>
        <v>6.1677</v>
      </c>
      <c r="C416" s="67">
        <f>6.1677 * CHOOSE(CONTROL!$C$22, $C$13, 100%, $E$13)</f>
        <v>6.1677</v>
      </c>
      <c r="D416" s="67">
        <f>6.1686 * CHOOSE(CONTROL!$C$22, $C$13, 100%, $E$13)</f>
        <v>6.1685999999999996</v>
      </c>
      <c r="E416" s="68">
        <f>7.4896 * CHOOSE(CONTROL!$C$22, $C$13, 100%, $E$13)</f>
        <v>7.4896000000000003</v>
      </c>
      <c r="F416" s="68">
        <f>7.4896 * CHOOSE(CONTROL!$C$22, $C$13, 100%, $E$13)</f>
        <v>7.4896000000000003</v>
      </c>
      <c r="G416" s="68">
        <f>7.4908 * CHOOSE(CONTROL!$C$22, $C$13, 100%, $E$13)</f>
        <v>7.4908000000000001</v>
      </c>
      <c r="H416" s="68">
        <f>11.9783* CHOOSE(CONTROL!$C$22, $C$13, 100%, $E$13)</f>
        <v>11.978300000000001</v>
      </c>
      <c r="I416" s="68">
        <f>11.9795 * CHOOSE(CONTROL!$C$22, $C$13, 100%, $E$13)</f>
        <v>11.9795</v>
      </c>
      <c r="J416" s="68">
        <f>7.4896 * CHOOSE(CONTROL!$C$22, $C$13, 100%, $E$13)</f>
        <v>7.4896000000000003</v>
      </c>
      <c r="K416" s="68">
        <f>7.4908 * CHOOSE(CONTROL!$C$22, $C$13, 100%, $E$13)</f>
        <v>7.4908000000000001</v>
      </c>
    </row>
    <row r="417" spans="1:11" ht="15">
      <c r="A417" s="13">
        <v>53813</v>
      </c>
      <c r="B417" s="67">
        <f>6.1677 * CHOOSE(CONTROL!$C$22, $C$13, 100%, $E$13)</f>
        <v>6.1677</v>
      </c>
      <c r="C417" s="67">
        <f>6.1677 * CHOOSE(CONTROL!$C$22, $C$13, 100%, $E$13)</f>
        <v>6.1677</v>
      </c>
      <c r="D417" s="67">
        <f>6.1703 * CHOOSE(CONTROL!$C$22, $C$13, 100%, $E$13)</f>
        <v>6.1703000000000001</v>
      </c>
      <c r="E417" s="68">
        <f>7.5275 * CHOOSE(CONTROL!$C$22, $C$13, 100%, $E$13)</f>
        <v>7.5274999999999999</v>
      </c>
      <c r="F417" s="68">
        <f>7.5275 * CHOOSE(CONTROL!$C$22, $C$13, 100%, $E$13)</f>
        <v>7.5274999999999999</v>
      </c>
      <c r="G417" s="68">
        <f>7.5307 * CHOOSE(CONTROL!$C$22, $C$13, 100%, $E$13)</f>
        <v>7.5307000000000004</v>
      </c>
      <c r="H417" s="68">
        <f>12.0032* CHOOSE(CONTROL!$C$22, $C$13, 100%, $E$13)</f>
        <v>12.0032</v>
      </c>
      <c r="I417" s="68">
        <f>12.0065 * CHOOSE(CONTROL!$C$22, $C$13, 100%, $E$13)</f>
        <v>12.006500000000001</v>
      </c>
      <c r="J417" s="68">
        <f>7.5275 * CHOOSE(CONTROL!$C$22, $C$13, 100%, $E$13)</f>
        <v>7.5274999999999999</v>
      </c>
      <c r="K417" s="68">
        <f>7.5307 * CHOOSE(CONTROL!$C$22, $C$13, 100%, $E$13)</f>
        <v>7.5307000000000004</v>
      </c>
    </row>
    <row r="418" spans="1:11" ht="15">
      <c r="A418" s="13">
        <v>53844</v>
      </c>
      <c r="B418" s="67">
        <f>6.1737 * CHOOSE(CONTROL!$C$22, $C$13, 100%, $E$13)</f>
        <v>6.1737000000000002</v>
      </c>
      <c r="C418" s="67">
        <f>6.1737 * CHOOSE(CONTROL!$C$22, $C$13, 100%, $E$13)</f>
        <v>6.1737000000000002</v>
      </c>
      <c r="D418" s="67">
        <f>6.1764 * CHOOSE(CONTROL!$C$22, $C$13, 100%, $E$13)</f>
        <v>6.1764000000000001</v>
      </c>
      <c r="E418" s="68">
        <f>7.4938 * CHOOSE(CONTROL!$C$22, $C$13, 100%, $E$13)</f>
        <v>7.4938000000000002</v>
      </c>
      <c r="F418" s="68">
        <f>7.4938 * CHOOSE(CONTROL!$C$22, $C$13, 100%, $E$13)</f>
        <v>7.4938000000000002</v>
      </c>
      <c r="G418" s="68">
        <f>7.497 * CHOOSE(CONTROL!$C$22, $C$13, 100%, $E$13)</f>
        <v>7.4969999999999999</v>
      </c>
      <c r="H418" s="68">
        <f>12.0282* CHOOSE(CONTROL!$C$22, $C$13, 100%, $E$13)</f>
        <v>12.0282</v>
      </c>
      <c r="I418" s="68">
        <f>12.0315 * CHOOSE(CONTROL!$C$22, $C$13, 100%, $E$13)</f>
        <v>12.031499999999999</v>
      </c>
      <c r="J418" s="68">
        <f>7.4938 * CHOOSE(CONTROL!$C$22, $C$13, 100%, $E$13)</f>
        <v>7.4938000000000002</v>
      </c>
      <c r="K418" s="68">
        <f>7.497 * CHOOSE(CONTROL!$C$22, $C$13, 100%, $E$13)</f>
        <v>7.4969999999999999</v>
      </c>
    </row>
    <row r="419" spans="1:11" ht="15">
      <c r="A419" s="13">
        <v>53874</v>
      </c>
      <c r="B419" s="67">
        <f>6.273 * CHOOSE(CONTROL!$C$22, $C$13, 100%, $E$13)</f>
        <v>6.2729999999999997</v>
      </c>
      <c r="C419" s="67">
        <f>6.273 * CHOOSE(CONTROL!$C$22, $C$13, 100%, $E$13)</f>
        <v>6.2729999999999997</v>
      </c>
      <c r="D419" s="67">
        <f>6.2757 * CHOOSE(CONTROL!$C$22, $C$13, 100%, $E$13)</f>
        <v>6.2756999999999996</v>
      </c>
      <c r="E419" s="68">
        <f>7.6192 * CHOOSE(CONTROL!$C$22, $C$13, 100%, $E$13)</f>
        <v>7.6192000000000002</v>
      </c>
      <c r="F419" s="68">
        <f>7.6192 * CHOOSE(CONTROL!$C$22, $C$13, 100%, $E$13)</f>
        <v>7.6192000000000002</v>
      </c>
      <c r="G419" s="68">
        <f>7.6224 * CHOOSE(CONTROL!$C$22, $C$13, 100%, $E$13)</f>
        <v>7.6223999999999998</v>
      </c>
      <c r="H419" s="68">
        <f>12.0533* CHOOSE(CONTROL!$C$22, $C$13, 100%, $E$13)</f>
        <v>12.0533</v>
      </c>
      <c r="I419" s="68">
        <f>12.0565 * CHOOSE(CONTROL!$C$22, $C$13, 100%, $E$13)</f>
        <v>12.0565</v>
      </c>
      <c r="J419" s="68">
        <f>7.6192 * CHOOSE(CONTROL!$C$22, $C$13, 100%, $E$13)</f>
        <v>7.6192000000000002</v>
      </c>
      <c r="K419" s="68">
        <f>7.6224 * CHOOSE(CONTROL!$C$22, $C$13, 100%, $E$13)</f>
        <v>7.6223999999999998</v>
      </c>
    </row>
    <row r="420" spans="1:11" ht="15">
      <c r="A420" s="13">
        <v>53905</v>
      </c>
      <c r="B420" s="67">
        <f>6.2797 * CHOOSE(CONTROL!$C$22, $C$13, 100%, $E$13)</f>
        <v>6.2797000000000001</v>
      </c>
      <c r="C420" s="67">
        <f>6.2797 * CHOOSE(CONTROL!$C$22, $C$13, 100%, $E$13)</f>
        <v>6.2797000000000001</v>
      </c>
      <c r="D420" s="67">
        <f>6.2824 * CHOOSE(CONTROL!$C$22, $C$13, 100%, $E$13)</f>
        <v>6.2824</v>
      </c>
      <c r="E420" s="68">
        <f>7.5101 * CHOOSE(CONTROL!$C$22, $C$13, 100%, $E$13)</f>
        <v>7.5101000000000004</v>
      </c>
      <c r="F420" s="68">
        <f>7.5101 * CHOOSE(CONTROL!$C$22, $C$13, 100%, $E$13)</f>
        <v>7.5101000000000004</v>
      </c>
      <c r="G420" s="68">
        <f>7.5133 * CHOOSE(CONTROL!$C$22, $C$13, 100%, $E$13)</f>
        <v>7.5133000000000001</v>
      </c>
      <c r="H420" s="68">
        <f>12.0784* CHOOSE(CONTROL!$C$22, $C$13, 100%, $E$13)</f>
        <v>12.0784</v>
      </c>
      <c r="I420" s="68">
        <f>12.0816 * CHOOSE(CONTROL!$C$22, $C$13, 100%, $E$13)</f>
        <v>12.0816</v>
      </c>
      <c r="J420" s="68">
        <f>7.5101 * CHOOSE(CONTROL!$C$22, $C$13, 100%, $E$13)</f>
        <v>7.5101000000000004</v>
      </c>
      <c r="K420" s="68">
        <f>7.5133 * CHOOSE(CONTROL!$C$22, $C$13, 100%, $E$13)</f>
        <v>7.5133000000000001</v>
      </c>
    </row>
    <row r="421" spans="1:11" ht="15">
      <c r="A421" s="13">
        <v>53936</v>
      </c>
      <c r="B421" s="67">
        <f>6.2767 * CHOOSE(CONTROL!$C$22, $C$13, 100%, $E$13)</f>
        <v>6.2766999999999999</v>
      </c>
      <c r="C421" s="67">
        <f>6.2767 * CHOOSE(CONTROL!$C$22, $C$13, 100%, $E$13)</f>
        <v>6.2766999999999999</v>
      </c>
      <c r="D421" s="67">
        <f>6.2793 * CHOOSE(CONTROL!$C$22, $C$13, 100%, $E$13)</f>
        <v>6.2793000000000001</v>
      </c>
      <c r="E421" s="68">
        <f>7.4953 * CHOOSE(CONTROL!$C$22, $C$13, 100%, $E$13)</f>
        <v>7.4953000000000003</v>
      </c>
      <c r="F421" s="68">
        <f>7.4953 * CHOOSE(CONTROL!$C$22, $C$13, 100%, $E$13)</f>
        <v>7.4953000000000003</v>
      </c>
      <c r="G421" s="68">
        <f>7.4986 * CHOOSE(CONTROL!$C$22, $C$13, 100%, $E$13)</f>
        <v>7.4985999999999997</v>
      </c>
      <c r="H421" s="68">
        <f>12.1035* CHOOSE(CONTROL!$C$22, $C$13, 100%, $E$13)</f>
        <v>12.1035</v>
      </c>
      <c r="I421" s="68">
        <f>12.1068 * CHOOSE(CONTROL!$C$22, $C$13, 100%, $E$13)</f>
        <v>12.1068</v>
      </c>
      <c r="J421" s="68">
        <f>7.4953 * CHOOSE(CONTROL!$C$22, $C$13, 100%, $E$13)</f>
        <v>7.4953000000000003</v>
      </c>
      <c r="K421" s="68">
        <f>7.4986 * CHOOSE(CONTROL!$C$22, $C$13, 100%, $E$13)</f>
        <v>7.4985999999999997</v>
      </c>
    </row>
    <row r="422" spans="1:11" ht="15">
      <c r="A422" s="13">
        <v>53966</v>
      </c>
      <c r="B422" s="67">
        <f>6.2793 * CHOOSE(CONTROL!$C$22, $C$13, 100%, $E$13)</f>
        <v>6.2793000000000001</v>
      </c>
      <c r="C422" s="67">
        <f>6.2793 * CHOOSE(CONTROL!$C$22, $C$13, 100%, $E$13)</f>
        <v>6.2793000000000001</v>
      </c>
      <c r="D422" s="67">
        <f>6.2803 * CHOOSE(CONTROL!$C$22, $C$13, 100%, $E$13)</f>
        <v>6.2803000000000004</v>
      </c>
      <c r="E422" s="68">
        <f>7.5325 * CHOOSE(CONTROL!$C$22, $C$13, 100%, $E$13)</f>
        <v>7.5324999999999998</v>
      </c>
      <c r="F422" s="68">
        <f>7.5325 * CHOOSE(CONTROL!$C$22, $C$13, 100%, $E$13)</f>
        <v>7.5324999999999998</v>
      </c>
      <c r="G422" s="68">
        <f>7.5337 * CHOOSE(CONTROL!$C$22, $C$13, 100%, $E$13)</f>
        <v>7.5336999999999996</v>
      </c>
      <c r="H422" s="68">
        <f>12.1288* CHOOSE(CONTROL!$C$22, $C$13, 100%, $E$13)</f>
        <v>12.1288</v>
      </c>
      <c r="I422" s="68">
        <f>12.13 * CHOOSE(CONTROL!$C$22, $C$13, 100%, $E$13)</f>
        <v>12.13</v>
      </c>
      <c r="J422" s="68">
        <f>7.5325 * CHOOSE(CONTROL!$C$22, $C$13, 100%, $E$13)</f>
        <v>7.5324999999999998</v>
      </c>
      <c r="K422" s="68">
        <f>7.5337 * CHOOSE(CONTROL!$C$22, $C$13, 100%, $E$13)</f>
        <v>7.5336999999999996</v>
      </c>
    </row>
    <row r="423" spans="1:11" ht="15">
      <c r="A423" s="13">
        <v>53997</v>
      </c>
      <c r="B423" s="67">
        <f>6.2823 * CHOOSE(CONTROL!$C$22, $C$13, 100%, $E$13)</f>
        <v>6.2823000000000002</v>
      </c>
      <c r="C423" s="67">
        <f>6.2823 * CHOOSE(CONTROL!$C$22, $C$13, 100%, $E$13)</f>
        <v>6.2823000000000002</v>
      </c>
      <c r="D423" s="67">
        <f>6.2833 * CHOOSE(CONTROL!$C$22, $C$13, 100%, $E$13)</f>
        <v>6.2832999999999997</v>
      </c>
      <c r="E423" s="68">
        <f>7.5599 * CHOOSE(CONTROL!$C$22, $C$13, 100%, $E$13)</f>
        <v>7.5598999999999998</v>
      </c>
      <c r="F423" s="68">
        <f>7.5599 * CHOOSE(CONTROL!$C$22, $C$13, 100%, $E$13)</f>
        <v>7.5598999999999998</v>
      </c>
      <c r="G423" s="68">
        <f>7.5611 * CHOOSE(CONTROL!$C$22, $C$13, 100%, $E$13)</f>
        <v>7.5610999999999997</v>
      </c>
      <c r="H423" s="68">
        <f>12.154* CHOOSE(CONTROL!$C$22, $C$13, 100%, $E$13)</f>
        <v>12.154</v>
      </c>
      <c r="I423" s="68">
        <f>12.1553 * CHOOSE(CONTROL!$C$22, $C$13, 100%, $E$13)</f>
        <v>12.1553</v>
      </c>
      <c r="J423" s="68">
        <f>7.5599 * CHOOSE(CONTROL!$C$22, $C$13, 100%, $E$13)</f>
        <v>7.5598999999999998</v>
      </c>
      <c r="K423" s="68">
        <f>7.5611 * CHOOSE(CONTROL!$C$22, $C$13, 100%, $E$13)</f>
        <v>7.5610999999999997</v>
      </c>
    </row>
    <row r="424" spans="1:11" ht="15">
      <c r="A424" s="13">
        <v>54027</v>
      </c>
      <c r="B424" s="67">
        <f>6.2823 * CHOOSE(CONTROL!$C$22, $C$13, 100%, $E$13)</f>
        <v>6.2823000000000002</v>
      </c>
      <c r="C424" s="67">
        <f>6.2823 * CHOOSE(CONTROL!$C$22, $C$13, 100%, $E$13)</f>
        <v>6.2823000000000002</v>
      </c>
      <c r="D424" s="67">
        <f>6.2833 * CHOOSE(CONTROL!$C$22, $C$13, 100%, $E$13)</f>
        <v>6.2832999999999997</v>
      </c>
      <c r="E424" s="68">
        <f>7.4967 * CHOOSE(CONTROL!$C$22, $C$13, 100%, $E$13)</f>
        <v>7.4966999999999997</v>
      </c>
      <c r="F424" s="68">
        <f>7.4967 * CHOOSE(CONTROL!$C$22, $C$13, 100%, $E$13)</f>
        <v>7.4966999999999997</v>
      </c>
      <c r="G424" s="68">
        <f>7.4979 * CHOOSE(CONTROL!$C$22, $C$13, 100%, $E$13)</f>
        <v>7.4978999999999996</v>
      </c>
      <c r="H424" s="68">
        <f>12.1794* CHOOSE(CONTROL!$C$22, $C$13, 100%, $E$13)</f>
        <v>12.179399999999999</v>
      </c>
      <c r="I424" s="68">
        <f>12.1806 * CHOOSE(CONTROL!$C$22, $C$13, 100%, $E$13)</f>
        <v>12.1806</v>
      </c>
      <c r="J424" s="68">
        <f>7.4967 * CHOOSE(CONTROL!$C$22, $C$13, 100%, $E$13)</f>
        <v>7.4966999999999997</v>
      </c>
      <c r="K424" s="68">
        <f>7.4979 * CHOOSE(CONTROL!$C$22, $C$13, 100%, $E$13)</f>
        <v>7.4978999999999996</v>
      </c>
    </row>
    <row r="425" spans="1:11" ht="15">
      <c r="A425" s="13">
        <v>54058</v>
      </c>
      <c r="B425" s="67">
        <f>6.3372 * CHOOSE(CONTROL!$C$22, $C$13, 100%, $E$13)</f>
        <v>6.3372000000000002</v>
      </c>
      <c r="C425" s="67">
        <f>6.3372 * CHOOSE(CONTROL!$C$22, $C$13, 100%, $E$13)</f>
        <v>6.3372000000000002</v>
      </c>
      <c r="D425" s="67">
        <f>6.3381 * CHOOSE(CONTROL!$C$22, $C$13, 100%, $E$13)</f>
        <v>6.3380999999999998</v>
      </c>
      <c r="E425" s="68">
        <f>7.6035 * CHOOSE(CONTROL!$C$22, $C$13, 100%, $E$13)</f>
        <v>7.6035000000000004</v>
      </c>
      <c r="F425" s="68">
        <f>7.6035 * CHOOSE(CONTROL!$C$22, $C$13, 100%, $E$13)</f>
        <v>7.6035000000000004</v>
      </c>
      <c r="G425" s="68">
        <f>7.6048 * CHOOSE(CONTROL!$C$22, $C$13, 100%, $E$13)</f>
        <v>7.6048</v>
      </c>
      <c r="H425" s="68">
        <f>12.2047* CHOOSE(CONTROL!$C$22, $C$13, 100%, $E$13)</f>
        <v>12.204700000000001</v>
      </c>
      <c r="I425" s="68">
        <f>12.206 * CHOOSE(CONTROL!$C$22, $C$13, 100%, $E$13)</f>
        <v>12.206</v>
      </c>
      <c r="J425" s="68">
        <f>7.6035 * CHOOSE(CONTROL!$C$22, $C$13, 100%, $E$13)</f>
        <v>7.6035000000000004</v>
      </c>
      <c r="K425" s="68">
        <f>7.6048 * CHOOSE(CONTROL!$C$22, $C$13, 100%, $E$13)</f>
        <v>7.6048</v>
      </c>
    </row>
    <row r="426" spans="1:11" ht="15">
      <c r="A426" s="13">
        <v>54089</v>
      </c>
      <c r="B426" s="67">
        <f>6.3341 * CHOOSE(CONTROL!$C$22, $C$13, 100%, $E$13)</f>
        <v>6.3341000000000003</v>
      </c>
      <c r="C426" s="67">
        <f>6.3341 * CHOOSE(CONTROL!$C$22, $C$13, 100%, $E$13)</f>
        <v>6.3341000000000003</v>
      </c>
      <c r="D426" s="67">
        <f>6.3351 * CHOOSE(CONTROL!$C$22, $C$13, 100%, $E$13)</f>
        <v>6.3350999999999997</v>
      </c>
      <c r="E426" s="68">
        <f>7.4786 * CHOOSE(CONTROL!$C$22, $C$13, 100%, $E$13)</f>
        <v>7.4786000000000001</v>
      </c>
      <c r="F426" s="68">
        <f>7.4786 * CHOOSE(CONTROL!$C$22, $C$13, 100%, $E$13)</f>
        <v>7.4786000000000001</v>
      </c>
      <c r="G426" s="68">
        <f>7.4799 * CHOOSE(CONTROL!$C$22, $C$13, 100%, $E$13)</f>
        <v>7.4798999999999998</v>
      </c>
      <c r="H426" s="68">
        <f>12.2302* CHOOSE(CONTROL!$C$22, $C$13, 100%, $E$13)</f>
        <v>12.2302</v>
      </c>
      <c r="I426" s="68">
        <f>12.2314 * CHOOSE(CONTROL!$C$22, $C$13, 100%, $E$13)</f>
        <v>12.231400000000001</v>
      </c>
      <c r="J426" s="68">
        <f>7.4786 * CHOOSE(CONTROL!$C$22, $C$13, 100%, $E$13)</f>
        <v>7.4786000000000001</v>
      </c>
      <c r="K426" s="68">
        <f>7.4799 * CHOOSE(CONTROL!$C$22, $C$13, 100%, $E$13)</f>
        <v>7.4798999999999998</v>
      </c>
    </row>
    <row r="427" spans="1:11" ht="15">
      <c r="A427" s="13">
        <v>54118</v>
      </c>
      <c r="B427" s="67">
        <f>6.3311 * CHOOSE(CONTROL!$C$22, $C$13, 100%, $E$13)</f>
        <v>6.3311000000000002</v>
      </c>
      <c r="C427" s="67">
        <f>6.3311 * CHOOSE(CONTROL!$C$22, $C$13, 100%, $E$13)</f>
        <v>6.3311000000000002</v>
      </c>
      <c r="D427" s="67">
        <f>6.3321 * CHOOSE(CONTROL!$C$22, $C$13, 100%, $E$13)</f>
        <v>6.3320999999999996</v>
      </c>
      <c r="E427" s="68">
        <f>7.5733 * CHOOSE(CONTROL!$C$22, $C$13, 100%, $E$13)</f>
        <v>7.5732999999999997</v>
      </c>
      <c r="F427" s="68">
        <f>7.5733 * CHOOSE(CONTROL!$C$22, $C$13, 100%, $E$13)</f>
        <v>7.5732999999999997</v>
      </c>
      <c r="G427" s="68">
        <f>7.5746 * CHOOSE(CONTROL!$C$22, $C$13, 100%, $E$13)</f>
        <v>7.5746000000000002</v>
      </c>
      <c r="H427" s="68">
        <f>12.2556* CHOOSE(CONTROL!$C$22, $C$13, 100%, $E$13)</f>
        <v>12.255599999999999</v>
      </c>
      <c r="I427" s="68">
        <f>12.2569 * CHOOSE(CONTROL!$C$22, $C$13, 100%, $E$13)</f>
        <v>12.2569</v>
      </c>
      <c r="J427" s="68">
        <f>7.5733 * CHOOSE(CONTROL!$C$22, $C$13, 100%, $E$13)</f>
        <v>7.5732999999999997</v>
      </c>
      <c r="K427" s="68">
        <f>7.5746 * CHOOSE(CONTROL!$C$22, $C$13, 100%, $E$13)</f>
        <v>7.5746000000000002</v>
      </c>
    </row>
    <row r="428" spans="1:11" ht="15">
      <c r="A428" s="13">
        <v>54149</v>
      </c>
      <c r="B428" s="67">
        <f>6.3307 * CHOOSE(CONTROL!$C$22, $C$13, 100%, $E$13)</f>
        <v>6.3307000000000002</v>
      </c>
      <c r="C428" s="67">
        <f>6.3307 * CHOOSE(CONTROL!$C$22, $C$13, 100%, $E$13)</f>
        <v>6.3307000000000002</v>
      </c>
      <c r="D428" s="67">
        <f>6.3317 * CHOOSE(CONTROL!$C$22, $C$13, 100%, $E$13)</f>
        <v>6.3316999999999997</v>
      </c>
      <c r="E428" s="68">
        <f>7.673 * CHOOSE(CONTROL!$C$22, $C$13, 100%, $E$13)</f>
        <v>7.673</v>
      </c>
      <c r="F428" s="68">
        <f>7.673 * CHOOSE(CONTROL!$C$22, $C$13, 100%, $E$13)</f>
        <v>7.673</v>
      </c>
      <c r="G428" s="68">
        <f>7.6743 * CHOOSE(CONTROL!$C$22, $C$13, 100%, $E$13)</f>
        <v>7.6742999999999997</v>
      </c>
      <c r="H428" s="68">
        <f>12.2812* CHOOSE(CONTROL!$C$22, $C$13, 100%, $E$13)</f>
        <v>12.2812</v>
      </c>
      <c r="I428" s="68">
        <f>12.2824 * CHOOSE(CONTROL!$C$22, $C$13, 100%, $E$13)</f>
        <v>12.282400000000001</v>
      </c>
      <c r="J428" s="68">
        <f>7.673 * CHOOSE(CONTROL!$C$22, $C$13, 100%, $E$13)</f>
        <v>7.673</v>
      </c>
      <c r="K428" s="68">
        <f>7.6743 * CHOOSE(CONTROL!$C$22, $C$13, 100%, $E$13)</f>
        <v>7.6742999999999997</v>
      </c>
    </row>
    <row r="429" spans="1:11" ht="15">
      <c r="A429" s="13">
        <v>54179</v>
      </c>
      <c r="B429" s="67">
        <f>6.3307 * CHOOSE(CONTROL!$C$22, $C$13, 100%, $E$13)</f>
        <v>6.3307000000000002</v>
      </c>
      <c r="C429" s="67">
        <f>6.3307 * CHOOSE(CONTROL!$C$22, $C$13, 100%, $E$13)</f>
        <v>6.3307000000000002</v>
      </c>
      <c r="D429" s="67">
        <f>6.3334 * CHOOSE(CONTROL!$C$22, $C$13, 100%, $E$13)</f>
        <v>6.3334000000000001</v>
      </c>
      <c r="E429" s="68">
        <f>7.712 * CHOOSE(CONTROL!$C$22, $C$13, 100%, $E$13)</f>
        <v>7.7119999999999997</v>
      </c>
      <c r="F429" s="68">
        <f>7.712 * CHOOSE(CONTROL!$C$22, $C$13, 100%, $E$13)</f>
        <v>7.7119999999999997</v>
      </c>
      <c r="G429" s="68">
        <f>7.7153 * CHOOSE(CONTROL!$C$22, $C$13, 100%, $E$13)</f>
        <v>7.7153</v>
      </c>
      <c r="H429" s="68">
        <f>12.3067* CHOOSE(CONTROL!$C$22, $C$13, 100%, $E$13)</f>
        <v>12.306699999999999</v>
      </c>
      <c r="I429" s="68">
        <f>12.31 * CHOOSE(CONTROL!$C$22, $C$13, 100%, $E$13)</f>
        <v>12.31</v>
      </c>
      <c r="J429" s="68">
        <f>7.712 * CHOOSE(CONTROL!$C$22, $C$13, 100%, $E$13)</f>
        <v>7.7119999999999997</v>
      </c>
      <c r="K429" s="68">
        <f>7.7153 * CHOOSE(CONTROL!$C$22, $C$13, 100%, $E$13)</f>
        <v>7.7153</v>
      </c>
    </row>
    <row r="430" spans="1:11" ht="15">
      <c r="A430" s="13">
        <v>54210</v>
      </c>
      <c r="B430" s="67">
        <f>6.3368 * CHOOSE(CONTROL!$C$22, $C$13, 100%, $E$13)</f>
        <v>6.3368000000000002</v>
      </c>
      <c r="C430" s="67">
        <f>6.3368 * CHOOSE(CONTROL!$C$22, $C$13, 100%, $E$13)</f>
        <v>6.3368000000000002</v>
      </c>
      <c r="D430" s="67">
        <f>6.3394 * CHOOSE(CONTROL!$C$22, $C$13, 100%, $E$13)</f>
        <v>6.3394000000000004</v>
      </c>
      <c r="E430" s="68">
        <f>7.6773 * CHOOSE(CONTROL!$C$22, $C$13, 100%, $E$13)</f>
        <v>7.6772999999999998</v>
      </c>
      <c r="F430" s="68">
        <f>7.6773 * CHOOSE(CONTROL!$C$22, $C$13, 100%, $E$13)</f>
        <v>7.6772999999999998</v>
      </c>
      <c r="G430" s="68">
        <f>7.6805 * CHOOSE(CONTROL!$C$22, $C$13, 100%, $E$13)</f>
        <v>7.6805000000000003</v>
      </c>
      <c r="H430" s="68">
        <f>12.3324* CHOOSE(CONTROL!$C$22, $C$13, 100%, $E$13)</f>
        <v>12.3324</v>
      </c>
      <c r="I430" s="68">
        <f>12.3356 * CHOOSE(CONTROL!$C$22, $C$13, 100%, $E$13)</f>
        <v>12.335599999999999</v>
      </c>
      <c r="J430" s="68">
        <f>7.6773 * CHOOSE(CONTROL!$C$22, $C$13, 100%, $E$13)</f>
        <v>7.6772999999999998</v>
      </c>
      <c r="K430" s="68">
        <f>7.6805 * CHOOSE(CONTROL!$C$22, $C$13, 100%, $E$13)</f>
        <v>7.6805000000000003</v>
      </c>
    </row>
    <row r="431" spans="1:11" ht="15">
      <c r="A431" s="13">
        <v>54240</v>
      </c>
      <c r="B431" s="67">
        <f>6.4385 * CHOOSE(CONTROL!$C$22, $C$13, 100%, $E$13)</f>
        <v>6.4385000000000003</v>
      </c>
      <c r="C431" s="67">
        <f>6.4385 * CHOOSE(CONTROL!$C$22, $C$13, 100%, $E$13)</f>
        <v>6.4385000000000003</v>
      </c>
      <c r="D431" s="67">
        <f>6.4411 * CHOOSE(CONTROL!$C$22, $C$13, 100%, $E$13)</f>
        <v>6.4410999999999996</v>
      </c>
      <c r="E431" s="68">
        <f>7.8054 * CHOOSE(CONTROL!$C$22, $C$13, 100%, $E$13)</f>
        <v>7.8053999999999997</v>
      </c>
      <c r="F431" s="68">
        <f>7.8054 * CHOOSE(CONTROL!$C$22, $C$13, 100%, $E$13)</f>
        <v>7.8053999999999997</v>
      </c>
      <c r="G431" s="68">
        <f>7.8087 * CHOOSE(CONTROL!$C$22, $C$13, 100%, $E$13)</f>
        <v>7.8087</v>
      </c>
      <c r="H431" s="68">
        <f>12.3581* CHOOSE(CONTROL!$C$22, $C$13, 100%, $E$13)</f>
        <v>12.3581</v>
      </c>
      <c r="I431" s="68">
        <f>12.3613 * CHOOSE(CONTROL!$C$22, $C$13, 100%, $E$13)</f>
        <v>12.3613</v>
      </c>
      <c r="J431" s="68">
        <f>7.8054 * CHOOSE(CONTROL!$C$22, $C$13, 100%, $E$13)</f>
        <v>7.8053999999999997</v>
      </c>
      <c r="K431" s="68">
        <f>7.8087 * CHOOSE(CONTROL!$C$22, $C$13, 100%, $E$13)</f>
        <v>7.8087</v>
      </c>
    </row>
    <row r="432" spans="1:11" ht="15">
      <c r="A432" s="13">
        <v>54271</v>
      </c>
      <c r="B432" s="67">
        <f>6.4451 * CHOOSE(CONTROL!$C$22, $C$13, 100%, $E$13)</f>
        <v>6.4451000000000001</v>
      </c>
      <c r="C432" s="67">
        <f>6.4451 * CHOOSE(CONTROL!$C$22, $C$13, 100%, $E$13)</f>
        <v>6.4451000000000001</v>
      </c>
      <c r="D432" s="67">
        <f>6.4478 * CHOOSE(CONTROL!$C$22, $C$13, 100%, $E$13)</f>
        <v>6.4478</v>
      </c>
      <c r="E432" s="68">
        <f>7.6932 * CHOOSE(CONTROL!$C$22, $C$13, 100%, $E$13)</f>
        <v>7.6932</v>
      </c>
      <c r="F432" s="68">
        <f>7.6932 * CHOOSE(CONTROL!$C$22, $C$13, 100%, $E$13)</f>
        <v>7.6932</v>
      </c>
      <c r="G432" s="68">
        <f>7.6964 * CHOOSE(CONTROL!$C$22, $C$13, 100%, $E$13)</f>
        <v>7.6963999999999997</v>
      </c>
      <c r="H432" s="68">
        <f>12.3838* CHOOSE(CONTROL!$C$22, $C$13, 100%, $E$13)</f>
        <v>12.383800000000001</v>
      </c>
      <c r="I432" s="68">
        <f>12.3871 * CHOOSE(CONTROL!$C$22, $C$13, 100%, $E$13)</f>
        <v>12.3871</v>
      </c>
      <c r="J432" s="68">
        <f>7.6932 * CHOOSE(CONTROL!$C$22, $C$13, 100%, $E$13)</f>
        <v>7.6932</v>
      </c>
      <c r="K432" s="68">
        <f>7.6964 * CHOOSE(CONTROL!$C$22, $C$13, 100%, $E$13)</f>
        <v>7.6963999999999997</v>
      </c>
    </row>
    <row r="433" spans="1:11" ht="15">
      <c r="A433" s="13">
        <v>54302</v>
      </c>
      <c r="B433" s="67">
        <f>6.4421 * CHOOSE(CONTROL!$C$22, $C$13, 100%, $E$13)</f>
        <v>6.4420999999999999</v>
      </c>
      <c r="C433" s="67">
        <f>6.4421 * CHOOSE(CONTROL!$C$22, $C$13, 100%, $E$13)</f>
        <v>6.4420999999999999</v>
      </c>
      <c r="D433" s="67">
        <f>6.4447 * CHOOSE(CONTROL!$C$22, $C$13, 100%, $E$13)</f>
        <v>6.4447000000000001</v>
      </c>
      <c r="E433" s="68">
        <f>7.678 * CHOOSE(CONTROL!$C$22, $C$13, 100%, $E$13)</f>
        <v>7.6779999999999999</v>
      </c>
      <c r="F433" s="68">
        <f>7.678 * CHOOSE(CONTROL!$C$22, $C$13, 100%, $E$13)</f>
        <v>7.6779999999999999</v>
      </c>
      <c r="G433" s="68">
        <f>7.6813 * CHOOSE(CONTROL!$C$22, $C$13, 100%, $E$13)</f>
        <v>7.6813000000000002</v>
      </c>
      <c r="H433" s="68">
        <f>12.4096* CHOOSE(CONTROL!$C$22, $C$13, 100%, $E$13)</f>
        <v>12.409599999999999</v>
      </c>
      <c r="I433" s="68">
        <f>12.4129 * CHOOSE(CONTROL!$C$22, $C$13, 100%, $E$13)</f>
        <v>12.4129</v>
      </c>
      <c r="J433" s="68">
        <f>7.678 * CHOOSE(CONTROL!$C$22, $C$13, 100%, $E$13)</f>
        <v>7.6779999999999999</v>
      </c>
      <c r="K433" s="68">
        <f>7.6813 * CHOOSE(CONTROL!$C$22, $C$13, 100%, $E$13)</f>
        <v>7.6813000000000002</v>
      </c>
    </row>
    <row r="434" spans="1:11" ht="15">
      <c r="A434" s="13">
        <v>54332</v>
      </c>
      <c r="B434" s="67">
        <f>6.4452 * CHOOSE(CONTROL!$C$22, $C$13, 100%, $E$13)</f>
        <v>6.4451999999999998</v>
      </c>
      <c r="C434" s="67">
        <f>6.4452 * CHOOSE(CONTROL!$C$22, $C$13, 100%, $E$13)</f>
        <v>6.4451999999999998</v>
      </c>
      <c r="D434" s="67">
        <f>6.4462 * CHOOSE(CONTROL!$C$22, $C$13, 100%, $E$13)</f>
        <v>6.4462000000000002</v>
      </c>
      <c r="E434" s="68">
        <f>7.7166 * CHOOSE(CONTROL!$C$22, $C$13, 100%, $E$13)</f>
        <v>7.7165999999999997</v>
      </c>
      <c r="F434" s="68">
        <f>7.7166 * CHOOSE(CONTROL!$C$22, $C$13, 100%, $E$13)</f>
        <v>7.7165999999999997</v>
      </c>
      <c r="G434" s="68">
        <f>7.7179 * CHOOSE(CONTROL!$C$22, $C$13, 100%, $E$13)</f>
        <v>7.7179000000000002</v>
      </c>
      <c r="H434" s="68">
        <f>12.4355* CHOOSE(CONTROL!$C$22, $C$13, 100%, $E$13)</f>
        <v>12.435499999999999</v>
      </c>
      <c r="I434" s="68">
        <f>12.4368 * CHOOSE(CONTROL!$C$22, $C$13, 100%, $E$13)</f>
        <v>12.4368</v>
      </c>
      <c r="J434" s="68">
        <f>7.7166 * CHOOSE(CONTROL!$C$22, $C$13, 100%, $E$13)</f>
        <v>7.7165999999999997</v>
      </c>
      <c r="K434" s="68">
        <f>7.7179 * CHOOSE(CONTROL!$C$22, $C$13, 100%, $E$13)</f>
        <v>7.7179000000000002</v>
      </c>
    </row>
    <row r="435" spans="1:11" ht="15">
      <c r="A435" s="13">
        <v>54363</v>
      </c>
      <c r="B435" s="67">
        <f>6.4483 * CHOOSE(CONTROL!$C$22, $C$13, 100%, $E$13)</f>
        <v>6.4482999999999997</v>
      </c>
      <c r="C435" s="67">
        <f>6.4483 * CHOOSE(CONTROL!$C$22, $C$13, 100%, $E$13)</f>
        <v>6.4482999999999997</v>
      </c>
      <c r="D435" s="67">
        <f>6.4493 * CHOOSE(CONTROL!$C$22, $C$13, 100%, $E$13)</f>
        <v>6.4493</v>
      </c>
      <c r="E435" s="68">
        <f>7.7447 * CHOOSE(CONTROL!$C$22, $C$13, 100%, $E$13)</f>
        <v>7.7446999999999999</v>
      </c>
      <c r="F435" s="68">
        <f>7.7447 * CHOOSE(CONTROL!$C$22, $C$13, 100%, $E$13)</f>
        <v>7.7446999999999999</v>
      </c>
      <c r="G435" s="68">
        <f>7.746 * CHOOSE(CONTROL!$C$22, $C$13, 100%, $E$13)</f>
        <v>7.7460000000000004</v>
      </c>
      <c r="H435" s="68">
        <f>12.4614* CHOOSE(CONTROL!$C$22, $C$13, 100%, $E$13)</f>
        <v>12.461399999999999</v>
      </c>
      <c r="I435" s="68">
        <f>12.4627 * CHOOSE(CONTROL!$C$22, $C$13, 100%, $E$13)</f>
        <v>12.4627</v>
      </c>
      <c r="J435" s="68">
        <f>7.7447 * CHOOSE(CONTROL!$C$22, $C$13, 100%, $E$13)</f>
        <v>7.7446999999999999</v>
      </c>
      <c r="K435" s="68">
        <f>7.746 * CHOOSE(CONTROL!$C$22, $C$13, 100%, $E$13)</f>
        <v>7.7460000000000004</v>
      </c>
    </row>
    <row r="436" spans="1:11" ht="15">
      <c r="A436" s="13">
        <v>54393</v>
      </c>
      <c r="B436" s="67">
        <f>6.4483 * CHOOSE(CONTROL!$C$22, $C$13, 100%, $E$13)</f>
        <v>6.4482999999999997</v>
      </c>
      <c r="C436" s="67">
        <f>6.4483 * CHOOSE(CONTROL!$C$22, $C$13, 100%, $E$13)</f>
        <v>6.4482999999999997</v>
      </c>
      <c r="D436" s="67">
        <f>6.4493 * CHOOSE(CONTROL!$C$22, $C$13, 100%, $E$13)</f>
        <v>6.4493</v>
      </c>
      <c r="E436" s="68">
        <f>7.6797 * CHOOSE(CONTROL!$C$22, $C$13, 100%, $E$13)</f>
        <v>7.6797000000000004</v>
      </c>
      <c r="F436" s="68">
        <f>7.6797 * CHOOSE(CONTROL!$C$22, $C$13, 100%, $E$13)</f>
        <v>7.6797000000000004</v>
      </c>
      <c r="G436" s="68">
        <f>7.681 * CHOOSE(CONTROL!$C$22, $C$13, 100%, $E$13)</f>
        <v>7.681</v>
      </c>
      <c r="H436" s="68">
        <f>12.4873* CHOOSE(CONTROL!$C$22, $C$13, 100%, $E$13)</f>
        <v>12.487299999999999</v>
      </c>
      <c r="I436" s="68">
        <f>12.4886 * CHOOSE(CONTROL!$C$22, $C$13, 100%, $E$13)</f>
        <v>12.4886</v>
      </c>
      <c r="J436" s="68">
        <f>7.6797 * CHOOSE(CONTROL!$C$22, $C$13, 100%, $E$13)</f>
        <v>7.6797000000000004</v>
      </c>
      <c r="K436" s="68">
        <f>7.681 * CHOOSE(CONTROL!$C$22, $C$13, 100%, $E$13)</f>
        <v>7.681</v>
      </c>
    </row>
    <row r="437" spans="1:11" ht="15">
      <c r="A437" s="13">
        <v>54424</v>
      </c>
      <c r="B437" s="67">
        <f>6.5044 * CHOOSE(CONTROL!$C$22, $C$13, 100%, $E$13)</f>
        <v>6.5044000000000004</v>
      </c>
      <c r="C437" s="67">
        <f>6.5044 * CHOOSE(CONTROL!$C$22, $C$13, 100%, $E$13)</f>
        <v>6.5044000000000004</v>
      </c>
      <c r="D437" s="67">
        <f>6.5054 * CHOOSE(CONTROL!$C$22, $C$13, 100%, $E$13)</f>
        <v>6.5053999999999998</v>
      </c>
      <c r="E437" s="68">
        <f>7.7893 * CHOOSE(CONTROL!$C$22, $C$13, 100%, $E$13)</f>
        <v>7.7892999999999999</v>
      </c>
      <c r="F437" s="68">
        <f>7.7893 * CHOOSE(CONTROL!$C$22, $C$13, 100%, $E$13)</f>
        <v>7.7892999999999999</v>
      </c>
      <c r="G437" s="68">
        <f>7.7906 * CHOOSE(CONTROL!$C$22, $C$13, 100%, $E$13)</f>
        <v>7.7906000000000004</v>
      </c>
      <c r="H437" s="68">
        <f>12.5134* CHOOSE(CONTROL!$C$22, $C$13, 100%, $E$13)</f>
        <v>12.513400000000001</v>
      </c>
      <c r="I437" s="68">
        <f>12.5146 * CHOOSE(CONTROL!$C$22, $C$13, 100%, $E$13)</f>
        <v>12.5146</v>
      </c>
      <c r="J437" s="68">
        <f>7.7893 * CHOOSE(CONTROL!$C$22, $C$13, 100%, $E$13)</f>
        <v>7.7892999999999999</v>
      </c>
      <c r="K437" s="68">
        <f>7.7906 * CHOOSE(CONTROL!$C$22, $C$13, 100%, $E$13)</f>
        <v>7.7906000000000004</v>
      </c>
    </row>
    <row r="438" spans="1:11" ht="15">
      <c r="A438" s="13">
        <v>54455</v>
      </c>
      <c r="B438" s="67">
        <f>6.5014 * CHOOSE(CONTROL!$C$22, $C$13, 100%, $E$13)</f>
        <v>6.5014000000000003</v>
      </c>
      <c r="C438" s="67">
        <f>6.5014 * CHOOSE(CONTROL!$C$22, $C$13, 100%, $E$13)</f>
        <v>6.5014000000000003</v>
      </c>
      <c r="D438" s="67">
        <f>6.5024 * CHOOSE(CONTROL!$C$22, $C$13, 100%, $E$13)</f>
        <v>6.5023999999999997</v>
      </c>
      <c r="E438" s="68">
        <f>7.661 * CHOOSE(CONTROL!$C$22, $C$13, 100%, $E$13)</f>
        <v>7.6609999999999996</v>
      </c>
      <c r="F438" s="68">
        <f>7.661 * CHOOSE(CONTROL!$C$22, $C$13, 100%, $E$13)</f>
        <v>7.6609999999999996</v>
      </c>
      <c r="G438" s="68">
        <f>7.6623 * CHOOSE(CONTROL!$C$22, $C$13, 100%, $E$13)</f>
        <v>7.6623000000000001</v>
      </c>
      <c r="H438" s="68">
        <f>12.5394* CHOOSE(CONTROL!$C$22, $C$13, 100%, $E$13)</f>
        <v>12.539400000000001</v>
      </c>
      <c r="I438" s="68">
        <f>12.5407 * CHOOSE(CONTROL!$C$22, $C$13, 100%, $E$13)</f>
        <v>12.540699999999999</v>
      </c>
      <c r="J438" s="68">
        <f>7.661 * CHOOSE(CONTROL!$C$22, $C$13, 100%, $E$13)</f>
        <v>7.6609999999999996</v>
      </c>
      <c r="K438" s="68">
        <f>7.6623 * CHOOSE(CONTROL!$C$22, $C$13, 100%, $E$13)</f>
        <v>7.6623000000000001</v>
      </c>
    </row>
    <row r="439" spans="1:11" ht="15">
      <c r="A439" s="13">
        <v>54483</v>
      </c>
      <c r="B439" s="67">
        <f>6.4984 * CHOOSE(CONTROL!$C$22, $C$13, 100%, $E$13)</f>
        <v>6.4984000000000002</v>
      </c>
      <c r="C439" s="67">
        <f>6.4984 * CHOOSE(CONTROL!$C$22, $C$13, 100%, $E$13)</f>
        <v>6.4984000000000002</v>
      </c>
      <c r="D439" s="67">
        <f>6.4993 * CHOOSE(CONTROL!$C$22, $C$13, 100%, $E$13)</f>
        <v>6.4992999999999999</v>
      </c>
      <c r="E439" s="68">
        <f>7.7584 * CHOOSE(CONTROL!$C$22, $C$13, 100%, $E$13)</f>
        <v>7.7584</v>
      </c>
      <c r="F439" s="68">
        <f>7.7584 * CHOOSE(CONTROL!$C$22, $C$13, 100%, $E$13)</f>
        <v>7.7584</v>
      </c>
      <c r="G439" s="68">
        <f>7.7597 * CHOOSE(CONTROL!$C$22, $C$13, 100%, $E$13)</f>
        <v>7.7596999999999996</v>
      </c>
      <c r="H439" s="68">
        <f>12.5656* CHOOSE(CONTROL!$C$22, $C$13, 100%, $E$13)</f>
        <v>12.5656</v>
      </c>
      <c r="I439" s="68">
        <f>12.5668 * CHOOSE(CONTROL!$C$22, $C$13, 100%, $E$13)</f>
        <v>12.566800000000001</v>
      </c>
      <c r="J439" s="68">
        <f>7.7584 * CHOOSE(CONTROL!$C$22, $C$13, 100%, $E$13)</f>
        <v>7.7584</v>
      </c>
      <c r="K439" s="68">
        <f>7.7597 * CHOOSE(CONTROL!$C$22, $C$13, 100%, $E$13)</f>
        <v>7.7596999999999996</v>
      </c>
    </row>
    <row r="440" spans="1:11" ht="15">
      <c r="A440" s="13">
        <v>54514</v>
      </c>
      <c r="B440" s="67">
        <f>6.4982 * CHOOSE(CONTROL!$C$22, $C$13, 100%, $E$13)</f>
        <v>6.4981999999999998</v>
      </c>
      <c r="C440" s="67">
        <f>6.4982 * CHOOSE(CONTROL!$C$22, $C$13, 100%, $E$13)</f>
        <v>6.4981999999999998</v>
      </c>
      <c r="D440" s="67">
        <f>6.4991 * CHOOSE(CONTROL!$C$22, $C$13, 100%, $E$13)</f>
        <v>6.4991000000000003</v>
      </c>
      <c r="E440" s="68">
        <f>7.861 * CHOOSE(CONTROL!$C$22, $C$13, 100%, $E$13)</f>
        <v>7.8609999999999998</v>
      </c>
      <c r="F440" s="68">
        <f>7.861 * CHOOSE(CONTROL!$C$22, $C$13, 100%, $E$13)</f>
        <v>7.8609999999999998</v>
      </c>
      <c r="G440" s="68">
        <f>7.8623 * CHOOSE(CONTROL!$C$22, $C$13, 100%, $E$13)</f>
        <v>7.8623000000000003</v>
      </c>
      <c r="H440" s="68">
        <f>12.5917* CHOOSE(CONTROL!$C$22, $C$13, 100%, $E$13)</f>
        <v>12.591699999999999</v>
      </c>
      <c r="I440" s="68">
        <f>12.593 * CHOOSE(CONTROL!$C$22, $C$13, 100%, $E$13)</f>
        <v>12.593</v>
      </c>
      <c r="J440" s="68">
        <f>7.861 * CHOOSE(CONTROL!$C$22, $C$13, 100%, $E$13)</f>
        <v>7.8609999999999998</v>
      </c>
      <c r="K440" s="68">
        <f>7.8623 * CHOOSE(CONTROL!$C$22, $C$13, 100%, $E$13)</f>
        <v>7.8623000000000003</v>
      </c>
    </row>
    <row r="441" spans="1:11" ht="15">
      <c r="A441" s="13">
        <v>54544</v>
      </c>
      <c r="B441" s="67">
        <f>6.4982 * CHOOSE(CONTROL!$C$22, $C$13, 100%, $E$13)</f>
        <v>6.4981999999999998</v>
      </c>
      <c r="C441" s="67">
        <f>6.4982 * CHOOSE(CONTROL!$C$22, $C$13, 100%, $E$13)</f>
        <v>6.4981999999999998</v>
      </c>
      <c r="D441" s="67">
        <f>6.5008 * CHOOSE(CONTROL!$C$22, $C$13, 100%, $E$13)</f>
        <v>6.5007999999999999</v>
      </c>
      <c r="E441" s="68">
        <f>7.9011 * CHOOSE(CONTROL!$C$22, $C$13, 100%, $E$13)</f>
        <v>7.9010999999999996</v>
      </c>
      <c r="F441" s="68">
        <f>7.9011 * CHOOSE(CONTROL!$C$22, $C$13, 100%, $E$13)</f>
        <v>7.9010999999999996</v>
      </c>
      <c r="G441" s="68">
        <f>7.9044 * CHOOSE(CONTROL!$C$22, $C$13, 100%, $E$13)</f>
        <v>7.9043999999999999</v>
      </c>
      <c r="H441" s="68">
        <f>12.618* CHOOSE(CONTROL!$C$22, $C$13, 100%, $E$13)</f>
        <v>12.618</v>
      </c>
      <c r="I441" s="68">
        <f>12.6212 * CHOOSE(CONTROL!$C$22, $C$13, 100%, $E$13)</f>
        <v>12.6212</v>
      </c>
      <c r="J441" s="68">
        <f>7.9011 * CHOOSE(CONTROL!$C$22, $C$13, 100%, $E$13)</f>
        <v>7.9010999999999996</v>
      </c>
      <c r="K441" s="68">
        <f>7.9044 * CHOOSE(CONTROL!$C$22, $C$13, 100%, $E$13)</f>
        <v>7.9043999999999999</v>
      </c>
    </row>
    <row r="442" spans="1:11" ht="15">
      <c r="A442" s="13">
        <v>54575</v>
      </c>
      <c r="B442" s="67">
        <f>6.5042 * CHOOSE(CONTROL!$C$22, $C$13, 100%, $E$13)</f>
        <v>6.5042</v>
      </c>
      <c r="C442" s="67">
        <f>6.5042 * CHOOSE(CONTROL!$C$22, $C$13, 100%, $E$13)</f>
        <v>6.5042</v>
      </c>
      <c r="D442" s="67">
        <f>6.5069 * CHOOSE(CONTROL!$C$22, $C$13, 100%, $E$13)</f>
        <v>6.5068999999999999</v>
      </c>
      <c r="E442" s="68">
        <f>7.8653 * CHOOSE(CONTROL!$C$22, $C$13, 100%, $E$13)</f>
        <v>7.8653000000000004</v>
      </c>
      <c r="F442" s="68">
        <f>7.8653 * CHOOSE(CONTROL!$C$22, $C$13, 100%, $E$13)</f>
        <v>7.8653000000000004</v>
      </c>
      <c r="G442" s="68">
        <f>7.8685 * CHOOSE(CONTROL!$C$22, $C$13, 100%, $E$13)</f>
        <v>7.8685</v>
      </c>
      <c r="H442" s="68">
        <f>12.6443* CHOOSE(CONTROL!$C$22, $C$13, 100%, $E$13)</f>
        <v>12.644299999999999</v>
      </c>
      <c r="I442" s="68">
        <f>12.6475 * CHOOSE(CONTROL!$C$22, $C$13, 100%, $E$13)</f>
        <v>12.647500000000001</v>
      </c>
      <c r="J442" s="68">
        <f>7.8653 * CHOOSE(CONTROL!$C$22, $C$13, 100%, $E$13)</f>
        <v>7.8653000000000004</v>
      </c>
      <c r="K442" s="68">
        <f>7.8685 * CHOOSE(CONTROL!$C$22, $C$13, 100%, $E$13)</f>
        <v>7.8685</v>
      </c>
    </row>
    <row r="443" spans="1:11" ht="15">
      <c r="A443" s="13">
        <v>54605</v>
      </c>
      <c r="B443" s="67">
        <f>6.6083 * CHOOSE(CONTROL!$C$22, $C$13, 100%, $E$13)</f>
        <v>6.6082999999999998</v>
      </c>
      <c r="C443" s="67">
        <f>6.6083 * CHOOSE(CONTROL!$C$22, $C$13, 100%, $E$13)</f>
        <v>6.6082999999999998</v>
      </c>
      <c r="D443" s="67">
        <f>6.6109 * CHOOSE(CONTROL!$C$22, $C$13, 100%, $E$13)</f>
        <v>6.6109</v>
      </c>
      <c r="E443" s="68">
        <f>7.9963 * CHOOSE(CONTROL!$C$22, $C$13, 100%, $E$13)</f>
        <v>7.9962999999999997</v>
      </c>
      <c r="F443" s="68">
        <f>7.9963 * CHOOSE(CONTROL!$C$22, $C$13, 100%, $E$13)</f>
        <v>7.9962999999999997</v>
      </c>
      <c r="G443" s="68">
        <f>7.9996 * CHOOSE(CONTROL!$C$22, $C$13, 100%, $E$13)</f>
        <v>7.9996</v>
      </c>
      <c r="H443" s="68">
        <f>12.6706* CHOOSE(CONTROL!$C$22, $C$13, 100%, $E$13)</f>
        <v>12.6706</v>
      </c>
      <c r="I443" s="68">
        <f>12.6739 * CHOOSE(CONTROL!$C$22, $C$13, 100%, $E$13)</f>
        <v>12.6739</v>
      </c>
      <c r="J443" s="68">
        <f>7.9963 * CHOOSE(CONTROL!$C$22, $C$13, 100%, $E$13)</f>
        <v>7.9962999999999997</v>
      </c>
      <c r="K443" s="68">
        <f>7.9996 * CHOOSE(CONTROL!$C$22, $C$13, 100%, $E$13)</f>
        <v>7.9996</v>
      </c>
    </row>
    <row r="444" spans="1:11" ht="15">
      <c r="A444" s="13">
        <v>54636</v>
      </c>
      <c r="B444" s="67">
        <f>6.615 * CHOOSE(CONTROL!$C$22, $C$13, 100%, $E$13)</f>
        <v>6.6150000000000002</v>
      </c>
      <c r="C444" s="67">
        <f>6.615 * CHOOSE(CONTROL!$C$22, $C$13, 100%, $E$13)</f>
        <v>6.6150000000000002</v>
      </c>
      <c r="D444" s="67">
        <f>6.6176 * CHOOSE(CONTROL!$C$22, $C$13, 100%, $E$13)</f>
        <v>6.6176000000000004</v>
      </c>
      <c r="E444" s="68">
        <f>7.8807 * CHOOSE(CONTROL!$C$22, $C$13, 100%, $E$13)</f>
        <v>7.8807</v>
      </c>
      <c r="F444" s="68">
        <f>7.8807 * CHOOSE(CONTROL!$C$22, $C$13, 100%, $E$13)</f>
        <v>7.8807</v>
      </c>
      <c r="G444" s="68">
        <f>7.884 * CHOOSE(CONTROL!$C$22, $C$13, 100%, $E$13)</f>
        <v>7.8840000000000003</v>
      </c>
      <c r="H444" s="68">
        <f>12.697* CHOOSE(CONTROL!$C$22, $C$13, 100%, $E$13)</f>
        <v>12.696999999999999</v>
      </c>
      <c r="I444" s="68">
        <f>12.7002 * CHOOSE(CONTROL!$C$22, $C$13, 100%, $E$13)</f>
        <v>12.700200000000001</v>
      </c>
      <c r="J444" s="68">
        <f>7.8807 * CHOOSE(CONTROL!$C$22, $C$13, 100%, $E$13)</f>
        <v>7.8807</v>
      </c>
      <c r="K444" s="68">
        <f>7.884 * CHOOSE(CONTROL!$C$22, $C$13, 100%, $E$13)</f>
        <v>7.8840000000000003</v>
      </c>
    </row>
    <row r="445" spans="1:11" ht="15">
      <c r="A445" s="13">
        <v>54667</v>
      </c>
      <c r="B445" s="67">
        <f>6.6119 * CHOOSE(CONTROL!$C$22, $C$13, 100%, $E$13)</f>
        <v>6.6119000000000003</v>
      </c>
      <c r="C445" s="67">
        <f>6.6119 * CHOOSE(CONTROL!$C$22, $C$13, 100%, $E$13)</f>
        <v>6.6119000000000003</v>
      </c>
      <c r="D445" s="67">
        <f>6.6145 * CHOOSE(CONTROL!$C$22, $C$13, 100%, $E$13)</f>
        <v>6.6144999999999996</v>
      </c>
      <c r="E445" s="68">
        <f>7.8653 * CHOOSE(CONTROL!$C$22, $C$13, 100%, $E$13)</f>
        <v>7.8653000000000004</v>
      </c>
      <c r="F445" s="68">
        <f>7.8653 * CHOOSE(CONTROL!$C$22, $C$13, 100%, $E$13)</f>
        <v>7.8653000000000004</v>
      </c>
      <c r="G445" s="68">
        <f>7.8685 * CHOOSE(CONTROL!$C$22, $C$13, 100%, $E$13)</f>
        <v>7.8685</v>
      </c>
      <c r="H445" s="68">
        <f>12.7234* CHOOSE(CONTROL!$C$22, $C$13, 100%, $E$13)</f>
        <v>12.7234</v>
      </c>
      <c r="I445" s="68">
        <f>12.7267 * CHOOSE(CONTROL!$C$22, $C$13, 100%, $E$13)</f>
        <v>12.726699999999999</v>
      </c>
      <c r="J445" s="68">
        <f>7.8653 * CHOOSE(CONTROL!$C$22, $C$13, 100%, $E$13)</f>
        <v>7.8653000000000004</v>
      </c>
      <c r="K445" s="68">
        <f>7.8685 * CHOOSE(CONTROL!$C$22, $C$13, 100%, $E$13)</f>
        <v>7.8685</v>
      </c>
    </row>
    <row r="446" spans="1:11" ht="15">
      <c r="A446" s="13">
        <v>54697</v>
      </c>
      <c r="B446" s="67">
        <f>6.6156 * CHOOSE(CONTROL!$C$22, $C$13, 100%, $E$13)</f>
        <v>6.6155999999999997</v>
      </c>
      <c r="C446" s="67">
        <f>6.6156 * CHOOSE(CONTROL!$C$22, $C$13, 100%, $E$13)</f>
        <v>6.6155999999999997</v>
      </c>
      <c r="D446" s="67">
        <f>6.6166 * CHOOSE(CONTROL!$C$22, $C$13, 100%, $E$13)</f>
        <v>6.6166</v>
      </c>
      <c r="E446" s="68">
        <f>7.9053 * CHOOSE(CONTROL!$C$22, $C$13, 100%, $E$13)</f>
        <v>7.9053000000000004</v>
      </c>
      <c r="F446" s="68">
        <f>7.9053 * CHOOSE(CONTROL!$C$22, $C$13, 100%, $E$13)</f>
        <v>7.9053000000000004</v>
      </c>
      <c r="G446" s="68">
        <f>7.9066 * CHOOSE(CONTROL!$C$22, $C$13, 100%, $E$13)</f>
        <v>7.9066000000000001</v>
      </c>
      <c r="H446" s="68">
        <f>12.75* CHOOSE(CONTROL!$C$22, $C$13, 100%, $E$13)</f>
        <v>12.75</v>
      </c>
      <c r="I446" s="68">
        <f>12.7512 * CHOOSE(CONTROL!$C$22, $C$13, 100%, $E$13)</f>
        <v>12.751200000000001</v>
      </c>
      <c r="J446" s="68">
        <f>7.9053 * CHOOSE(CONTROL!$C$22, $C$13, 100%, $E$13)</f>
        <v>7.9053000000000004</v>
      </c>
      <c r="K446" s="68">
        <f>7.9066 * CHOOSE(CONTROL!$C$22, $C$13, 100%, $E$13)</f>
        <v>7.9066000000000001</v>
      </c>
    </row>
    <row r="447" spans="1:11" ht="15">
      <c r="A447" s="13">
        <v>54728</v>
      </c>
      <c r="B447" s="67">
        <f>6.6186 * CHOOSE(CONTROL!$C$22, $C$13, 100%, $E$13)</f>
        <v>6.6185999999999998</v>
      </c>
      <c r="C447" s="67">
        <f>6.6186 * CHOOSE(CONTROL!$C$22, $C$13, 100%, $E$13)</f>
        <v>6.6185999999999998</v>
      </c>
      <c r="D447" s="67">
        <f>6.6196 * CHOOSE(CONTROL!$C$22, $C$13, 100%, $E$13)</f>
        <v>6.6196000000000002</v>
      </c>
      <c r="E447" s="68">
        <f>7.9341 * CHOOSE(CONTROL!$C$22, $C$13, 100%, $E$13)</f>
        <v>7.9340999999999999</v>
      </c>
      <c r="F447" s="68">
        <f>7.9341 * CHOOSE(CONTROL!$C$22, $C$13, 100%, $E$13)</f>
        <v>7.9340999999999999</v>
      </c>
      <c r="G447" s="68">
        <f>7.9354 * CHOOSE(CONTROL!$C$22, $C$13, 100%, $E$13)</f>
        <v>7.9353999999999996</v>
      </c>
      <c r="H447" s="68">
        <f>12.7765* CHOOSE(CONTROL!$C$22, $C$13, 100%, $E$13)</f>
        <v>12.7765</v>
      </c>
      <c r="I447" s="68">
        <f>12.7778 * CHOOSE(CONTROL!$C$22, $C$13, 100%, $E$13)</f>
        <v>12.777799999999999</v>
      </c>
      <c r="J447" s="68">
        <f>7.9341 * CHOOSE(CONTROL!$C$22, $C$13, 100%, $E$13)</f>
        <v>7.9340999999999999</v>
      </c>
      <c r="K447" s="68">
        <f>7.9354 * CHOOSE(CONTROL!$C$22, $C$13, 100%, $E$13)</f>
        <v>7.9353999999999996</v>
      </c>
    </row>
    <row r="448" spans="1:11" ht="15">
      <c r="A448" s="13">
        <v>54758</v>
      </c>
      <c r="B448" s="67">
        <f>6.6186 * CHOOSE(CONTROL!$C$22, $C$13, 100%, $E$13)</f>
        <v>6.6185999999999998</v>
      </c>
      <c r="C448" s="67">
        <f>6.6186 * CHOOSE(CONTROL!$C$22, $C$13, 100%, $E$13)</f>
        <v>6.6185999999999998</v>
      </c>
      <c r="D448" s="67">
        <f>6.6196 * CHOOSE(CONTROL!$C$22, $C$13, 100%, $E$13)</f>
        <v>6.6196000000000002</v>
      </c>
      <c r="E448" s="68">
        <f>7.8673 * CHOOSE(CONTROL!$C$22, $C$13, 100%, $E$13)</f>
        <v>7.8673000000000002</v>
      </c>
      <c r="F448" s="68">
        <f>7.8673 * CHOOSE(CONTROL!$C$22, $C$13, 100%, $E$13)</f>
        <v>7.8673000000000002</v>
      </c>
      <c r="G448" s="68">
        <f>7.8686 * CHOOSE(CONTROL!$C$22, $C$13, 100%, $E$13)</f>
        <v>7.8685999999999998</v>
      </c>
      <c r="H448" s="68">
        <f>12.8031* CHOOSE(CONTROL!$C$22, $C$13, 100%, $E$13)</f>
        <v>12.803100000000001</v>
      </c>
      <c r="I448" s="68">
        <f>12.8044 * CHOOSE(CONTROL!$C$22, $C$13, 100%, $E$13)</f>
        <v>12.804399999999999</v>
      </c>
      <c r="J448" s="68">
        <f>7.8673 * CHOOSE(CONTROL!$C$22, $C$13, 100%, $E$13)</f>
        <v>7.8673000000000002</v>
      </c>
      <c r="K448" s="68">
        <f>7.8686 * CHOOSE(CONTROL!$C$22, $C$13, 100%, $E$13)</f>
        <v>7.8685999999999998</v>
      </c>
    </row>
    <row r="449" spans="1:11" ht="15">
      <c r="A449" s="13">
        <v>54789</v>
      </c>
      <c r="B449" s="67">
        <f>6.6762 * CHOOSE(CONTROL!$C$22, $C$13, 100%, $E$13)</f>
        <v>6.6761999999999997</v>
      </c>
      <c r="C449" s="67">
        <f>6.6762 * CHOOSE(CONTROL!$C$22, $C$13, 100%, $E$13)</f>
        <v>6.6761999999999997</v>
      </c>
      <c r="D449" s="67">
        <f>6.6772 * CHOOSE(CONTROL!$C$22, $C$13, 100%, $E$13)</f>
        <v>6.6772</v>
      </c>
      <c r="E449" s="68">
        <f>7.9797 * CHOOSE(CONTROL!$C$22, $C$13, 100%, $E$13)</f>
        <v>7.9797000000000002</v>
      </c>
      <c r="F449" s="68">
        <f>7.9797 * CHOOSE(CONTROL!$C$22, $C$13, 100%, $E$13)</f>
        <v>7.9797000000000002</v>
      </c>
      <c r="G449" s="68">
        <f>7.981 * CHOOSE(CONTROL!$C$22, $C$13, 100%, $E$13)</f>
        <v>7.9809999999999999</v>
      </c>
      <c r="H449" s="68">
        <f>12.8298* CHOOSE(CONTROL!$C$22, $C$13, 100%, $E$13)</f>
        <v>12.829800000000001</v>
      </c>
      <c r="I449" s="68">
        <f>12.8311 * CHOOSE(CONTROL!$C$22, $C$13, 100%, $E$13)</f>
        <v>12.831099999999999</v>
      </c>
      <c r="J449" s="68">
        <f>7.9797 * CHOOSE(CONTROL!$C$22, $C$13, 100%, $E$13)</f>
        <v>7.9797000000000002</v>
      </c>
      <c r="K449" s="68">
        <f>7.981 * CHOOSE(CONTROL!$C$22, $C$13, 100%, $E$13)</f>
        <v>7.9809999999999999</v>
      </c>
    </row>
    <row r="450" spans="1:11" ht="15">
      <c r="A450" s="13">
        <v>54820</v>
      </c>
      <c r="B450" s="67">
        <f>6.6731 * CHOOSE(CONTROL!$C$22, $C$13, 100%, $E$13)</f>
        <v>6.6730999999999998</v>
      </c>
      <c r="C450" s="67">
        <f>6.6731 * CHOOSE(CONTROL!$C$22, $C$13, 100%, $E$13)</f>
        <v>6.6730999999999998</v>
      </c>
      <c r="D450" s="67">
        <f>6.6741 * CHOOSE(CONTROL!$C$22, $C$13, 100%, $E$13)</f>
        <v>6.6741000000000001</v>
      </c>
      <c r="E450" s="68">
        <f>7.8478 * CHOOSE(CONTROL!$C$22, $C$13, 100%, $E$13)</f>
        <v>7.8478000000000003</v>
      </c>
      <c r="F450" s="68">
        <f>7.8478 * CHOOSE(CONTROL!$C$22, $C$13, 100%, $E$13)</f>
        <v>7.8478000000000003</v>
      </c>
      <c r="G450" s="68">
        <f>7.8491 * CHOOSE(CONTROL!$C$22, $C$13, 100%, $E$13)</f>
        <v>7.8491</v>
      </c>
      <c r="H450" s="68">
        <f>12.8565* CHOOSE(CONTROL!$C$22, $C$13, 100%, $E$13)</f>
        <v>12.8565</v>
      </c>
      <c r="I450" s="68">
        <f>12.8578 * CHOOSE(CONTROL!$C$22, $C$13, 100%, $E$13)</f>
        <v>12.857799999999999</v>
      </c>
      <c r="J450" s="68">
        <f>7.8478 * CHOOSE(CONTROL!$C$22, $C$13, 100%, $E$13)</f>
        <v>7.8478000000000003</v>
      </c>
      <c r="K450" s="68">
        <f>7.8491 * CHOOSE(CONTROL!$C$22, $C$13, 100%, $E$13)</f>
        <v>7.8491</v>
      </c>
    </row>
    <row r="451" spans="1:11" ht="15">
      <c r="A451" s="13">
        <v>54848</v>
      </c>
      <c r="B451" s="67">
        <f>6.6701 * CHOOSE(CONTROL!$C$22, $C$13, 100%, $E$13)</f>
        <v>6.6700999999999997</v>
      </c>
      <c r="C451" s="67">
        <f>6.6701 * CHOOSE(CONTROL!$C$22, $C$13, 100%, $E$13)</f>
        <v>6.6700999999999997</v>
      </c>
      <c r="D451" s="67">
        <f>6.6711 * CHOOSE(CONTROL!$C$22, $C$13, 100%, $E$13)</f>
        <v>6.6711</v>
      </c>
      <c r="E451" s="68">
        <f>7.948 * CHOOSE(CONTROL!$C$22, $C$13, 100%, $E$13)</f>
        <v>7.9480000000000004</v>
      </c>
      <c r="F451" s="68">
        <f>7.948 * CHOOSE(CONTROL!$C$22, $C$13, 100%, $E$13)</f>
        <v>7.9480000000000004</v>
      </c>
      <c r="G451" s="68">
        <f>7.9493 * CHOOSE(CONTROL!$C$22, $C$13, 100%, $E$13)</f>
        <v>7.9493</v>
      </c>
      <c r="H451" s="68">
        <f>12.8833* CHOOSE(CONTROL!$C$22, $C$13, 100%, $E$13)</f>
        <v>12.8833</v>
      </c>
      <c r="I451" s="68">
        <f>12.8846 * CHOOSE(CONTROL!$C$22, $C$13, 100%, $E$13)</f>
        <v>12.884600000000001</v>
      </c>
      <c r="J451" s="68">
        <f>7.948 * CHOOSE(CONTROL!$C$22, $C$13, 100%, $E$13)</f>
        <v>7.9480000000000004</v>
      </c>
      <c r="K451" s="68">
        <f>7.9493 * CHOOSE(CONTROL!$C$22, $C$13, 100%, $E$13)</f>
        <v>7.9493</v>
      </c>
    </row>
    <row r="452" spans="1:11" ht="15">
      <c r="A452" s="13">
        <v>54879</v>
      </c>
      <c r="B452" s="67">
        <f>6.67 * CHOOSE(CONTROL!$C$22, $C$13, 100%, $E$13)</f>
        <v>6.67</v>
      </c>
      <c r="C452" s="67">
        <f>6.67 * CHOOSE(CONTROL!$C$22, $C$13, 100%, $E$13)</f>
        <v>6.67</v>
      </c>
      <c r="D452" s="67">
        <f>6.671 * CHOOSE(CONTROL!$C$22, $C$13, 100%, $E$13)</f>
        <v>6.6710000000000003</v>
      </c>
      <c r="E452" s="68">
        <f>8.0536 * CHOOSE(CONTROL!$C$22, $C$13, 100%, $E$13)</f>
        <v>8.0535999999999994</v>
      </c>
      <c r="F452" s="68">
        <f>8.0536 * CHOOSE(CONTROL!$C$22, $C$13, 100%, $E$13)</f>
        <v>8.0535999999999994</v>
      </c>
      <c r="G452" s="68">
        <f>8.0549 * CHOOSE(CONTROL!$C$22, $C$13, 100%, $E$13)</f>
        <v>8.0548999999999999</v>
      </c>
      <c r="H452" s="68">
        <f>12.9102* CHOOSE(CONTROL!$C$22, $C$13, 100%, $E$13)</f>
        <v>12.9102</v>
      </c>
      <c r="I452" s="68">
        <f>12.9114 * CHOOSE(CONTROL!$C$22, $C$13, 100%, $E$13)</f>
        <v>12.9114</v>
      </c>
      <c r="J452" s="68">
        <f>8.0536 * CHOOSE(CONTROL!$C$22, $C$13, 100%, $E$13)</f>
        <v>8.0535999999999994</v>
      </c>
      <c r="K452" s="68">
        <f>8.0549 * CHOOSE(CONTROL!$C$22, $C$13, 100%, $E$13)</f>
        <v>8.0548999999999999</v>
      </c>
    </row>
    <row r="453" spans="1:11" ht="15">
      <c r="A453" s="13">
        <v>54909</v>
      </c>
      <c r="B453" s="67">
        <f>6.67 * CHOOSE(CONTROL!$C$22, $C$13, 100%, $E$13)</f>
        <v>6.67</v>
      </c>
      <c r="C453" s="67">
        <f>6.67 * CHOOSE(CONTROL!$C$22, $C$13, 100%, $E$13)</f>
        <v>6.67</v>
      </c>
      <c r="D453" s="67">
        <f>6.6727 * CHOOSE(CONTROL!$C$22, $C$13, 100%, $E$13)</f>
        <v>6.6726999999999999</v>
      </c>
      <c r="E453" s="68">
        <f>8.0948 * CHOOSE(CONTROL!$C$22, $C$13, 100%, $E$13)</f>
        <v>8.0947999999999993</v>
      </c>
      <c r="F453" s="68">
        <f>8.0948 * CHOOSE(CONTROL!$C$22, $C$13, 100%, $E$13)</f>
        <v>8.0947999999999993</v>
      </c>
      <c r="G453" s="68">
        <f>8.0981 * CHOOSE(CONTROL!$C$22, $C$13, 100%, $E$13)</f>
        <v>8.0981000000000005</v>
      </c>
      <c r="H453" s="68">
        <f>12.9371* CHOOSE(CONTROL!$C$22, $C$13, 100%, $E$13)</f>
        <v>12.937099999999999</v>
      </c>
      <c r="I453" s="68">
        <f>12.9403 * CHOOSE(CONTROL!$C$22, $C$13, 100%, $E$13)</f>
        <v>12.940300000000001</v>
      </c>
      <c r="J453" s="68">
        <f>8.0948 * CHOOSE(CONTROL!$C$22, $C$13, 100%, $E$13)</f>
        <v>8.0947999999999993</v>
      </c>
      <c r="K453" s="68">
        <f>8.0981 * CHOOSE(CONTROL!$C$22, $C$13, 100%, $E$13)</f>
        <v>8.0981000000000005</v>
      </c>
    </row>
    <row r="454" spans="1:11" ht="15">
      <c r="A454" s="13">
        <v>54940</v>
      </c>
      <c r="B454" s="67">
        <f>6.6761 * CHOOSE(CONTROL!$C$22, $C$13, 100%, $E$13)</f>
        <v>6.6760999999999999</v>
      </c>
      <c r="C454" s="67">
        <f>6.6761 * CHOOSE(CONTROL!$C$22, $C$13, 100%, $E$13)</f>
        <v>6.6760999999999999</v>
      </c>
      <c r="D454" s="67">
        <f>6.6787 * CHOOSE(CONTROL!$C$22, $C$13, 100%, $E$13)</f>
        <v>6.6787000000000001</v>
      </c>
      <c r="E454" s="68">
        <f>8.0579 * CHOOSE(CONTROL!$C$22, $C$13, 100%, $E$13)</f>
        <v>8.0579000000000001</v>
      </c>
      <c r="F454" s="68">
        <f>8.0579 * CHOOSE(CONTROL!$C$22, $C$13, 100%, $E$13)</f>
        <v>8.0579000000000001</v>
      </c>
      <c r="G454" s="68">
        <f>8.0611 * CHOOSE(CONTROL!$C$22, $C$13, 100%, $E$13)</f>
        <v>8.0610999999999997</v>
      </c>
      <c r="H454" s="68">
        <f>12.964* CHOOSE(CONTROL!$C$22, $C$13, 100%, $E$13)</f>
        <v>12.964</v>
      </c>
      <c r="I454" s="68">
        <f>12.9673 * CHOOSE(CONTROL!$C$22, $C$13, 100%, $E$13)</f>
        <v>12.9673</v>
      </c>
      <c r="J454" s="68">
        <f>8.0579 * CHOOSE(CONTROL!$C$22, $C$13, 100%, $E$13)</f>
        <v>8.0579000000000001</v>
      </c>
      <c r="K454" s="68">
        <f>8.0611 * CHOOSE(CONTROL!$C$22, $C$13, 100%, $E$13)</f>
        <v>8.0610999999999997</v>
      </c>
    </row>
    <row r="455" spans="1:11" ht="15">
      <c r="A455" s="13">
        <v>54970</v>
      </c>
      <c r="B455" s="67">
        <f>6.7826 * CHOOSE(CONTROL!$C$22, $C$13, 100%, $E$13)</f>
        <v>6.7826000000000004</v>
      </c>
      <c r="C455" s="67">
        <f>6.7826 * CHOOSE(CONTROL!$C$22, $C$13, 100%, $E$13)</f>
        <v>6.7826000000000004</v>
      </c>
      <c r="D455" s="67">
        <f>6.7852 * CHOOSE(CONTROL!$C$22, $C$13, 100%, $E$13)</f>
        <v>6.7851999999999997</v>
      </c>
      <c r="E455" s="68">
        <f>8.1919 * CHOOSE(CONTROL!$C$22, $C$13, 100%, $E$13)</f>
        <v>8.1919000000000004</v>
      </c>
      <c r="F455" s="68">
        <f>8.1919 * CHOOSE(CONTROL!$C$22, $C$13, 100%, $E$13)</f>
        <v>8.1919000000000004</v>
      </c>
      <c r="G455" s="68">
        <f>8.1951 * CHOOSE(CONTROL!$C$22, $C$13, 100%, $E$13)</f>
        <v>8.1951000000000001</v>
      </c>
      <c r="H455" s="68">
        <f>12.991* CHOOSE(CONTROL!$C$22, $C$13, 100%, $E$13)</f>
        <v>12.991</v>
      </c>
      <c r="I455" s="68">
        <f>12.9943 * CHOOSE(CONTROL!$C$22, $C$13, 100%, $E$13)</f>
        <v>12.994300000000001</v>
      </c>
      <c r="J455" s="68">
        <f>8.1919 * CHOOSE(CONTROL!$C$22, $C$13, 100%, $E$13)</f>
        <v>8.1919000000000004</v>
      </c>
      <c r="K455" s="68">
        <f>8.1951 * CHOOSE(CONTROL!$C$22, $C$13, 100%, $E$13)</f>
        <v>8.1951000000000001</v>
      </c>
    </row>
    <row r="456" spans="1:11" ht="15">
      <c r="A456" s="13">
        <v>55001</v>
      </c>
      <c r="B456" s="67">
        <f>6.7893 * CHOOSE(CONTROL!$C$22, $C$13, 100%, $E$13)</f>
        <v>6.7892999999999999</v>
      </c>
      <c r="C456" s="67">
        <f>6.7893 * CHOOSE(CONTROL!$C$22, $C$13, 100%, $E$13)</f>
        <v>6.7892999999999999</v>
      </c>
      <c r="D456" s="67">
        <f>6.7919 * CHOOSE(CONTROL!$C$22, $C$13, 100%, $E$13)</f>
        <v>6.7919</v>
      </c>
      <c r="E456" s="68">
        <f>8.0729 * CHOOSE(CONTROL!$C$22, $C$13, 100%, $E$13)</f>
        <v>8.0729000000000006</v>
      </c>
      <c r="F456" s="68">
        <f>8.0729 * CHOOSE(CONTROL!$C$22, $C$13, 100%, $E$13)</f>
        <v>8.0729000000000006</v>
      </c>
      <c r="G456" s="68">
        <f>8.0762 * CHOOSE(CONTROL!$C$22, $C$13, 100%, $E$13)</f>
        <v>8.0762</v>
      </c>
      <c r="H456" s="68">
        <f>13.0181* CHOOSE(CONTROL!$C$22, $C$13, 100%, $E$13)</f>
        <v>13.0181</v>
      </c>
      <c r="I456" s="68">
        <f>13.0213 * CHOOSE(CONTROL!$C$22, $C$13, 100%, $E$13)</f>
        <v>13.0213</v>
      </c>
      <c r="J456" s="68">
        <f>8.0729 * CHOOSE(CONTROL!$C$22, $C$13, 100%, $E$13)</f>
        <v>8.0729000000000006</v>
      </c>
      <c r="K456" s="68">
        <f>8.0762 * CHOOSE(CONTROL!$C$22, $C$13, 100%, $E$13)</f>
        <v>8.0762</v>
      </c>
    </row>
    <row r="457" spans="1:11" ht="15">
      <c r="A457" s="13">
        <v>55032</v>
      </c>
      <c r="B457" s="67">
        <f>6.7863 * CHOOSE(CONTROL!$C$22, $C$13, 100%, $E$13)</f>
        <v>6.7862999999999998</v>
      </c>
      <c r="C457" s="67">
        <f>6.7863 * CHOOSE(CONTROL!$C$22, $C$13, 100%, $E$13)</f>
        <v>6.7862999999999998</v>
      </c>
      <c r="D457" s="67">
        <f>6.7889 * CHOOSE(CONTROL!$C$22, $C$13, 100%, $E$13)</f>
        <v>6.7888999999999999</v>
      </c>
      <c r="E457" s="68">
        <f>8.0571 * CHOOSE(CONTROL!$C$22, $C$13, 100%, $E$13)</f>
        <v>8.0571000000000002</v>
      </c>
      <c r="F457" s="68">
        <f>8.0571 * CHOOSE(CONTROL!$C$22, $C$13, 100%, $E$13)</f>
        <v>8.0571000000000002</v>
      </c>
      <c r="G457" s="68">
        <f>8.0603 * CHOOSE(CONTROL!$C$22, $C$13, 100%, $E$13)</f>
        <v>8.0602999999999998</v>
      </c>
      <c r="H457" s="68">
        <f>13.0452* CHOOSE(CONTROL!$C$22, $C$13, 100%, $E$13)</f>
        <v>13.045199999999999</v>
      </c>
      <c r="I457" s="68">
        <f>13.0485 * CHOOSE(CONTROL!$C$22, $C$13, 100%, $E$13)</f>
        <v>13.048500000000001</v>
      </c>
      <c r="J457" s="68">
        <f>8.0571 * CHOOSE(CONTROL!$C$22, $C$13, 100%, $E$13)</f>
        <v>8.0571000000000002</v>
      </c>
      <c r="K457" s="68">
        <f>8.0603 * CHOOSE(CONTROL!$C$22, $C$13, 100%, $E$13)</f>
        <v>8.0602999999999998</v>
      </c>
    </row>
    <row r="458" spans="1:11" ht="15">
      <c r="A458" s="13">
        <v>55062</v>
      </c>
      <c r="B458" s="67">
        <f>6.7905 * CHOOSE(CONTROL!$C$22, $C$13, 100%, $E$13)</f>
        <v>6.7904999999999998</v>
      </c>
      <c r="C458" s="67">
        <f>6.7905 * CHOOSE(CONTROL!$C$22, $C$13, 100%, $E$13)</f>
        <v>6.7904999999999998</v>
      </c>
      <c r="D458" s="67">
        <f>6.7915 * CHOOSE(CONTROL!$C$22, $C$13, 100%, $E$13)</f>
        <v>6.7915000000000001</v>
      </c>
      <c r="E458" s="68">
        <f>8.0986 * CHOOSE(CONTROL!$C$22, $C$13, 100%, $E$13)</f>
        <v>8.0985999999999994</v>
      </c>
      <c r="F458" s="68">
        <f>8.0986 * CHOOSE(CONTROL!$C$22, $C$13, 100%, $E$13)</f>
        <v>8.0985999999999994</v>
      </c>
      <c r="G458" s="68">
        <f>8.0999 * CHOOSE(CONTROL!$C$22, $C$13, 100%, $E$13)</f>
        <v>8.0998999999999999</v>
      </c>
      <c r="H458" s="68">
        <f>13.0724* CHOOSE(CONTROL!$C$22, $C$13, 100%, $E$13)</f>
        <v>13.0724</v>
      </c>
      <c r="I458" s="68">
        <f>13.0737 * CHOOSE(CONTROL!$C$22, $C$13, 100%, $E$13)</f>
        <v>13.073700000000001</v>
      </c>
      <c r="J458" s="68">
        <f>8.0986 * CHOOSE(CONTROL!$C$22, $C$13, 100%, $E$13)</f>
        <v>8.0985999999999994</v>
      </c>
      <c r="K458" s="68">
        <f>8.0999 * CHOOSE(CONTROL!$C$22, $C$13, 100%, $E$13)</f>
        <v>8.0998999999999999</v>
      </c>
    </row>
    <row r="459" spans="1:11" ht="15">
      <c r="A459" s="13">
        <v>55093</v>
      </c>
      <c r="B459" s="67">
        <f>6.7936 * CHOOSE(CONTROL!$C$22, $C$13, 100%, $E$13)</f>
        <v>6.7935999999999996</v>
      </c>
      <c r="C459" s="67">
        <f>6.7936 * CHOOSE(CONTROL!$C$22, $C$13, 100%, $E$13)</f>
        <v>6.7935999999999996</v>
      </c>
      <c r="D459" s="67">
        <f>6.7945 * CHOOSE(CONTROL!$C$22, $C$13, 100%, $E$13)</f>
        <v>6.7945000000000002</v>
      </c>
      <c r="E459" s="68">
        <f>8.1282 * CHOOSE(CONTROL!$C$22, $C$13, 100%, $E$13)</f>
        <v>8.1281999999999996</v>
      </c>
      <c r="F459" s="68">
        <f>8.1282 * CHOOSE(CONTROL!$C$22, $C$13, 100%, $E$13)</f>
        <v>8.1281999999999996</v>
      </c>
      <c r="G459" s="68">
        <f>8.1294 * CHOOSE(CONTROL!$C$22, $C$13, 100%, $E$13)</f>
        <v>8.1294000000000004</v>
      </c>
      <c r="H459" s="68">
        <f>13.0996* CHOOSE(CONTROL!$C$22, $C$13, 100%, $E$13)</f>
        <v>13.099600000000001</v>
      </c>
      <c r="I459" s="68">
        <f>13.1009 * CHOOSE(CONTROL!$C$22, $C$13, 100%, $E$13)</f>
        <v>13.100899999999999</v>
      </c>
      <c r="J459" s="68">
        <f>8.1282 * CHOOSE(CONTROL!$C$22, $C$13, 100%, $E$13)</f>
        <v>8.1281999999999996</v>
      </c>
      <c r="K459" s="68">
        <f>8.1294 * CHOOSE(CONTROL!$C$22, $C$13, 100%, $E$13)</f>
        <v>8.1294000000000004</v>
      </c>
    </row>
    <row r="460" spans="1:11" ht="15">
      <c r="A460" s="13">
        <v>55123</v>
      </c>
      <c r="B460" s="67">
        <f>6.7936 * CHOOSE(CONTROL!$C$22, $C$13, 100%, $E$13)</f>
        <v>6.7935999999999996</v>
      </c>
      <c r="C460" s="67">
        <f>6.7936 * CHOOSE(CONTROL!$C$22, $C$13, 100%, $E$13)</f>
        <v>6.7935999999999996</v>
      </c>
      <c r="D460" s="67">
        <f>6.7945 * CHOOSE(CONTROL!$C$22, $C$13, 100%, $E$13)</f>
        <v>6.7945000000000002</v>
      </c>
      <c r="E460" s="68">
        <f>8.0595 * CHOOSE(CONTROL!$C$22, $C$13, 100%, $E$13)</f>
        <v>8.0594999999999999</v>
      </c>
      <c r="F460" s="68">
        <f>8.0595 * CHOOSE(CONTROL!$C$22, $C$13, 100%, $E$13)</f>
        <v>8.0594999999999999</v>
      </c>
      <c r="G460" s="68">
        <f>8.0608 * CHOOSE(CONTROL!$C$22, $C$13, 100%, $E$13)</f>
        <v>8.0608000000000004</v>
      </c>
      <c r="H460" s="68">
        <f>13.1269* CHOOSE(CONTROL!$C$22, $C$13, 100%, $E$13)</f>
        <v>13.126899999999999</v>
      </c>
      <c r="I460" s="68">
        <f>13.1282 * CHOOSE(CONTROL!$C$22, $C$13, 100%, $E$13)</f>
        <v>13.1282</v>
      </c>
      <c r="J460" s="68">
        <f>8.0595 * CHOOSE(CONTROL!$C$22, $C$13, 100%, $E$13)</f>
        <v>8.0594999999999999</v>
      </c>
      <c r="K460" s="68">
        <f>8.0608 * CHOOSE(CONTROL!$C$22, $C$13, 100%, $E$13)</f>
        <v>8.0608000000000004</v>
      </c>
    </row>
    <row r="461" spans="1:11" ht="15">
      <c r="A461" s="13">
        <v>55154</v>
      </c>
      <c r="B461" s="67">
        <f>6.8525 * CHOOSE(CONTROL!$C$22, $C$13, 100%, $E$13)</f>
        <v>6.8525</v>
      </c>
      <c r="C461" s="67">
        <f>6.8525 * CHOOSE(CONTROL!$C$22, $C$13, 100%, $E$13)</f>
        <v>6.8525</v>
      </c>
      <c r="D461" s="67">
        <f>6.8535 * CHOOSE(CONTROL!$C$22, $C$13, 100%, $E$13)</f>
        <v>6.8535000000000004</v>
      </c>
      <c r="E461" s="68">
        <f>8.1748 * CHOOSE(CONTROL!$C$22, $C$13, 100%, $E$13)</f>
        <v>8.1747999999999994</v>
      </c>
      <c r="F461" s="68">
        <f>8.1748 * CHOOSE(CONTROL!$C$22, $C$13, 100%, $E$13)</f>
        <v>8.1747999999999994</v>
      </c>
      <c r="G461" s="68">
        <f>8.176 * CHOOSE(CONTROL!$C$22, $C$13, 100%, $E$13)</f>
        <v>8.1760000000000002</v>
      </c>
      <c r="H461" s="68">
        <f>13.1543* CHOOSE(CONTROL!$C$22, $C$13, 100%, $E$13)</f>
        <v>13.154299999999999</v>
      </c>
      <c r="I461" s="68">
        <f>13.1555 * CHOOSE(CONTROL!$C$22, $C$13, 100%, $E$13)</f>
        <v>13.1555</v>
      </c>
      <c r="J461" s="68">
        <f>8.1748 * CHOOSE(CONTROL!$C$22, $C$13, 100%, $E$13)</f>
        <v>8.1747999999999994</v>
      </c>
      <c r="K461" s="68">
        <f>8.176 * CHOOSE(CONTROL!$C$22, $C$13, 100%, $E$13)</f>
        <v>8.1760000000000002</v>
      </c>
    </row>
    <row r="462" spans="1:11" ht="15">
      <c r="A462" s="13">
        <v>55185</v>
      </c>
      <c r="B462" s="67">
        <f>6.8495 * CHOOSE(CONTROL!$C$22, $C$13, 100%, $E$13)</f>
        <v>6.8494999999999999</v>
      </c>
      <c r="C462" s="67">
        <f>6.8495 * CHOOSE(CONTROL!$C$22, $C$13, 100%, $E$13)</f>
        <v>6.8494999999999999</v>
      </c>
      <c r="D462" s="67">
        <f>6.8504 * CHOOSE(CONTROL!$C$22, $C$13, 100%, $E$13)</f>
        <v>6.8503999999999996</v>
      </c>
      <c r="E462" s="68">
        <f>8.0392 * CHOOSE(CONTROL!$C$22, $C$13, 100%, $E$13)</f>
        <v>8.0391999999999992</v>
      </c>
      <c r="F462" s="68">
        <f>8.0392 * CHOOSE(CONTROL!$C$22, $C$13, 100%, $E$13)</f>
        <v>8.0391999999999992</v>
      </c>
      <c r="G462" s="68">
        <f>8.0405 * CHOOSE(CONTROL!$C$22, $C$13, 100%, $E$13)</f>
        <v>8.0404999999999998</v>
      </c>
      <c r="H462" s="68">
        <f>13.1817* CHOOSE(CONTROL!$C$22, $C$13, 100%, $E$13)</f>
        <v>13.181699999999999</v>
      </c>
      <c r="I462" s="68">
        <f>13.1829 * CHOOSE(CONTROL!$C$22, $C$13, 100%, $E$13)</f>
        <v>13.1829</v>
      </c>
      <c r="J462" s="68">
        <f>8.0392 * CHOOSE(CONTROL!$C$22, $C$13, 100%, $E$13)</f>
        <v>8.0391999999999992</v>
      </c>
      <c r="K462" s="68">
        <f>8.0405 * CHOOSE(CONTROL!$C$22, $C$13, 100%, $E$13)</f>
        <v>8.0404999999999998</v>
      </c>
    </row>
    <row r="463" spans="1:11" ht="15">
      <c r="A463" s="13">
        <v>55213</v>
      </c>
      <c r="B463" s="67">
        <f>6.8464 * CHOOSE(CONTROL!$C$22, $C$13, 100%, $E$13)</f>
        <v>6.8464</v>
      </c>
      <c r="C463" s="67">
        <f>6.8464 * CHOOSE(CONTROL!$C$22, $C$13, 100%, $E$13)</f>
        <v>6.8464</v>
      </c>
      <c r="D463" s="67">
        <f>6.8474 * CHOOSE(CONTROL!$C$22, $C$13, 100%, $E$13)</f>
        <v>6.8474000000000004</v>
      </c>
      <c r="E463" s="68">
        <f>8.1423 * CHOOSE(CONTROL!$C$22, $C$13, 100%, $E$13)</f>
        <v>8.1423000000000005</v>
      </c>
      <c r="F463" s="68">
        <f>8.1423 * CHOOSE(CONTROL!$C$22, $C$13, 100%, $E$13)</f>
        <v>8.1423000000000005</v>
      </c>
      <c r="G463" s="68">
        <f>8.1436 * CHOOSE(CONTROL!$C$22, $C$13, 100%, $E$13)</f>
        <v>8.1435999999999993</v>
      </c>
      <c r="H463" s="68">
        <f>13.2091* CHOOSE(CONTROL!$C$22, $C$13, 100%, $E$13)</f>
        <v>13.209099999999999</v>
      </c>
      <c r="I463" s="68">
        <f>13.2104 * CHOOSE(CONTROL!$C$22, $C$13, 100%, $E$13)</f>
        <v>13.2104</v>
      </c>
      <c r="J463" s="68">
        <f>8.1423 * CHOOSE(CONTROL!$C$22, $C$13, 100%, $E$13)</f>
        <v>8.1423000000000005</v>
      </c>
      <c r="K463" s="68">
        <f>8.1436 * CHOOSE(CONTROL!$C$22, $C$13, 100%, $E$13)</f>
        <v>8.1435999999999993</v>
      </c>
    </row>
    <row r="464" spans="1:11" ht="15">
      <c r="A464" s="13">
        <v>55244</v>
      </c>
      <c r="B464" s="67">
        <f>6.8465 * CHOOSE(CONTROL!$C$22, $C$13, 100%, $E$13)</f>
        <v>6.8464999999999998</v>
      </c>
      <c r="C464" s="67">
        <f>6.8465 * CHOOSE(CONTROL!$C$22, $C$13, 100%, $E$13)</f>
        <v>6.8464999999999998</v>
      </c>
      <c r="D464" s="67">
        <f>6.8475 * CHOOSE(CONTROL!$C$22, $C$13, 100%, $E$13)</f>
        <v>6.8475000000000001</v>
      </c>
      <c r="E464" s="68">
        <f>8.251 * CHOOSE(CONTROL!$C$22, $C$13, 100%, $E$13)</f>
        <v>8.2509999999999994</v>
      </c>
      <c r="F464" s="68">
        <f>8.251 * CHOOSE(CONTROL!$C$22, $C$13, 100%, $E$13)</f>
        <v>8.2509999999999994</v>
      </c>
      <c r="G464" s="68">
        <f>8.2523 * CHOOSE(CONTROL!$C$22, $C$13, 100%, $E$13)</f>
        <v>8.2523</v>
      </c>
      <c r="H464" s="68">
        <f>13.2366* CHOOSE(CONTROL!$C$22, $C$13, 100%, $E$13)</f>
        <v>13.236599999999999</v>
      </c>
      <c r="I464" s="68">
        <f>13.2379 * CHOOSE(CONTROL!$C$22, $C$13, 100%, $E$13)</f>
        <v>13.2379</v>
      </c>
      <c r="J464" s="68">
        <f>8.251 * CHOOSE(CONTROL!$C$22, $C$13, 100%, $E$13)</f>
        <v>8.2509999999999994</v>
      </c>
      <c r="K464" s="68">
        <f>8.2523 * CHOOSE(CONTROL!$C$22, $C$13, 100%, $E$13)</f>
        <v>8.2523</v>
      </c>
    </row>
    <row r="465" spans="1:11" ht="15">
      <c r="A465" s="13">
        <v>55274</v>
      </c>
      <c r="B465" s="67">
        <f>6.8465 * CHOOSE(CONTROL!$C$22, $C$13, 100%, $E$13)</f>
        <v>6.8464999999999998</v>
      </c>
      <c r="C465" s="67">
        <f>6.8465 * CHOOSE(CONTROL!$C$22, $C$13, 100%, $E$13)</f>
        <v>6.8464999999999998</v>
      </c>
      <c r="D465" s="67">
        <f>6.8491 * CHOOSE(CONTROL!$C$22, $C$13, 100%, $E$13)</f>
        <v>6.8491</v>
      </c>
      <c r="E465" s="68">
        <f>8.2934 * CHOOSE(CONTROL!$C$22, $C$13, 100%, $E$13)</f>
        <v>8.2934000000000001</v>
      </c>
      <c r="F465" s="68">
        <f>8.2934 * CHOOSE(CONTROL!$C$22, $C$13, 100%, $E$13)</f>
        <v>8.2934000000000001</v>
      </c>
      <c r="G465" s="68">
        <f>8.2966 * CHOOSE(CONTROL!$C$22, $C$13, 100%, $E$13)</f>
        <v>8.2965999999999998</v>
      </c>
      <c r="H465" s="68">
        <f>13.2642* CHOOSE(CONTROL!$C$22, $C$13, 100%, $E$13)</f>
        <v>13.264200000000001</v>
      </c>
      <c r="I465" s="68">
        <f>13.2675 * CHOOSE(CONTROL!$C$22, $C$13, 100%, $E$13)</f>
        <v>13.2675</v>
      </c>
      <c r="J465" s="68">
        <f>8.2934 * CHOOSE(CONTROL!$C$22, $C$13, 100%, $E$13)</f>
        <v>8.2934000000000001</v>
      </c>
      <c r="K465" s="68">
        <f>8.2966 * CHOOSE(CONTROL!$C$22, $C$13, 100%, $E$13)</f>
        <v>8.2965999999999998</v>
      </c>
    </row>
    <row r="466" spans="1:11" ht="15">
      <c r="A466" s="13">
        <v>55305</v>
      </c>
      <c r="B466" s="67">
        <f>6.8526 * CHOOSE(CONTROL!$C$22, $C$13, 100%, $E$13)</f>
        <v>6.8525999999999998</v>
      </c>
      <c r="C466" s="67">
        <f>6.8526 * CHOOSE(CONTROL!$C$22, $C$13, 100%, $E$13)</f>
        <v>6.8525999999999998</v>
      </c>
      <c r="D466" s="67">
        <f>6.8552 * CHOOSE(CONTROL!$C$22, $C$13, 100%, $E$13)</f>
        <v>6.8552</v>
      </c>
      <c r="E466" s="68">
        <f>8.2552 * CHOOSE(CONTROL!$C$22, $C$13, 100%, $E$13)</f>
        <v>8.2552000000000003</v>
      </c>
      <c r="F466" s="68">
        <f>8.2552 * CHOOSE(CONTROL!$C$22, $C$13, 100%, $E$13)</f>
        <v>8.2552000000000003</v>
      </c>
      <c r="G466" s="68">
        <f>8.2585 * CHOOSE(CONTROL!$C$22, $C$13, 100%, $E$13)</f>
        <v>8.2584999999999997</v>
      </c>
      <c r="H466" s="68">
        <f>13.2918* CHOOSE(CONTROL!$C$22, $C$13, 100%, $E$13)</f>
        <v>13.2918</v>
      </c>
      <c r="I466" s="68">
        <f>13.2951 * CHOOSE(CONTROL!$C$22, $C$13, 100%, $E$13)</f>
        <v>13.2951</v>
      </c>
      <c r="J466" s="68">
        <f>8.2552 * CHOOSE(CONTROL!$C$22, $C$13, 100%, $E$13)</f>
        <v>8.2552000000000003</v>
      </c>
      <c r="K466" s="68">
        <f>8.2585 * CHOOSE(CONTROL!$C$22, $C$13, 100%, $E$13)</f>
        <v>8.2584999999999997</v>
      </c>
    </row>
    <row r="467" spans="1:11" ht="15">
      <c r="A467" s="13">
        <v>55335</v>
      </c>
      <c r="B467" s="67">
        <f>6.9616 * CHOOSE(CONTROL!$C$22, $C$13, 100%, $E$13)</f>
        <v>6.9615999999999998</v>
      </c>
      <c r="C467" s="67">
        <f>6.9616 * CHOOSE(CONTROL!$C$22, $C$13, 100%, $E$13)</f>
        <v>6.9615999999999998</v>
      </c>
      <c r="D467" s="67">
        <f>6.9642 * CHOOSE(CONTROL!$C$22, $C$13, 100%, $E$13)</f>
        <v>6.9641999999999999</v>
      </c>
      <c r="E467" s="68">
        <f>8.3922 * CHOOSE(CONTROL!$C$22, $C$13, 100%, $E$13)</f>
        <v>8.3922000000000008</v>
      </c>
      <c r="F467" s="68">
        <f>8.3922 * CHOOSE(CONTROL!$C$22, $C$13, 100%, $E$13)</f>
        <v>8.3922000000000008</v>
      </c>
      <c r="G467" s="68">
        <f>8.3955 * CHOOSE(CONTROL!$C$22, $C$13, 100%, $E$13)</f>
        <v>8.3955000000000002</v>
      </c>
      <c r="H467" s="68">
        <f>13.3195* CHOOSE(CONTROL!$C$22, $C$13, 100%, $E$13)</f>
        <v>13.3195</v>
      </c>
      <c r="I467" s="68">
        <f>13.3228 * CHOOSE(CONTROL!$C$22, $C$13, 100%, $E$13)</f>
        <v>13.322800000000001</v>
      </c>
      <c r="J467" s="68">
        <f>8.3922 * CHOOSE(CONTROL!$C$22, $C$13, 100%, $E$13)</f>
        <v>8.3922000000000008</v>
      </c>
      <c r="K467" s="68">
        <f>8.3955 * CHOOSE(CONTROL!$C$22, $C$13, 100%, $E$13)</f>
        <v>8.3955000000000002</v>
      </c>
    </row>
    <row r="468" spans="1:11" ht="15">
      <c r="A468" s="13">
        <v>55366</v>
      </c>
      <c r="B468" s="67">
        <f>6.9683 * CHOOSE(CONTROL!$C$22, $C$13, 100%, $E$13)</f>
        <v>6.9683000000000002</v>
      </c>
      <c r="C468" s="67">
        <f>6.9683 * CHOOSE(CONTROL!$C$22, $C$13, 100%, $E$13)</f>
        <v>6.9683000000000002</v>
      </c>
      <c r="D468" s="67">
        <f>6.9709 * CHOOSE(CONTROL!$C$22, $C$13, 100%, $E$13)</f>
        <v>6.9709000000000003</v>
      </c>
      <c r="E468" s="68">
        <f>8.2698 * CHOOSE(CONTROL!$C$22, $C$13, 100%, $E$13)</f>
        <v>8.2698</v>
      </c>
      <c r="F468" s="68">
        <f>8.2698 * CHOOSE(CONTROL!$C$22, $C$13, 100%, $E$13)</f>
        <v>8.2698</v>
      </c>
      <c r="G468" s="68">
        <f>8.273 * CHOOSE(CONTROL!$C$22, $C$13, 100%, $E$13)</f>
        <v>8.2729999999999997</v>
      </c>
      <c r="H468" s="68">
        <f>13.3473* CHOOSE(CONTROL!$C$22, $C$13, 100%, $E$13)</f>
        <v>13.347300000000001</v>
      </c>
      <c r="I468" s="68">
        <f>13.3505 * CHOOSE(CONTROL!$C$22, $C$13, 100%, $E$13)</f>
        <v>13.3505</v>
      </c>
      <c r="J468" s="68">
        <f>8.2698 * CHOOSE(CONTROL!$C$22, $C$13, 100%, $E$13)</f>
        <v>8.2698</v>
      </c>
      <c r="K468" s="68">
        <f>8.273 * CHOOSE(CONTROL!$C$22, $C$13, 100%, $E$13)</f>
        <v>8.2729999999999997</v>
      </c>
    </row>
    <row r="469" spans="1:11" ht="15">
      <c r="A469" s="13">
        <v>55397</v>
      </c>
      <c r="B469" s="67">
        <f>6.9653 * CHOOSE(CONTROL!$C$22, $C$13, 100%, $E$13)</f>
        <v>6.9653</v>
      </c>
      <c r="C469" s="67">
        <f>6.9653 * CHOOSE(CONTROL!$C$22, $C$13, 100%, $E$13)</f>
        <v>6.9653</v>
      </c>
      <c r="D469" s="67">
        <f>6.9679 * CHOOSE(CONTROL!$C$22, $C$13, 100%, $E$13)</f>
        <v>6.9679000000000002</v>
      </c>
      <c r="E469" s="68">
        <f>8.2536 * CHOOSE(CONTROL!$C$22, $C$13, 100%, $E$13)</f>
        <v>8.2536000000000005</v>
      </c>
      <c r="F469" s="68">
        <f>8.2536 * CHOOSE(CONTROL!$C$22, $C$13, 100%, $E$13)</f>
        <v>8.2536000000000005</v>
      </c>
      <c r="G469" s="68">
        <f>8.2568 * CHOOSE(CONTROL!$C$22, $C$13, 100%, $E$13)</f>
        <v>8.2568000000000001</v>
      </c>
      <c r="H469" s="68">
        <f>13.3751* CHOOSE(CONTROL!$C$22, $C$13, 100%, $E$13)</f>
        <v>13.3751</v>
      </c>
      <c r="I469" s="68">
        <f>13.3783 * CHOOSE(CONTROL!$C$22, $C$13, 100%, $E$13)</f>
        <v>13.378299999999999</v>
      </c>
      <c r="J469" s="68">
        <f>8.2536 * CHOOSE(CONTROL!$C$22, $C$13, 100%, $E$13)</f>
        <v>8.2536000000000005</v>
      </c>
      <c r="K469" s="68">
        <f>8.2568 * CHOOSE(CONTROL!$C$22, $C$13, 100%, $E$13)</f>
        <v>8.2568000000000001</v>
      </c>
    </row>
    <row r="470" spans="1:11" ht="15">
      <c r="A470" s="13">
        <v>55427</v>
      </c>
      <c r="B470" s="67">
        <f>6.9701 * CHOOSE(CONTROL!$C$22, $C$13, 100%, $E$13)</f>
        <v>6.9701000000000004</v>
      </c>
      <c r="C470" s="67">
        <f>6.9701 * CHOOSE(CONTROL!$C$22, $C$13, 100%, $E$13)</f>
        <v>6.9701000000000004</v>
      </c>
      <c r="D470" s="67">
        <f>6.9711 * CHOOSE(CONTROL!$C$22, $C$13, 100%, $E$13)</f>
        <v>6.9710999999999999</v>
      </c>
      <c r="E470" s="68">
        <f>8.2966 * CHOOSE(CONTROL!$C$22, $C$13, 100%, $E$13)</f>
        <v>8.2965999999999998</v>
      </c>
      <c r="F470" s="68">
        <f>8.2966 * CHOOSE(CONTROL!$C$22, $C$13, 100%, $E$13)</f>
        <v>8.2965999999999998</v>
      </c>
      <c r="G470" s="68">
        <f>8.2979 * CHOOSE(CONTROL!$C$22, $C$13, 100%, $E$13)</f>
        <v>8.2979000000000003</v>
      </c>
      <c r="H470" s="68">
        <f>13.403* CHOOSE(CONTROL!$C$22, $C$13, 100%, $E$13)</f>
        <v>13.403</v>
      </c>
      <c r="I470" s="68">
        <f>13.4042 * CHOOSE(CONTROL!$C$22, $C$13, 100%, $E$13)</f>
        <v>13.404199999999999</v>
      </c>
      <c r="J470" s="68">
        <f>8.2966 * CHOOSE(CONTROL!$C$22, $C$13, 100%, $E$13)</f>
        <v>8.2965999999999998</v>
      </c>
      <c r="K470" s="68">
        <f>8.2979 * CHOOSE(CONTROL!$C$22, $C$13, 100%, $E$13)</f>
        <v>8.2979000000000003</v>
      </c>
    </row>
    <row r="471" spans="1:11" ht="15">
      <c r="A471" s="13">
        <v>55458</v>
      </c>
      <c r="B471" s="67">
        <f>6.9731 * CHOOSE(CONTROL!$C$22, $C$13, 100%, $E$13)</f>
        <v>6.9730999999999996</v>
      </c>
      <c r="C471" s="67">
        <f>6.9731 * CHOOSE(CONTROL!$C$22, $C$13, 100%, $E$13)</f>
        <v>6.9730999999999996</v>
      </c>
      <c r="D471" s="67">
        <f>6.9741 * CHOOSE(CONTROL!$C$22, $C$13, 100%, $E$13)</f>
        <v>6.9741</v>
      </c>
      <c r="E471" s="68">
        <f>8.327 * CHOOSE(CONTROL!$C$22, $C$13, 100%, $E$13)</f>
        <v>8.327</v>
      </c>
      <c r="F471" s="68">
        <f>8.327 * CHOOSE(CONTROL!$C$22, $C$13, 100%, $E$13)</f>
        <v>8.327</v>
      </c>
      <c r="G471" s="68">
        <f>8.3283 * CHOOSE(CONTROL!$C$22, $C$13, 100%, $E$13)</f>
        <v>8.3283000000000005</v>
      </c>
      <c r="H471" s="68">
        <f>13.4309* CHOOSE(CONTROL!$C$22, $C$13, 100%, $E$13)</f>
        <v>13.430899999999999</v>
      </c>
      <c r="I471" s="68">
        <f>13.4322 * CHOOSE(CONTROL!$C$22, $C$13, 100%, $E$13)</f>
        <v>13.4322</v>
      </c>
      <c r="J471" s="68">
        <f>8.327 * CHOOSE(CONTROL!$C$22, $C$13, 100%, $E$13)</f>
        <v>8.327</v>
      </c>
      <c r="K471" s="68">
        <f>8.3283 * CHOOSE(CONTROL!$C$22, $C$13, 100%, $E$13)</f>
        <v>8.3283000000000005</v>
      </c>
    </row>
    <row r="472" spans="1:11" ht="15">
      <c r="A472" s="13">
        <v>55488</v>
      </c>
      <c r="B472" s="67">
        <f>6.9731 * CHOOSE(CONTROL!$C$22, $C$13, 100%, $E$13)</f>
        <v>6.9730999999999996</v>
      </c>
      <c r="C472" s="67">
        <f>6.9731 * CHOOSE(CONTROL!$C$22, $C$13, 100%, $E$13)</f>
        <v>6.9730999999999996</v>
      </c>
      <c r="D472" s="67">
        <f>6.9741 * CHOOSE(CONTROL!$C$22, $C$13, 100%, $E$13)</f>
        <v>6.9741</v>
      </c>
      <c r="E472" s="68">
        <f>8.2564 * CHOOSE(CONTROL!$C$22, $C$13, 100%, $E$13)</f>
        <v>8.2563999999999993</v>
      </c>
      <c r="F472" s="68">
        <f>8.2564 * CHOOSE(CONTROL!$C$22, $C$13, 100%, $E$13)</f>
        <v>8.2563999999999993</v>
      </c>
      <c r="G472" s="68">
        <f>8.2577 * CHOOSE(CONTROL!$C$22, $C$13, 100%, $E$13)</f>
        <v>8.2576999999999998</v>
      </c>
      <c r="H472" s="68">
        <f>13.4589* CHOOSE(CONTROL!$C$22, $C$13, 100%, $E$13)</f>
        <v>13.4589</v>
      </c>
      <c r="I472" s="68">
        <f>13.4601 * CHOOSE(CONTROL!$C$22, $C$13, 100%, $E$13)</f>
        <v>13.460100000000001</v>
      </c>
      <c r="J472" s="68">
        <f>8.2564 * CHOOSE(CONTROL!$C$22, $C$13, 100%, $E$13)</f>
        <v>8.2563999999999993</v>
      </c>
      <c r="K472" s="68">
        <f>8.2577 * CHOOSE(CONTROL!$C$22, $C$13, 100%, $E$13)</f>
        <v>8.2576999999999998</v>
      </c>
    </row>
    <row r="473" spans="1:11" ht="15">
      <c r="A473" s="13">
        <v>55519</v>
      </c>
      <c r="B473" s="67">
        <f>7.0335 * CHOOSE(CONTROL!$C$22, $C$13, 100%, $E$13)</f>
        <v>7.0335000000000001</v>
      </c>
      <c r="C473" s="67">
        <f>7.0335 * CHOOSE(CONTROL!$C$22, $C$13, 100%, $E$13)</f>
        <v>7.0335000000000001</v>
      </c>
      <c r="D473" s="67">
        <f>7.0345 * CHOOSE(CONTROL!$C$22, $C$13, 100%, $E$13)</f>
        <v>7.0345000000000004</v>
      </c>
      <c r="E473" s="68">
        <f>8.3746 * CHOOSE(CONTROL!$C$22, $C$13, 100%, $E$13)</f>
        <v>8.3745999999999992</v>
      </c>
      <c r="F473" s="68">
        <f>8.3746 * CHOOSE(CONTROL!$C$22, $C$13, 100%, $E$13)</f>
        <v>8.3745999999999992</v>
      </c>
      <c r="G473" s="68">
        <f>8.3759 * CHOOSE(CONTROL!$C$22, $C$13, 100%, $E$13)</f>
        <v>8.3758999999999997</v>
      </c>
      <c r="H473" s="68">
        <f>13.4869* CHOOSE(CONTROL!$C$22, $C$13, 100%, $E$13)</f>
        <v>13.4869</v>
      </c>
      <c r="I473" s="68">
        <f>13.4882 * CHOOSE(CONTROL!$C$22, $C$13, 100%, $E$13)</f>
        <v>13.488200000000001</v>
      </c>
      <c r="J473" s="68">
        <f>8.3746 * CHOOSE(CONTROL!$C$22, $C$13, 100%, $E$13)</f>
        <v>8.3745999999999992</v>
      </c>
      <c r="K473" s="68">
        <f>8.3759 * CHOOSE(CONTROL!$C$22, $C$13, 100%, $E$13)</f>
        <v>8.3758999999999997</v>
      </c>
    </row>
    <row r="474" spans="1:11" ht="15">
      <c r="A474" s="13">
        <v>55550</v>
      </c>
      <c r="B474" s="67">
        <f>7.0305 * CHOOSE(CONTROL!$C$22, $C$13, 100%, $E$13)</f>
        <v>7.0305</v>
      </c>
      <c r="C474" s="67">
        <f>7.0305 * CHOOSE(CONTROL!$C$22, $C$13, 100%, $E$13)</f>
        <v>7.0305</v>
      </c>
      <c r="D474" s="67">
        <f>7.0315 * CHOOSE(CONTROL!$C$22, $C$13, 100%, $E$13)</f>
        <v>7.0315000000000003</v>
      </c>
      <c r="E474" s="68">
        <f>8.2353 * CHOOSE(CONTROL!$C$22, $C$13, 100%, $E$13)</f>
        <v>8.2353000000000005</v>
      </c>
      <c r="F474" s="68">
        <f>8.2353 * CHOOSE(CONTROL!$C$22, $C$13, 100%, $E$13)</f>
        <v>8.2353000000000005</v>
      </c>
      <c r="G474" s="68">
        <f>8.2366 * CHOOSE(CONTROL!$C$22, $C$13, 100%, $E$13)</f>
        <v>8.2365999999999993</v>
      </c>
      <c r="H474" s="68">
        <f>13.515* CHOOSE(CONTROL!$C$22, $C$13, 100%, $E$13)</f>
        <v>13.515000000000001</v>
      </c>
      <c r="I474" s="68">
        <f>13.5163 * CHOOSE(CONTROL!$C$22, $C$13, 100%, $E$13)</f>
        <v>13.516299999999999</v>
      </c>
      <c r="J474" s="68">
        <f>8.2353 * CHOOSE(CONTROL!$C$22, $C$13, 100%, $E$13)</f>
        <v>8.2353000000000005</v>
      </c>
      <c r="K474" s="68">
        <f>8.2366 * CHOOSE(CONTROL!$C$22, $C$13, 100%, $E$13)</f>
        <v>8.2365999999999993</v>
      </c>
    </row>
    <row r="475" spans="1:11" ht="15">
      <c r="A475" s="13">
        <v>55579</v>
      </c>
      <c r="B475" s="67">
        <f>7.0274 * CHOOSE(CONTROL!$C$22, $C$13, 100%, $E$13)</f>
        <v>7.0274000000000001</v>
      </c>
      <c r="C475" s="67">
        <f>7.0274 * CHOOSE(CONTROL!$C$22, $C$13, 100%, $E$13)</f>
        <v>7.0274000000000001</v>
      </c>
      <c r="D475" s="67">
        <f>7.0284 * CHOOSE(CONTROL!$C$22, $C$13, 100%, $E$13)</f>
        <v>7.0284000000000004</v>
      </c>
      <c r="E475" s="68">
        <f>8.3413 * CHOOSE(CONTROL!$C$22, $C$13, 100%, $E$13)</f>
        <v>8.3413000000000004</v>
      </c>
      <c r="F475" s="68">
        <f>8.3413 * CHOOSE(CONTROL!$C$22, $C$13, 100%, $E$13)</f>
        <v>8.3413000000000004</v>
      </c>
      <c r="G475" s="68">
        <f>8.3426 * CHOOSE(CONTROL!$C$22, $C$13, 100%, $E$13)</f>
        <v>8.3425999999999991</v>
      </c>
      <c r="H475" s="68">
        <f>13.5432* CHOOSE(CONTROL!$C$22, $C$13, 100%, $E$13)</f>
        <v>13.543200000000001</v>
      </c>
      <c r="I475" s="68">
        <f>13.5444 * CHOOSE(CONTROL!$C$22, $C$13, 100%, $E$13)</f>
        <v>13.5444</v>
      </c>
      <c r="J475" s="68">
        <f>8.3413 * CHOOSE(CONTROL!$C$22, $C$13, 100%, $E$13)</f>
        <v>8.3413000000000004</v>
      </c>
      <c r="K475" s="68">
        <f>8.3426 * CHOOSE(CONTROL!$C$22, $C$13, 100%, $E$13)</f>
        <v>8.3425999999999991</v>
      </c>
    </row>
    <row r="476" spans="1:11" ht="15">
      <c r="A476" s="13">
        <v>55610</v>
      </c>
      <c r="B476" s="67">
        <f>7.0277 * CHOOSE(CONTROL!$C$22, $C$13, 100%, $E$13)</f>
        <v>7.0277000000000003</v>
      </c>
      <c r="C476" s="67">
        <f>7.0277 * CHOOSE(CONTROL!$C$22, $C$13, 100%, $E$13)</f>
        <v>7.0277000000000003</v>
      </c>
      <c r="D476" s="67">
        <f>7.0287 * CHOOSE(CONTROL!$C$22, $C$13, 100%, $E$13)</f>
        <v>7.0286999999999997</v>
      </c>
      <c r="E476" s="68">
        <f>8.4532 * CHOOSE(CONTROL!$C$22, $C$13, 100%, $E$13)</f>
        <v>8.4532000000000007</v>
      </c>
      <c r="F476" s="68">
        <f>8.4532 * CHOOSE(CONTROL!$C$22, $C$13, 100%, $E$13)</f>
        <v>8.4532000000000007</v>
      </c>
      <c r="G476" s="68">
        <f>8.4545 * CHOOSE(CONTROL!$C$22, $C$13, 100%, $E$13)</f>
        <v>8.4544999999999995</v>
      </c>
      <c r="H476" s="68">
        <f>13.5714* CHOOSE(CONTROL!$C$22, $C$13, 100%, $E$13)</f>
        <v>13.571400000000001</v>
      </c>
      <c r="I476" s="68">
        <f>13.5727 * CHOOSE(CONTROL!$C$22, $C$13, 100%, $E$13)</f>
        <v>13.572699999999999</v>
      </c>
      <c r="J476" s="68">
        <f>8.4532 * CHOOSE(CONTROL!$C$22, $C$13, 100%, $E$13)</f>
        <v>8.4532000000000007</v>
      </c>
      <c r="K476" s="68">
        <f>8.4545 * CHOOSE(CONTROL!$C$22, $C$13, 100%, $E$13)</f>
        <v>8.4544999999999995</v>
      </c>
    </row>
    <row r="477" spans="1:11" ht="15">
      <c r="A477" s="13">
        <v>55640</v>
      </c>
      <c r="B477" s="67">
        <f>7.0277 * CHOOSE(CONTROL!$C$22, $C$13, 100%, $E$13)</f>
        <v>7.0277000000000003</v>
      </c>
      <c r="C477" s="67">
        <f>7.0277 * CHOOSE(CONTROL!$C$22, $C$13, 100%, $E$13)</f>
        <v>7.0277000000000003</v>
      </c>
      <c r="D477" s="67">
        <f>7.0303 * CHOOSE(CONTROL!$C$22, $C$13, 100%, $E$13)</f>
        <v>7.0303000000000004</v>
      </c>
      <c r="E477" s="68">
        <f>8.4967 * CHOOSE(CONTROL!$C$22, $C$13, 100%, $E$13)</f>
        <v>8.4967000000000006</v>
      </c>
      <c r="F477" s="68">
        <f>8.4967 * CHOOSE(CONTROL!$C$22, $C$13, 100%, $E$13)</f>
        <v>8.4967000000000006</v>
      </c>
      <c r="G477" s="68">
        <f>8.5 * CHOOSE(CONTROL!$C$22, $C$13, 100%, $E$13)</f>
        <v>8.5</v>
      </c>
      <c r="H477" s="68">
        <f>13.5996* CHOOSE(CONTROL!$C$22, $C$13, 100%, $E$13)</f>
        <v>13.599600000000001</v>
      </c>
      <c r="I477" s="68">
        <f>13.6029 * CHOOSE(CONTROL!$C$22, $C$13, 100%, $E$13)</f>
        <v>13.6029</v>
      </c>
      <c r="J477" s="68">
        <f>8.4967 * CHOOSE(CONTROL!$C$22, $C$13, 100%, $E$13)</f>
        <v>8.4967000000000006</v>
      </c>
      <c r="K477" s="68">
        <f>8.5 * CHOOSE(CONTROL!$C$22, $C$13, 100%, $E$13)</f>
        <v>8.5</v>
      </c>
    </row>
    <row r="478" spans="1:11" ht="15">
      <c r="A478" s="13">
        <v>55671</v>
      </c>
      <c r="B478" s="67">
        <f>7.0338 * CHOOSE(CONTROL!$C$22, $C$13, 100%, $E$13)</f>
        <v>7.0338000000000003</v>
      </c>
      <c r="C478" s="67">
        <f>7.0338 * CHOOSE(CONTROL!$C$22, $C$13, 100%, $E$13)</f>
        <v>7.0338000000000003</v>
      </c>
      <c r="D478" s="67">
        <f>7.0364 * CHOOSE(CONTROL!$C$22, $C$13, 100%, $E$13)</f>
        <v>7.0364000000000004</v>
      </c>
      <c r="E478" s="68">
        <f>8.4574 * CHOOSE(CONTROL!$C$22, $C$13, 100%, $E$13)</f>
        <v>8.4573999999999998</v>
      </c>
      <c r="F478" s="68">
        <f>8.4574 * CHOOSE(CONTROL!$C$22, $C$13, 100%, $E$13)</f>
        <v>8.4573999999999998</v>
      </c>
      <c r="G478" s="68">
        <f>8.4607 * CHOOSE(CONTROL!$C$22, $C$13, 100%, $E$13)</f>
        <v>8.4606999999999992</v>
      </c>
      <c r="H478" s="68">
        <f>13.628* CHOOSE(CONTROL!$C$22, $C$13, 100%, $E$13)</f>
        <v>13.628</v>
      </c>
      <c r="I478" s="68">
        <f>13.6312 * CHOOSE(CONTROL!$C$22, $C$13, 100%, $E$13)</f>
        <v>13.6312</v>
      </c>
      <c r="J478" s="68">
        <f>8.4574 * CHOOSE(CONTROL!$C$22, $C$13, 100%, $E$13)</f>
        <v>8.4573999999999998</v>
      </c>
      <c r="K478" s="68">
        <f>8.4607 * CHOOSE(CONTROL!$C$22, $C$13, 100%, $E$13)</f>
        <v>8.4606999999999992</v>
      </c>
    </row>
    <row r="479" spans="1:11" ht="15">
      <c r="A479" s="13">
        <v>55701</v>
      </c>
      <c r="B479" s="67">
        <f>7.1454 * CHOOSE(CONTROL!$C$22, $C$13, 100%, $E$13)</f>
        <v>7.1454000000000004</v>
      </c>
      <c r="C479" s="67">
        <f>7.1454 * CHOOSE(CONTROL!$C$22, $C$13, 100%, $E$13)</f>
        <v>7.1454000000000004</v>
      </c>
      <c r="D479" s="67">
        <f>7.148 * CHOOSE(CONTROL!$C$22, $C$13, 100%, $E$13)</f>
        <v>7.1479999999999997</v>
      </c>
      <c r="E479" s="68">
        <f>8.5975 * CHOOSE(CONTROL!$C$22, $C$13, 100%, $E$13)</f>
        <v>8.5975000000000001</v>
      </c>
      <c r="F479" s="68">
        <f>8.5975 * CHOOSE(CONTROL!$C$22, $C$13, 100%, $E$13)</f>
        <v>8.5975000000000001</v>
      </c>
      <c r="G479" s="68">
        <f>8.6007 * CHOOSE(CONTROL!$C$22, $C$13, 100%, $E$13)</f>
        <v>8.6006999999999998</v>
      </c>
      <c r="H479" s="68">
        <f>13.6564* CHOOSE(CONTROL!$C$22, $C$13, 100%, $E$13)</f>
        <v>13.6564</v>
      </c>
      <c r="I479" s="68">
        <f>13.6596 * CHOOSE(CONTROL!$C$22, $C$13, 100%, $E$13)</f>
        <v>13.659599999999999</v>
      </c>
      <c r="J479" s="68">
        <f>8.5975 * CHOOSE(CONTROL!$C$22, $C$13, 100%, $E$13)</f>
        <v>8.5975000000000001</v>
      </c>
      <c r="K479" s="68">
        <f>8.6007 * CHOOSE(CONTROL!$C$22, $C$13, 100%, $E$13)</f>
        <v>8.6006999999999998</v>
      </c>
    </row>
    <row r="480" spans="1:11" ht="15">
      <c r="A480" s="13">
        <v>55732</v>
      </c>
      <c r="B480" s="67">
        <f>7.1521 * CHOOSE(CONTROL!$C$22, $C$13, 100%, $E$13)</f>
        <v>7.1520999999999999</v>
      </c>
      <c r="C480" s="67">
        <f>7.1521 * CHOOSE(CONTROL!$C$22, $C$13, 100%, $E$13)</f>
        <v>7.1520999999999999</v>
      </c>
      <c r="D480" s="67">
        <f>7.1547 * CHOOSE(CONTROL!$C$22, $C$13, 100%, $E$13)</f>
        <v>7.1547000000000001</v>
      </c>
      <c r="E480" s="68">
        <f>8.4715 * CHOOSE(CONTROL!$C$22, $C$13, 100%, $E$13)</f>
        <v>8.4715000000000007</v>
      </c>
      <c r="F480" s="68">
        <f>8.4715 * CHOOSE(CONTROL!$C$22, $C$13, 100%, $E$13)</f>
        <v>8.4715000000000007</v>
      </c>
      <c r="G480" s="68">
        <f>8.4748 * CHOOSE(CONTROL!$C$22, $C$13, 100%, $E$13)</f>
        <v>8.4748000000000001</v>
      </c>
      <c r="H480" s="68">
        <f>13.6848* CHOOSE(CONTROL!$C$22, $C$13, 100%, $E$13)</f>
        <v>13.684799999999999</v>
      </c>
      <c r="I480" s="68">
        <f>13.6881 * CHOOSE(CONTROL!$C$22, $C$13, 100%, $E$13)</f>
        <v>13.6881</v>
      </c>
      <c r="J480" s="68">
        <f>8.4715 * CHOOSE(CONTROL!$C$22, $C$13, 100%, $E$13)</f>
        <v>8.4715000000000007</v>
      </c>
      <c r="K480" s="68">
        <f>8.4748 * CHOOSE(CONTROL!$C$22, $C$13, 100%, $E$13)</f>
        <v>8.4748000000000001</v>
      </c>
    </row>
    <row r="481" spans="1:11" ht="15">
      <c r="A481" s="13">
        <v>55763</v>
      </c>
      <c r="B481" s="67">
        <f>7.149 * CHOOSE(CONTROL!$C$22, $C$13, 100%, $E$13)</f>
        <v>7.149</v>
      </c>
      <c r="C481" s="67">
        <f>7.149 * CHOOSE(CONTROL!$C$22, $C$13, 100%, $E$13)</f>
        <v>7.149</v>
      </c>
      <c r="D481" s="67">
        <f>7.1516 * CHOOSE(CONTROL!$C$22, $C$13, 100%, $E$13)</f>
        <v>7.1516000000000002</v>
      </c>
      <c r="E481" s="68">
        <f>8.4549 * CHOOSE(CONTROL!$C$22, $C$13, 100%, $E$13)</f>
        <v>8.4549000000000003</v>
      </c>
      <c r="F481" s="68">
        <f>8.4549 * CHOOSE(CONTROL!$C$22, $C$13, 100%, $E$13)</f>
        <v>8.4549000000000003</v>
      </c>
      <c r="G481" s="68">
        <f>8.4581 * CHOOSE(CONTROL!$C$22, $C$13, 100%, $E$13)</f>
        <v>8.4581</v>
      </c>
      <c r="H481" s="68">
        <f>13.7133* CHOOSE(CONTROL!$C$22, $C$13, 100%, $E$13)</f>
        <v>13.7133</v>
      </c>
      <c r="I481" s="68">
        <f>13.7166 * CHOOSE(CONTROL!$C$22, $C$13, 100%, $E$13)</f>
        <v>13.7166</v>
      </c>
      <c r="J481" s="68">
        <f>8.4549 * CHOOSE(CONTROL!$C$22, $C$13, 100%, $E$13)</f>
        <v>8.4549000000000003</v>
      </c>
      <c r="K481" s="68">
        <f>8.4581 * CHOOSE(CONTROL!$C$22, $C$13, 100%, $E$13)</f>
        <v>8.4581</v>
      </c>
    </row>
    <row r="482" spans="1:11" ht="15">
      <c r="A482" s="13">
        <v>55793</v>
      </c>
      <c r="B482" s="67">
        <f>7.1545 * CHOOSE(CONTROL!$C$22, $C$13, 100%, $E$13)</f>
        <v>7.1544999999999996</v>
      </c>
      <c r="C482" s="67">
        <f>7.1545 * CHOOSE(CONTROL!$C$22, $C$13, 100%, $E$13)</f>
        <v>7.1544999999999996</v>
      </c>
      <c r="D482" s="67">
        <f>7.1554 * CHOOSE(CONTROL!$C$22, $C$13, 100%, $E$13)</f>
        <v>7.1554000000000002</v>
      </c>
      <c r="E482" s="68">
        <f>8.4995 * CHOOSE(CONTROL!$C$22, $C$13, 100%, $E$13)</f>
        <v>8.4994999999999994</v>
      </c>
      <c r="F482" s="68">
        <f>8.4995 * CHOOSE(CONTROL!$C$22, $C$13, 100%, $E$13)</f>
        <v>8.4994999999999994</v>
      </c>
      <c r="G482" s="68">
        <f>8.5008 * CHOOSE(CONTROL!$C$22, $C$13, 100%, $E$13)</f>
        <v>8.5007999999999999</v>
      </c>
      <c r="H482" s="68">
        <f>13.7419* CHOOSE(CONTROL!$C$22, $C$13, 100%, $E$13)</f>
        <v>13.741899999999999</v>
      </c>
      <c r="I482" s="68">
        <f>13.7432 * CHOOSE(CONTROL!$C$22, $C$13, 100%, $E$13)</f>
        <v>13.7432</v>
      </c>
      <c r="J482" s="68">
        <f>8.4995 * CHOOSE(CONTROL!$C$22, $C$13, 100%, $E$13)</f>
        <v>8.4994999999999994</v>
      </c>
      <c r="K482" s="68">
        <f>8.5008 * CHOOSE(CONTROL!$C$22, $C$13, 100%, $E$13)</f>
        <v>8.5007999999999999</v>
      </c>
    </row>
    <row r="483" spans="1:11" ht="15">
      <c r="A483" s="13">
        <v>55824</v>
      </c>
      <c r="B483" s="67">
        <f>7.1575 * CHOOSE(CONTROL!$C$22, $C$13, 100%, $E$13)</f>
        <v>7.1574999999999998</v>
      </c>
      <c r="C483" s="67">
        <f>7.1575 * CHOOSE(CONTROL!$C$22, $C$13, 100%, $E$13)</f>
        <v>7.1574999999999998</v>
      </c>
      <c r="D483" s="67">
        <f>7.1585 * CHOOSE(CONTROL!$C$22, $C$13, 100%, $E$13)</f>
        <v>7.1585000000000001</v>
      </c>
      <c r="E483" s="68">
        <f>8.5307 * CHOOSE(CONTROL!$C$22, $C$13, 100%, $E$13)</f>
        <v>8.5306999999999995</v>
      </c>
      <c r="F483" s="68">
        <f>8.5307 * CHOOSE(CONTROL!$C$22, $C$13, 100%, $E$13)</f>
        <v>8.5306999999999995</v>
      </c>
      <c r="G483" s="68">
        <f>8.532 * CHOOSE(CONTROL!$C$22, $C$13, 100%, $E$13)</f>
        <v>8.532</v>
      </c>
      <c r="H483" s="68">
        <f>13.7705* CHOOSE(CONTROL!$C$22, $C$13, 100%, $E$13)</f>
        <v>13.7705</v>
      </c>
      <c r="I483" s="68">
        <f>13.7718 * CHOOSE(CONTROL!$C$22, $C$13, 100%, $E$13)</f>
        <v>13.771800000000001</v>
      </c>
      <c r="J483" s="68">
        <f>8.5307 * CHOOSE(CONTROL!$C$22, $C$13, 100%, $E$13)</f>
        <v>8.5306999999999995</v>
      </c>
      <c r="K483" s="68">
        <f>8.532 * CHOOSE(CONTROL!$C$22, $C$13, 100%, $E$13)</f>
        <v>8.532</v>
      </c>
    </row>
    <row r="484" spans="1:11" ht="15">
      <c r="A484" s="13">
        <v>55854</v>
      </c>
      <c r="B484" s="67">
        <f>7.1575 * CHOOSE(CONTROL!$C$22, $C$13, 100%, $E$13)</f>
        <v>7.1574999999999998</v>
      </c>
      <c r="C484" s="67">
        <f>7.1575 * CHOOSE(CONTROL!$C$22, $C$13, 100%, $E$13)</f>
        <v>7.1574999999999998</v>
      </c>
      <c r="D484" s="67">
        <f>7.1585 * CHOOSE(CONTROL!$C$22, $C$13, 100%, $E$13)</f>
        <v>7.1585000000000001</v>
      </c>
      <c r="E484" s="68">
        <f>8.4581 * CHOOSE(CONTROL!$C$22, $C$13, 100%, $E$13)</f>
        <v>8.4581</v>
      </c>
      <c r="F484" s="68">
        <f>8.4581 * CHOOSE(CONTROL!$C$22, $C$13, 100%, $E$13)</f>
        <v>8.4581</v>
      </c>
      <c r="G484" s="68">
        <f>8.4594 * CHOOSE(CONTROL!$C$22, $C$13, 100%, $E$13)</f>
        <v>8.4594000000000005</v>
      </c>
      <c r="H484" s="68">
        <f>13.7992* CHOOSE(CONTROL!$C$22, $C$13, 100%, $E$13)</f>
        <v>13.799200000000001</v>
      </c>
      <c r="I484" s="68">
        <f>13.8005 * CHOOSE(CONTROL!$C$22, $C$13, 100%, $E$13)</f>
        <v>13.8005</v>
      </c>
      <c r="J484" s="68">
        <f>8.4581 * CHOOSE(CONTROL!$C$22, $C$13, 100%, $E$13)</f>
        <v>8.4581</v>
      </c>
      <c r="K484" s="68">
        <f>8.4594 * CHOOSE(CONTROL!$C$22, $C$13, 100%, $E$13)</f>
        <v>8.4594000000000005</v>
      </c>
    </row>
    <row r="485" spans="1:11" ht="15">
      <c r="A485" s="13">
        <v>55885</v>
      </c>
      <c r="B485" s="67">
        <f>7.2193 * CHOOSE(CONTROL!$C$22, $C$13, 100%, $E$13)</f>
        <v>7.2192999999999996</v>
      </c>
      <c r="C485" s="67">
        <f>7.2193 * CHOOSE(CONTROL!$C$22, $C$13, 100%, $E$13)</f>
        <v>7.2192999999999996</v>
      </c>
      <c r="D485" s="67">
        <f>7.2203 * CHOOSE(CONTROL!$C$22, $C$13, 100%, $E$13)</f>
        <v>7.2202999999999999</v>
      </c>
      <c r="E485" s="68">
        <f>8.5793 * CHOOSE(CONTROL!$C$22, $C$13, 100%, $E$13)</f>
        <v>8.5792999999999999</v>
      </c>
      <c r="F485" s="68">
        <f>8.5793 * CHOOSE(CONTROL!$C$22, $C$13, 100%, $E$13)</f>
        <v>8.5792999999999999</v>
      </c>
      <c r="G485" s="68">
        <f>8.5806 * CHOOSE(CONTROL!$C$22, $C$13, 100%, $E$13)</f>
        <v>8.5806000000000004</v>
      </c>
      <c r="H485" s="68">
        <f>13.828* CHOOSE(CONTROL!$C$22, $C$13, 100%, $E$13)</f>
        <v>13.827999999999999</v>
      </c>
      <c r="I485" s="68">
        <f>13.8293 * CHOOSE(CONTROL!$C$22, $C$13, 100%, $E$13)</f>
        <v>13.8293</v>
      </c>
      <c r="J485" s="68">
        <f>8.5793 * CHOOSE(CONTROL!$C$22, $C$13, 100%, $E$13)</f>
        <v>8.5792999999999999</v>
      </c>
      <c r="K485" s="68">
        <f>8.5806 * CHOOSE(CONTROL!$C$22, $C$13, 100%, $E$13)</f>
        <v>8.5806000000000004</v>
      </c>
    </row>
    <row r="486" spans="1:11" ht="15">
      <c r="A486" s="13">
        <v>55916</v>
      </c>
      <c r="B486" s="67">
        <f>7.2163 * CHOOSE(CONTROL!$C$22, $C$13, 100%, $E$13)</f>
        <v>7.2163000000000004</v>
      </c>
      <c r="C486" s="67">
        <f>7.2163 * CHOOSE(CONTROL!$C$22, $C$13, 100%, $E$13)</f>
        <v>7.2163000000000004</v>
      </c>
      <c r="D486" s="67">
        <f>7.2173 * CHOOSE(CONTROL!$C$22, $C$13, 100%, $E$13)</f>
        <v>7.2172999999999998</v>
      </c>
      <c r="E486" s="68">
        <f>8.4362 * CHOOSE(CONTROL!$C$22, $C$13, 100%, $E$13)</f>
        <v>8.4361999999999995</v>
      </c>
      <c r="F486" s="68">
        <f>8.4362 * CHOOSE(CONTROL!$C$22, $C$13, 100%, $E$13)</f>
        <v>8.4361999999999995</v>
      </c>
      <c r="G486" s="68">
        <f>8.4375 * CHOOSE(CONTROL!$C$22, $C$13, 100%, $E$13)</f>
        <v>8.4375</v>
      </c>
      <c r="H486" s="68">
        <f>13.8568* CHOOSE(CONTROL!$C$22, $C$13, 100%, $E$13)</f>
        <v>13.8568</v>
      </c>
      <c r="I486" s="68">
        <f>13.8581 * CHOOSE(CONTROL!$C$22, $C$13, 100%, $E$13)</f>
        <v>13.8581</v>
      </c>
      <c r="J486" s="68">
        <f>8.4362 * CHOOSE(CONTROL!$C$22, $C$13, 100%, $E$13)</f>
        <v>8.4361999999999995</v>
      </c>
      <c r="K486" s="68">
        <f>8.4375 * CHOOSE(CONTROL!$C$22, $C$13, 100%, $E$13)</f>
        <v>8.4375</v>
      </c>
    </row>
    <row r="487" spans="1:11" ht="15">
      <c r="A487" s="13">
        <v>55944</v>
      </c>
      <c r="B487" s="67">
        <f>7.2133 * CHOOSE(CONTROL!$C$22, $C$13, 100%, $E$13)</f>
        <v>7.2133000000000003</v>
      </c>
      <c r="C487" s="67">
        <f>7.2133 * CHOOSE(CONTROL!$C$22, $C$13, 100%, $E$13)</f>
        <v>7.2133000000000003</v>
      </c>
      <c r="D487" s="67">
        <f>7.2143 * CHOOSE(CONTROL!$C$22, $C$13, 100%, $E$13)</f>
        <v>7.2142999999999997</v>
      </c>
      <c r="E487" s="68">
        <f>8.5452 * CHOOSE(CONTROL!$C$22, $C$13, 100%, $E$13)</f>
        <v>8.5451999999999995</v>
      </c>
      <c r="F487" s="68">
        <f>8.5452 * CHOOSE(CONTROL!$C$22, $C$13, 100%, $E$13)</f>
        <v>8.5451999999999995</v>
      </c>
      <c r="G487" s="68">
        <f>8.5465 * CHOOSE(CONTROL!$C$22, $C$13, 100%, $E$13)</f>
        <v>8.5465</v>
      </c>
      <c r="H487" s="68">
        <f>13.8856* CHOOSE(CONTROL!$C$22, $C$13, 100%, $E$13)</f>
        <v>13.8856</v>
      </c>
      <c r="I487" s="68">
        <f>13.8869 * CHOOSE(CONTROL!$C$22, $C$13, 100%, $E$13)</f>
        <v>13.886900000000001</v>
      </c>
      <c r="J487" s="68">
        <f>8.5452 * CHOOSE(CONTROL!$C$22, $C$13, 100%, $E$13)</f>
        <v>8.5451999999999995</v>
      </c>
      <c r="K487" s="68">
        <f>8.5465 * CHOOSE(CONTROL!$C$22, $C$13, 100%, $E$13)</f>
        <v>8.5465</v>
      </c>
    </row>
    <row r="488" spans="1:11" ht="15">
      <c r="A488" s="13">
        <v>55975</v>
      </c>
      <c r="B488" s="67">
        <f>7.2137 * CHOOSE(CONTROL!$C$22, $C$13, 100%, $E$13)</f>
        <v>7.2137000000000002</v>
      </c>
      <c r="C488" s="67">
        <f>7.2137 * CHOOSE(CONTROL!$C$22, $C$13, 100%, $E$13)</f>
        <v>7.2137000000000002</v>
      </c>
      <c r="D488" s="67">
        <f>7.2147 * CHOOSE(CONTROL!$C$22, $C$13, 100%, $E$13)</f>
        <v>7.2146999999999997</v>
      </c>
      <c r="E488" s="68">
        <f>8.6604 * CHOOSE(CONTROL!$C$22, $C$13, 100%, $E$13)</f>
        <v>8.6603999999999992</v>
      </c>
      <c r="F488" s="68">
        <f>8.6604 * CHOOSE(CONTROL!$C$22, $C$13, 100%, $E$13)</f>
        <v>8.6603999999999992</v>
      </c>
      <c r="G488" s="68">
        <f>8.6617 * CHOOSE(CONTROL!$C$22, $C$13, 100%, $E$13)</f>
        <v>8.6616999999999997</v>
      </c>
      <c r="H488" s="68">
        <f>13.9146* CHOOSE(CONTROL!$C$22, $C$13, 100%, $E$13)</f>
        <v>13.9146</v>
      </c>
      <c r="I488" s="68">
        <f>13.9159 * CHOOSE(CONTROL!$C$22, $C$13, 100%, $E$13)</f>
        <v>13.915900000000001</v>
      </c>
      <c r="J488" s="68">
        <f>8.6604 * CHOOSE(CONTROL!$C$22, $C$13, 100%, $E$13)</f>
        <v>8.6603999999999992</v>
      </c>
      <c r="K488" s="68">
        <f>8.6617 * CHOOSE(CONTROL!$C$22, $C$13, 100%, $E$13)</f>
        <v>8.6616999999999997</v>
      </c>
    </row>
    <row r="489" spans="1:11" ht="15">
      <c r="A489" s="13">
        <v>56005</v>
      </c>
      <c r="B489" s="67">
        <f>7.2137 * CHOOSE(CONTROL!$C$22, $C$13, 100%, $E$13)</f>
        <v>7.2137000000000002</v>
      </c>
      <c r="C489" s="67">
        <f>7.2137 * CHOOSE(CONTROL!$C$22, $C$13, 100%, $E$13)</f>
        <v>7.2137000000000002</v>
      </c>
      <c r="D489" s="67">
        <f>7.2163 * CHOOSE(CONTROL!$C$22, $C$13, 100%, $E$13)</f>
        <v>7.2163000000000004</v>
      </c>
      <c r="E489" s="68">
        <f>8.7051 * CHOOSE(CONTROL!$C$22, $C$13, 100%, $E$13)</f>
        <v>8.7050999999999998</v>
      </c>
      <c r="F489" s="68">
        <f>8.7051 * CHOOSE(CONTROL!$C$22, $C$13, 100%, $E$13)</f>
        <v>8.7050999999999998</v>
      </c>
      <c r="G489" s="68">
        <f>8.7084 * CHOOSE(CONTROL!$C$22, $C$13, 100%, $E$13)</f>
        <v>8.7083999999999993</v>
      </c>
      <c r="H489" s="68">
        <f>13.9436* CHOOSE(CONTROL!$C$22, $C$13, 100%, $E$13)</f>
        <v>13.9436</v>
      </c>
      <c r="I489" s="68">
        <f>13.9468 * CHOOSE(CONTROL!$C$22, $C$13, 100%, $E$13)</f>
        <v>13.9468</v>
      </c>
      <c r="J489" s="68">
        <f>8.7051 * CHOOSE(CONTROL!$C$22, $C$13, 100%, $E$13)</f>
        <v>8.7050999999999998</v>
      </c>
      <c r="K489" s="68">
        <f>8.7084 * CHOOSE(CONTROL!$C$22, $C$13, 100%, $E$13)</f>
        <v>8.7083999999999993</v>
      </c>
    </row>
    <row r="490" spans="1:11" ht="15">
      <c r="A490" s="13">
        <v>56036</v>
      </c>
      <c r="B490" s="67">
        <f>7.2198 * CHOOSE(CONTROL!$C$22, $C$13, 100%, $E$13)</f>
        <v>7.2198000000000002</v>
      </c>
      <c r="C490" s="67">
        <f>7.2198 * CHOOSE(CONTROL!$C$22, $C$13, 100%, $E$13)</f>
        <v>7.2198000000000002</v>
      </c>
      <c r="D490" s="67">
        <f>7.2224 * CHOOSE(CONTROL!$C$22, $C$13, 100%, $E$13)</f>
        <v>7.2224000000000004</v>
      </c>
      <c r="E490" s="68">
        <f>8.6646 * CHOOSE(CONTROL!$C$22, $C$13, 100%, $E$13)</f>
        <v>8.6646000000000001</v>
      </c>
      <c r="F490" s="68">
        <f>8.6646 * CHOOSE(CONTROL!$C$22, $C$13, 100%, $E$13)</f>
        <v>8.6646000000000001</v>
      </c>
      <c r="G490" s="68">
        <f>8.6679 * CHOOSE(CONTROL!$C$22, $C$13, 100%, $E$13)</f>
        <v>8.6678999999999995</v>
      </c>
      <c r="H490" s="68">
        <f>13.9726* CHOOSE(CONTROL!$C$22, $C$13, 100%, $E$13)</f>
        <v>13.9726</v>
      </c>
      <c r="I490" s="68">
        <f>13.9759 * CHOOSE(CONTROL!$C$22, $C$13, 100%, $E$13)</f>
        <v>13.975899999999999</v>
      </c>
      <c r="J490" s="68">
        <f>8.6646 * CHOOSE(CONTROL!$C$22, $C$13, 100%, $E$13)</f>
        <v>8.6646000000000001</v>
      </c>
      <c r="K490" s="68">
        <f>8.6679 * CHOOSE(CONTROL!$C$22, $C$13, 100%, $E$13)</f>
        <v>8.6678999999999995</v>
      </c>
    </row>
    <row r="491" spans="1:11" ht="15">
      <c r="A491" s="13">
        <v>56066</v>
      </c>
      <c r="B491" s="67">
        <f>7.334 * CHOOSE(CONTROL!$C$22, $C$13, 100%, $E$13)</f>
        <v>7.3339999999999996</v>
      </c>
      <c r="C491" s="67">
        <f>7.334 * CHOOSE(CONTROL!$C$22, $C$13, 100%, $E$13)</f>
        <v>7.3339999999999996</v>
      </c>
      <c r="D491" s="67">
        <f>7.3367 * CHOOSE(CONTROL!$C$22, $C$13, 100%, $E$13)</f>
        <v>7.3367000000000004</v>
      </c>
      <c r="E491" s="68">
        <f>8.8078 * CHOOSE(CONTROL!$C$22, $C$13, 100%, $E$13)</f>
        <v>8.8078000000000003</v>
      </c>
      <c r="F491" s="68">
        <f>8.8078 * CHOOSE(CONTROL!$C$22, $C$13, 100%, $E$13)</f>
        <v>8.8078000000000003</v>
      </c>
      <c r="G491" s="68">
        <f>8.8111 * CHOOSE(CONTROL!$C$22, $C$13, 100%, $E$13)</f>
        <v>8.8110999999999997</v>
      </c>
      <c r="H491" s="68">
        <f>14.0017* CHOOSE(CONTROL!$C$22, $C$13, 100%, $E$13)</f>
        <v>14.0017</v>
      </c>
      <c r="I491" s="68">
        <f>14.005 * CHOOSE(CONTROL!$C$22, $C$13, 100%, $E$13)</f>
        <v>14.005000000000001</v>
      </c>
      <c r="J491" s="68">
        <f>8.8078 * CHOOSE(CONTROL!$C$22, $C$13, 100%, $E$13)</f>
        <v>8.8078000000000003</v>
      </c>
      <c r="K491" s="68">
        <f>8.8111 * CHOOSE(CONTROL!$C$22, $C$13, 100%, $E$13)</f>
        <v>8.8110999999999997</v>
      </c>
    </row>
    <row r="492" spans="1:11" ht="15">
      <c r="A492" s="13">
        <v>56097</v>
      </c>
      <c r="B492" s="67">
        <f>7.3407 * CHOOSE(CONTROL!$C$22, $C$13, 100%, $E$13)</f>
        <v>7.3407</v>
      </c>
      <c r="C492" s="67">
        <f>7.3407 * CHOOSE(CONTROL!$C$22, $C$13, 100%, $E$13)</f>
        <v>7.3407</v>
      </c>
      <c r="D492" s="67">
        <f>7.3433 * CHOOSE(CONTROL!$C$22, $C$13, 100%, $E$13)</f>
        <v>7.3433000000000002</v>
      </c>
      <c r="E492" s="68">
        <f>8.6782 * CHOOSE(CONTROL!$C$22, $C$13, 100%, $E$13)</f>
        <v>8.6782000000000004</v>
      </c>
      <c r="F492" s="68">
        <f>8.6782 * CHOOSE(CONTROL!$C$22, $C$13, 100%, $E$13)</f>
        <v>8.6782000000000004</v>
      </c>
      <c r="G492" s="68">
        <f>8.6814 * CHOOSE(CONTROL!$C$22, $C$13, 100%, $E$13)</f>
        <v>8.6814</v>
      </c>
      <c r="H492" s="68">
        <f>14.0309* CHOOSE(CONTROL!$C$22, $C$13, 100%, $E$13)</f>
        <v>14.030900000000001</v>
      </c>
      <c r="I492" s="68">
        <f>14.0341 * CHOOSE(CONTROL!$C$22, $C$13, 100%, $E$13)</f>
        <v>14.0341</v>
      </c>
      <c r="J492" s="68">
        <f>8.6782 * CHOOSE(CONTROL!$C$22, $C$13, 100%, $E$13)</f>
        <v>8.6782000000000004</v>
      </c>
      <c r="K492" s="68">
        <f>8.6814 * CHOOSE(CONTROL!$C$22, $C$13, 100%, $E$13)</f>
        <v>8.6814</v>
      </c>
    </row>
    <row r="493" spans="1:11" ht="15">
      <c r="A493" s="13">
        <v>56128</v>
      </c>
      <c r="B493" s="67">
        <f>7.3377 * CHOOSE(CONTROL!$C$22, $C$13, 100%, $E$13)</f>
        <v>7.3376999999999999</v>
      </c>
      <c r="C493" s="67">
        <f>7.3377 * CHOOSE(CONTROL!$C$22, $C$13, 100%, $E$13)</f>
        <v>7.3376999999999999</v>
      </c>
      <c r="D493" s="67">
        <f>7.3403 * CHOOSE(CONTROL!$C$22, $C$13, 100%, $E$13)</f>
        <v>7.3403</v>
      </c>
      <c r="E493" s="68">
        <f>8.6611 * CHOOSE(CONTROL!$C$22, $C$13, 100%, $E$13)</f>
        <v>8.6610999999999994</v>
      </c>
      <c r="F493" s="68">
        <f>8.6611 * CHOOSE(CONTROL!$C$22, $C$13, 100%, $E$13)</f>
        <v>8.6610999999999994</v>
      </c>
      <c r="G493" s="68">
        <f>8.6644 * CHOOSE(CONTROL!$C$22, $C$13, 100%, $E$13)</f>
        <v>8.6644000000000005</v>
      </c>
      <c r="H493" s="68">
        <f>14.0601* CHOOSE(CONTROL!$C$22, $C$13, 100%, $E$13)</f>
        <v>14.0601</v>
      </c>
      <c r="I493" s="68">
        <f>14.0634 * CHOOSE(CONTROL!$C$22, $C$13, 100%, $E$13)</f>
        <v>14.0634</v>
      </c>
      <c r="J493" s="68">
        <f>8.6611 * CHOOSE(CONTROL!$C$22, $C$13, 100%, $E$13)</f>
        <v>8.6610999999999994</v>
      </c>
      <c r="K493" s="68">
        <f>8.6644 * CHOOSE(CONTROL!$C$22, $C$13, 100%, $E$13)</f>
        <v>8.6644000000000005</v>
      </c>
    </row>
    <row r="494" spans="1:11" ht="15">
      <c r="A494" s="13">
        <v>56158</v>
      </c>
      <c r="B494" s="67">
        <f>7.3437 * CHOOSE(CONTROL!$C$22, $C$13, 100%, $E$13)</f>
        <v>7.3437000000000001</v>
      </c>
      <c r="C494" s="67">
        <f>7.3437 * CHOOSE(CONTROL!$C$22, $C$13, 100%, $E$13)</f>
        <v>7.3437000000000001</v>
      </c>
      <c r="D494" s="67">
        <f>7.3447 * CHOOSE(CONTROL!$C$22, $C$13, 100%, $E$13)</f>
        <v>7.3446999999999996</v>
      </c>
      <c r="E494" s="68">
        <f>8.7074 * CHOOSE(CONTROL!$C$22, $C$13, 100%, $E$13)</f>
        <v>8.7073999999999998</v>
      </c>
      <c r="F494" s="68">
        <f>8.7074 * CHOOSE(CONTROL!$C$22, $C$13, 100%, $E$13)</f>
        <v>8.7073999999999998</v>
      </c>
      <c r="G494" s="68">
        <f>8.7087 * CHOOSE(CONTROL!$C$22, $C$13, 100%, $E$13)</f>
        <v>8.7087000000000003</v>
      </c>
      <c r="H494" s="68">
        <f>14.0894* CHOOSE(CONTROL!$C$22, $C$13, 100%, $E$13)</f>
        <v>14.089399999999999</v>
      </c>
      <c r="I494" s="68">
        <f>14.0907 * CHOOSE(CONTROL!$C$22, $C$13, 100%, $E$13)</f>
        <v>14.0907</v>
      </c>
      <c r="J494" s="68">
        <f>8.7074 * CHOOSE(CONTROL!$C$22, $C$13, 100%, $E$13)</f>
        <v>8.7073999999999998</v>
      </c>
      <c r="K494" s="68">
        <f>8.7087 * CHOOSE(CONTROL!$C$22, $C$13, 100%, $E$13)</f>
        <v>8.7087000000000003</v>
      </c>
    </row>
    <row r="495" spans="1:11" ht="15">
      <c r="A495" s="13">
        <v>56189</v>
      </c>
      <c r="B495" s="67">
        <f>7.3468 * CHOOSE(CONTROL!$C$22, $C$13, 100%, $E$13)</f>
        <v>7.3468</v>
      </c>
      <c r="C495" s="67">
        <f>7.3468 * CHOOSE(CONTROL!$C$22, $C$13, 100%, $E$13)</f>
        <v>7.3468</v>
      </c>
      <c r="D495" s="67">
        <f>7.3478 * CHOOSE(CONTROL!$C$22, $C$13, 100%, $E$13)</f>
        <v>7.3478000000000003</v>
      </c>
      <c r="E495" s="68">
        <f>8.7394 * CHOOSE(CONTROL!$C$22, $C$13, 100%, $E$13)</f>
        <v>8.7393999999999998</v>
      </c>
      <c r="F495" s="68">
        <f>8.7394 * CHOOSE(CONTROL!$C$22, $C$13, 100%, $E$13)</f>
        <v>8.7393999999999998</v>
      </c>
      <c r="G495" s="68">
        <f>8.7407 * CHOOSE(CONTROL!$C$22, $C$13, 100%, $E$13)</f>
        <v>8.7407000000000004</v>
      </c>
      <c r="H495" s="68">
        <f>14.1188* CHOOSE(CONTROL!$C$22, $C$13, 100%, $E$13)</f>
        <v>14.1188</v>
      </c>
      <c r="I495" s="68">
        <f>14.12 * CHOOSE(CONTROL!$C$22, $C$13, 100%, $E$13)</f>
        <v>14.12</v>
      </c>
      <c r="J495" s="68">
        <f>8.7394 * CHOOSE(CONTROL!$C$22, $C$13, 100%, $E$13)</f>
        <v>8.7393999999999998</v>
      </c>
      <c r="K495" s="68">
        <f>8.7407 * CHOOSE(CONTROL!$C$22, $C$13, 100%, $E$13)</f>
        <v>8.7407000000000004</v>
      </c>
    </row>
    <row r="496" spans="1:11" ht="15">
      <c r="A496" s="13">
        <v>56219</v>
      </c>
      <c r="B496" s="67">
        <f>7.3468 * CHOOSE(CONTROL!$C$22, $C$13, 100%, $E$13)</f>
        <v>7.3468</v>
      </c>
      <c r="C496" s="67">
        <f>7.3468 * CHOOSE(CONTROL!$C$22, $C$13, 100%, $E$13)</f>
        <v>7.3468</v>
      </c>
      <c r="D496" s="67">
        <f>7.3478 * CHOOSE(CONTROL!$C$22, $C$13, 100%, $E$13)</f>
        <v>7.3478000000000003</v>
      </c>
      <c r="E496" s="68">
        <f>8.6648 * CHOOSE(CONTROL!$C$22, $C$13, 100%, $E$13)</f>
        <v>8.6647999999999996</v>
      </c>
      <c r="F496" s="68">
        <f>8.6648 * CHOOSE(CONTROL!$C$22, $C$13, 100%, $E$13)</f>
        <v>8.6647999999999996</v>
      </c>
      <c r="G496" s="68">
        <f>8.666 * CHOOSE(CONTROL!$C$22, $C$13, 100%, $E$13)</f>
        <v>8.6660000000000004</v>
      </c>
      <c r="H496" s="68">
        <f>14.1482* CHOOSE(CONTROL!$C$22, $C$13, 100%, $E$13)</f>
        <v>14.148199999999999</v>
      </c>
      <c r="I496" s="68">
        <f>14.1495 * CHOOSE(CONTROL!$C$22, $C$13, 100%, $E$13)</f>
        <v>14.1495</v>
      </c>
      <c r="J496" s="68">
        <f>8.6648 * CHOOSE(CONTROL!$C$22, $C$13, 100%, $E$13)</f>
        <v>8.6647999999999996</v>
      </c>
      <c r="K496" s="68">
        <f>8.666 * CHOOSE(CONTROL!$C$22, $C$13, 100%, $E$13)</f>
        <v>8.6660000000000004</v>
      </c>
    </row>
    <row r="497" spans="1:11" ht="15">
      <c r="A497" s="13">
        <v>56250</v>
      </c>
      <c r="B497" s="67">
        <f>7.4101 * CHOOSE(CONTROL!$C$22, $C$13, 100%, $E$13)</f>
        <v>7.4100999999999999</v>
      </c>
      <c r="C497" s="67">
        <f>7.4101 * CHOOSE(CONTROL!$C$22, $C$13, 100%, $E$13)</f>
        <v>7.4100999999999999</v>
      </c>
      <c r="D497" s="67">
        <f>7.4111 * CHOOSE(CONTROL!$C$22, $C$13, 100%, $E$13)</f>
        <v>7.4111000000000002</v>
      </c>
      <c r="E497" s="68">
        <f>8.7891 * CHOOSE(CONTROL!$C$22, $C$13, 100%, $E$13)</f>
        <v>8.7890999999999995</v>
      </c>
      <c r="F497" s="68">
        <f>8.7891 * CHOOSE(CONTROL!$C$22, $C$13, 100%, $E$13)</f>
        <v>8.7890999999999995</v>
      </c>
      <c r="G497" s="68">
        <f>8.7904 * CHOOSE(CONTROL!$C$22, $C$13, 100%, $E$13)</f>
        <v>8.7904</v>
      </c>
      <c r="H497" s="68">
        <f>14.1777* CHOOSE(CONTROL!$C$22, $C$13, 100%, $E$13)</f>
        <v>14.1777</v>
      </c>
      <c r="I497" s="68">
        <f>14.1789 * CHOOSE(CONTROL!$C$22, $C$13, 100%, $E$13)</f>
        <v>14.178900000000001</v>
      </c>
      <c r="J497" s="68">
        <f>8.7891 * CHOOSE(CONTROL!$C$22, $C$13, 100%, $E$13)</f>
        <v>8.7890999999999995</v>
      </c>
      <c r="K497" s="68">
        <f>8.7904 * CHOOSE(CONTROL!$C$22, $C$13, 100%, $E$13)</f>
        <v>8.7904</v>
      </c>
    </row>
    <row r="498" spans="1:11" ht="15">
      <c r="A498" s="13">
        <v>56281</v>
      </c>
      <c r="B498" s="67">
        <f>7.4071 * CHOOSE(CONTROL!$C$22, $C$13, 100%, $E$13)</f>
        <v>7.4070999999999998</v>
      </c>
      <c r="C498" s="67">
        <f>7.4071 * CHOOSE(CONTROL!$C$22, $C$13, 100%, $E$13)</f>
        <v>7.4070999999999998</v>
      </c>
      <c r="D498" s="67">
        <f>7.4081 * CHOOSE(CONTROL!$C$22, $C$13, 100%, $E$13)</f>
        <v>7.4081000000000001</v>
      </c>
      <c r="E498" s="68">
        <f>8.642 * CHOOSE(CONTROL!$C$22, $C$13, 100%, $E$13)</f>
        <v>8.6419999999999995</v>
      </c>
      <c r="F498" s="68">
        <f>8.642 * CHOOSE(CONTROL!$C$22, $C$13, 100%, $E$13)</f>
        <v>8.6419999999999995</v>
      </c>
      <c r="G498" s="68">
        <f>8.6433 * CHOOSE(CONTROL!$C$22, $C$13, 100%, $E$13)</f>
        <v>8.6433</v>
      </c>
      <c r="H498" s="68">
        <f>14.2072* CHOOSE(CONTROL!$C$22, $C$13, 100%, $E$13)</f>
        <v>14.2072</v>
      </c>
      <c r="I498" s="68">
        <f>14.2085 * CHOOSE(CONTROL!$C$22, $C$13, 100%, $E$13)</f>
        <v>14.208500000000001</v>
      </c>
      <c r="J498" s="68">
        <f>8.642 * CHOOSE(CONTROL!$C$22, $C$13, 100%, $E$13)</f>
        <v>8.6419999999999995</v>
      </c>
      <c r="K498" s="68">
        <f>8.6433 * CHOOSE(CONTROL!$C$22, $C$13, 100%, $E$13)</f>
        <v>8.6433</v>
      </c>
    </row>
    <row r="499" spans="1:11" ht="15">
      <c r="A499" s="13">
        <v>56309</v>
      </c>
      <c r="B499" s="67">
        <f>7.4041 * CHOOSE(CONTROL!$C$22, $C$13, 100%, $E$13)</f>
        <v>7.4040999999999997</v>
      </c>
      <c r="C499" s="67">
        <f>7.4041 * CHOOSE(CONTROL!$C$22, $C$13, 100%, $E$13)</f>
        <v>7.4040999999999997</v>
      </c>
      <c r="D499" s="67">
        <f>7.405 * CHOOSE(CONTROL!$C$22, $C$13, 100%, $E$13)</f>
        <v>7.4050000000000002</v>
      </c>
      <c r="E499" s="68">
        <f>8.7542 * CHOOSE(CONTROL!$C$22, $C$13, 100%, $E$13)</f>
        <v>8.7542000000000009</v>
      </c>
      <c r="F499" s="68">
        <f>8.7542 * CHOOSE(CONTROL!$C$22, $C$13, 100%, $E$13)</f>
        <v>8.7542000000000009</v>
      </c>
      <c r="G499" s="68">
        <f>8.7554 * CHOOSE(CONTROL!$C$22, $C$13, 100%, $E$13)</f>
        <v>8.7553999999999998</v>
      </c>
      <c r="H499" s="68">
        <f>14.2368* CHOOSE(CONTROL!$C$22, $C$13, 100%, $E$13)</f>
        <v>14.236800000000001</v>
      </c>
      <c r="I499" s="68">
        <f>14.2381 * CHOOSE(CONTROL!$C$22, $C$13, 100%, $E$13)</f>
        <v>14.238099999999999</v>
      </c>
      <c r="J499" s="68">
        <f>8.7542 * CHOOSE(CONTROL!$C$22, $C$13, 100%, $E$13)</f>
        <v>8.7542000000000009</v>
      </c>
      <c r="K499" s="68">
        <f>8.7554 * CHOOSE(CONTROL!$C$22, $C$13, 100%, $E$13)</f>
        <v>8.7553999999999998</v>
      </c>
    </row>
    <row r="500" spans="1:11" ht="15">
      <c r="A500" s="13">
        <v>56340</v>
      </c>
      <c r="B500" s="67">
        <f>7.4046 * CHOOSE(CONTROL!$C$22, $C$13, 100%, $E$13)</f>
        <v>7.4046000000000003</v>
      </c>
      <c r="C500" s="67">
        <f>7.4046 * CHOOSE(CONTROL!$C$22, $C$13, 100%, $E$13)</f>
        <v>7.4046000000000003</v>
      </c>
      <c r="D500" s="67">
        <f>7.4056 * CHOOSE(CONTROL!$C$22, $C$13, 100%, $E$13)</f>
        <v>7.4055999999999997</v>
      </c>
      <c r="E500" s="68">
        <f>8.8727 * CHOOSE(CONTROL!$C$22, $C$13, 100%, $E$13)</f>
        <v>8.8727</v>
      </c>
      <c r="F500" s="68">
        <f>8.8727 * CHOOSE(CONTROL!$C$22, $C$13, 100%, $E$13)</f>
        <v>8.8727</v>
      </c>
      <c r="G500" s="68">
        <f>8.8739 * CHOOSE(CONTROL!$C$22, $C$13, 100%, $E$13)</f>
        <v>8.8739000000000008</v>
      </c>
      <c r="H500" s="68">
        <f>14.2664* CHOOSE(CONTROL!$C$22, $C$13, 100%, $E$13)</f>
        <v>14.266400000000001</v>
      </c>
      <c r="I500" s="68">
        <f>14.2677 * CHOOSE(CONTROL!$C$22, $C$13, 100%, $E$13)</f>
        <v>14.2677</v>
      </c>
      <c r="J500" s="68">
        <f>8.8727 * CHOOSE(CONTROL!$C$22, $C$13, 100%, $E$13)</f>
        <v>8.8727</v>
      </c>
      <c r="K500" s="68">
        <f>8.8739 * CHOOSE(CONTROL!$C$22, $C$13, 100%, $E$13)</f>
        <v>8.8739000000000008</v>
      </c>
    </row>
    <row r="501" spans="1:11" ht="15">
      <c r="A501" s="13">
        <v>56370</v>
      </c>
      <c r="B501" s="67">
        <f>7.4046 * CHOOSE(CONTROL!$C$22, $C$13, 100%, $E$13)</f>
        <v>7.4046000000000003</v>
      </c>
      <c r="C501" s="67">
        <f>7.4046 * CHOOSE(CONTROL!$C$22, $C$13, 100%, $E$13)</f>
        <v>7.4046000000000003</v>
      </c>
      <c r="D501" s="67">
        <f>7.4072 * CHOOSE(CONTROL!$C$22, $C$13, 100%, $E$13)</f>
        <v>7.4071999999999996</v>
      </c>
      <c r="E501" s="68">
        <f>8.9187 * CHOOSE(CONTROL!$C$22, $C$13, 100%, $E$13)</f>
        <v>8.9186999999999994</v>
      </c>
      <c r="F501" s="68">
        <f>8.9187 * CHOOSE(CONTROL!$C$22, $C$13, 100%, $E$13)</f>
        <v>8.9186999999999994</v>
      </c>
      <c r="G501" s="68">
        <f>8.9219 * CHOOSE(CONTROL!$C$22, $C$13, 100%, $E$13)</f>
        <v>8.9219000000000008</v>
      </c>
      <c r="H501" s="68">
        <f>14.2962* CHOOSE(CONTROL!$C$22, $C$13, 100%, $E$13)</f>
        <v>14.296200000000001</v>
      </c>
      <c r="I501" s="68">
        <f>14.2994 * CHOOSE(CONTROL!$C$22, $C$13, 100%, $E$13)</f>
        <v>14.2994</v>
      </c>
      <c r="J501" s="68">
        <f>8.9187 * CHOOSE(CONTROL!$C$22, $C$13, 100%, $E$13)</f>
        <v>8.9186999999999994</v>
      </c>
      <c r="K501" s="68">
        <f>8.9219 * CHOOSE(CONTROL!$C$22, $C$13, 100%, $E$13)</f>
        <v>8.9219000000000008</v>
      </c>
    </row>
    <row r="502" spans="1:11" ht="15">
      <c r="A502" s="13">
        <v>56401</v>
      </c>
      <c r="B502" s="67">
        <f>7.4107 * CHOOSE(CONTROL!$C$22, $C$13, 100%, $E$13)</f>
        <v>7.4107000000000003</v>
      </c>
      <c r="C502" s="67">
        <f>7.4107 * CHOOSE(CONTROL!$C$22, $C$13, 100%, $E$13)</f>
        <v>7.4107000000000003</v>
      </c>
      <c r="D502" s="67">
        <f>7.4133 * CHOOSE(CONTROL!$C$22, $C$13, 100%, $E$13)</f>
        <v>7.4132999999999996</v>
      </c>
      <c r="E502" s="68">
        <f>8.8769 * CHOOSE(CONTROL!$C$22, $C$13, 100%, $E$13)</f>
        <v>8.8768999999999991</v>
      </c>
      <c r="F502" s="68">
        <f>8.8769 * CHOOSE(CONTROL!$C$22, $C$13, 100%, $E$13)</f>
        <v>8.8768999999999991</v>
      </c>
      <c r="G502" s="68">
        <f>8.8801 * CHOOSE(CONTROL!$C$22, $C$13, 100%, $E$13)</f>
        <v>8.8801000000000005</v>
      </c>
      <c r="H502" s="68">
        <f>14.326* CHOOSE(CONTROL!$C$22, $C$13, 100%, $E$13)</f>
        <v>14.326000000000001</v>
      </c>
      <c r="I502" s="68">
        <f>14.3292 * CHOOSE(CONTROL!$C$22, $C$13, 100%, $E$13)</f>
        <v>14.3292</v>
      </c>
      <c r="J502" s="68">
        <f>8.8769 * CHOOSE(CONTROL!$C$22, $C$13, 100%, $E$13)</f>
        <v>8.8768999999999991</v>
      </c>
      <c r="K502" s="68">
        <f>8.8801 * CHOOSE(CONTROL!$C$22, $C$13, 100%, $E$13)</f>
        <v>8.8801000000000005</v>
      </c>
    </row>
    <row r="503" spans="1:11" ht="15">
      <c r="A503" s="13">
        <v>56431</v>
      </c>
      <c r="B503" s="67">
        <f>7.5277 * CHOOSE(CONTROL!$C$22, $C$13, 100%, $E$13)</f>
        <v>7.5277000000000003</v>
      </c>
      <c r="C503" s="67">
        <f>7.5277 * CHOOSE(CONTROL!$C$22, $C$13, 100%, $E$13)</f>
        <v>7.5277000000000003</v>
      </c>
      <c r="D503" s="67">
        <f>7.5304 * CHOOSE(CONTROL!$C$22, $C$13, 100%, $E$13)</f>
        <v>7.5304000000000002</v>
      </c>
      <c r="E503" s="68">
        <f>9.0233 * CHOOSE(CONTROL!$C$22, $C$13, 100%, $E$13)</f>
        <v>9.0233000000000008</v>
      </c>
      <c r="F503" s="68">
        <f>9.0233 * CHOOSE(CONTROL!$C$22, $C$13, 100%, $E$13)</f>
        <v>9.0233000000000008</v>
      </c>
      <c r="G503" s="68">
        <f>9.0266 * CHOOSE(CONTROL!$C$22, $C$13, 100%, $E$13)</f>
        <v>9.0266000000000002</v>
      </c>
      <c r="H503" s="68">
        <f>14.3558* CHOOSE(CONTROL!$C$22, $C$13, 100%, $E$13)</f>
        <v>14.3558</v>
      </c>
      <c r="I503" s="68">
        <f>14.3591 * CHOOSE(CONTROL!$C$22, $C$13, 100%, $E$13)</f>
        <v>14.3591</v>
      </c>
      <c r="J503" s="68">
        <f>9.0233 * CHOOSE(CONTROL!$C$22, $C$13, 100%, $E$13)</f>
        <v>9.0233000000000008</v>
      </c>
      <c r="K503" s="68">
        <f>9.0266 * CHOOSE(CONTROL!$C$22, $C$13, 100%, $E$13)</f>
        <v>9.0266000000000002</v>
      </c>
    </row>
    <row r="504" spans="1:11" ht="15">
      <c r="A504" s="13">
        <v>56462</v>
      </c>
      <c r="B504" s="67">
        <f>7.5344 * CHOOSE(CONTROL!$C$22, $C$13, 100%, $E$13)</f>
        <v>7.5343999999999998</v>
      </c>
      <c r="C504" s="67">
        <f>7.5344 * CHOOSE(CONTROL!$C$22, $C$13, 100%, $E$13)</f>
        <v>7.5343999999999998</v>
      </c>
      <c r="D504" s="67">
        <f>7.537 * CHOOSE(CONTROL!$C$22, $C$13, 100%, $E$13)</f>
        <v>7.5369999999999999</v>
      </c>
      <c r="E504" s="68">
        <f>8.8899 * CHOOSE(CONTROL!$C$22, $C$13, 100%, $E$13)</f>
        <v>8.8899000000000008</v>
      </c>
      <c r="F504" s="68">
        <f>8.8899 * CHOOSE(CONTROL!$C$22, $C$13, 100%, $E$13)</f>
        <v>8.8899000000000008</v>
      </c>
      <c r="G504" s="68">
        <f>8.8932 * CHOOSE(CONTROL!$C$22, $C$13, 100%, $E$13)</f>
        <v>8.8932000000000002</v>
      </c>
      <c r="H504" s="68">
        <f>14.3857* CHOOSE(CONTROL!$C$22, $C$13, 100%, $E$13)</f>
        <v>14.3857</v>
      </c>
      <c r="I504" s="68">
        <f>14.389 * CHOOSE(CONTROL!$C$22, $C$13, 100%, $E$13)</f>
        <v>14.388999999999999</v>
      </c>
      <c r="J504" s="68">
        <f>8.8899 * CHOOSE(CONTROL!$C$22, $C$13, 100%, $E$13)</f>
        <v>8.8899000000000008</v>
      </c>
      <c r="K504" s="68">
        <f>8.8932 * CHOOSE(CONTROL!$C$22, $C$13, 100%, $E$13)</f>
        <v>8.8932000000000002</v>
      </c>
    </row>
    <row r="505" spans="1:11" ht="15">
      <c r="A505" s="13">
        <v>56493</v>
      </c>
      <c r="B505" s="67">
        <f>7.5314 * CHOOSE(CONTROL!$C$22, $C$13, 100%, $E$13)</f>
        <v>7.5313999999999997</v>
      </c>
      <c r="C505" s="67">
        <f>7.5314 * CHOOSE(CONTROL!$C$22, $C$13, 100%, $E$13)</f>
        <v>7.5313999999999997</v>
      </c>
      <c r="D505" s="67">
        <f>7.534 * CHOOSE(CONTROL!$C$22, $C$13, 100%, $E$13)</f>
        <v>7.5339999999999998</v>
      </c>
      <c r="E505" s="68">
        <f>8.8725 * CHOOSE(CONTROL!$C$22, $C$13, 100%, $E$13)</f>
        <v>8.8725000000000005</v>
      </c>
      <c r="F505" s="68">
        <f>8.8725 * CHOOSE(CONTROL!$C$22, $C$13, 100%, $E$13)</f>
        <v>8.8725000000000005</v>
      </c>
      <c r="G505" s="68">
        <f>8.8757 * CHOOSE(CONTROL!$C$22, $C$13, 100%, $E$13)</f>
        <v>8.8757000000000001</v>
      </c>
      <c r="H505" s="68">
        <f>14.4157* CHOOSE(CONTROL!$C$22, $C$13, 100%, $E$13)</f>
        <v>14.415699999999999</v>
      </c>
      <c r="I505" s="68">
        <f>14.4189 * CHOOSE(CONTROL!$C$22, $C$13, 100%, $E$13)</f>
        <v>14.418900000000001</v>
      </c>
      <c r="J505" s="68">
        <f>8.8725 * CHOOSE(CONTROL!$C$22, $C$13, 100%, $E$13)</f>
        <v>8.8725000000000005</v>
      </c>
      <c r="K505" s="68">
        <f>8.8757 * CHOOSE(CONTROL!$C$22, $C$13, 100%, $E$13)</f>
        <v>8.8757000000000001</v>
      </c>
    </row>
    <row r="506" spans="1:11" ht="15">
      <c r="A506" s="13">
        <v>56523</v>
      </c>
      <c r="B506" s="67">
        <f>7.5381 * CHOOSE(CONTROL!$C$22, $C$13, 100%, $E$13)</f>
        <v>7.5381</v>
      </c>
      <c r="C506" s="67">
        <f>7.5381 * CHOOSE(CONTROL!$C$22, $C$13, 100%, $E$13)</f>
        <v>7.5381</v>
      </c>
      <c r="D506" s="67">
        <f>7.539 * CHOOSE(CONTROL!$C$22, $C$13, 100%, $E$13)</f>
        <v>7.5389999999999997</v>
      </c>
      <c r="E506" s="68">
        <f>8.9204 * CHOOSE(CONTROL!$C$22, $C$13, 100%, $E$13)</f>
        <v>8.9204000000000008</v>
      </c>
      <c r="F506" s="68">
        <f>8.9204 * CHOOSE(CONTROL!$C$22, $C$13, 100%, $E$13)</f>
        <v>8.9204000000000008</v>
      </c>
      <c r="G506" s="68">
        <f>8.9217 * CHOOSE(CONTROL!$C$22, $C$13, 100%, $E$13)</f>
        <v>8.9216999999999995</v>
      </c>
      <c r="H506" s="68">
        <f>14.4457* CHOOSE(CONTROL!$C$22, $C$13, 100%, $E$13)</f>
        <v>14.4457</v>
      </c>
      <c r="I506" s="68">
        <f>14.447 * CHOOSE(CONTROL!$C$22, $C$13, 100%, $E$13)</f>
        <v>14.446999999999999</v>
      </c>
      <c r="J506" s="68">
        <f>8.9204 * CHOOSE(CONTROL!$C$22, $C$13, 100%, $E$13)</f>
        <v>8.9204000000000008</v>
      </c>
      <c r="K506" s="68">
        <f>8.9217 * CHOOSE(CONTROL!$C$22, $C$13, 100%, $E$13)</f>
        <v>8.9216999999999995</v>
      </c>
    </row>
    <row r="507" spans="1:11" ht="15">
      <c r="A507" s="13">
        <v>56554</v>
      </c>
      <c r="B507" s="67">
        <f>7.5411 * CHOOSE(CONTROL!$C$22, $C$13, 100%, $E$13)</f>
        <v>7.5411000000000001</v>
      </c>
      <c r="C507" s="67">
        <f>7.5411 * CHOOSE(CONTROL!$C$22, $C$13, 100%, $E$13)</f>
        <v>7.5411000000000001</v>
      </c>
      <c r="D507" s="67">
        <f>7.5421 * CHOOSE(CONTROL!$C$22, $C$13, 100%, $E$13)</f>
        <v>7.5420999999999996</v>
      </c>
      <c r="E507" s="68">
        <f>8.9532 * CHOOSE(CONTROL!$C$22, $C$13, 100%, $E$13)</f>
        <v>8.9532000000000007</v>
      </c>
      <c r="F507" s="68">
        <f>8.9532 * CHOOSE(CONTROL!$C$22, $C$13, 100%, $E$13)</f>
        <v>8.9532000000000007</v>
      </c>
      <c r="G507" s="68">
        <f>8.9545 * CHOOSE(CONTROL!$C$22, $C$13, 100%, $E$13)</f>
        <v>8.9544999999999995</v>
      </c>
      <c r="H507" s="68">
        <f>14.4758* CHOOSE(CONTROL!$C$22, $C$13, 100%, $E$13)</f>
        <v>14.4758</v>
      </c>
      <c r="I507" s="68">
        <f>14.4771 * CHOOSE(CONTROL!$C$22, $C$13, 100%, $E$13)</f>
        <v>14.4771</v>
      </c>
      <c r="J507" s="68">
        <f>8.9532 * CHOOSE(CONTROL!$C$22, $C$13, 100%, $E$13)</f>
        <v>8.9532000000000007</v>
      </c>
      <c r="K507" s="68">
        <f>8.9545 * CHOOSE(CONTROL!$C$22, $C$13, 100%, $E$13)</f>
        <v>8.9544999999999995</v>
      </c>
    </row>
    <row r="508" spans="1:11" ht="15">
      <c r="A508" s="13">
        <v>56584</v>
      </c>
      <c r="B508" s="67">
        <f>7.5411 * CHOOSE(CONTROL!$C$22, $C$13, 100%, $E$13)</f>
        <v>7.5411000000000001</v>
      </c>
      <c r="C508" s="67">
        <f>7.5411 * CHOOSE(CONTROL!$C$22, $C$13, 100%, $E$13)</f>
        <v>7.5411000000000001</v>
      </c>
      <c r="D508" s="67">
        <f>7.5421 * CHOOSE(CONTROL!$C$22, $C$13, 100%, $E$13)</f>
        <v>7.5420999999999996</v>
      </c>
      <c r="E508" s="68">
        <f>8.8765 * CHOOSE(CONTROL!$C$22, $C$13, 100%, $E$13)</f>
        <v>8.8765000000000001</v>
      </c>
      <c r="F508" s="68">
        <f>8.8765 * CHOOSE(CONTROL!$C$22, $C$13, 100%, $E$13)</f>
        <v>8.8765000000000001</v>
      </c>
      <c r="G508" s="68">
        <f>8.8778 * CHOOSE(CONTROL!$C$22, $C$13, 100%, $E$13)</f>
        <v>8.8778000000000006</v>
      </c>
      <c r="H508" s="68">
        <f>14.506* CHOOSE(CONTROL!$C$22, $C$13, 100%, $E$13)</f>
        <v>14.506</v>
      </c>
      <c r="I508" s="68">
        <f>14.5072 * CHOOSE(CONTROL!$C$22, $C$13, 100%, $E$13)</f>
        <v>14.507199999999999</v>
      </c>
      <c r="J508" s="68">
        <f>8.8765 * CHOOSE(CONTROL!$C$22, $C$13, 100%, $E$13)</f>
        <v>8.8765000000000001</v>
      </c>
      <c r="K508" s="68">
        <f>8.8778 * CHOOSE(CONTROL!$C$22, $C$13, 100%, $E$13)</f>
        <v>8.8778000000000006</v>
      </c>
    </row>
    <row r="509" spans="1:11" ht="15">
      <c r="A509" s="13">
        <v>56615</v>
      </c>
      <c r="B509" s="67">
        <f>7.606 * CHOOSE(CONTROL!$C$22, $C$13, 100%, $E$13)</f>
        <v>7.6059999999999999</v>
      </c>
      <c r="C509" s="67">
        <f>7.606 * CHOOSE(CONTROL!$C$22, $C$13, 100%, $E$13)</f>
        <v>7.6059999999999999</v>
      </c>
      <c r="D509" s="67">
        <f>7.607 * CHOOSE(CONTROL!$C$22, $C$13, 100%, $E$13)</f>
        <v>7.6070000000000002</v>
      </c>
      <c r="E509" s="68">
        <f>9.004 * CHOOSE(CONTROL!$C$22, $C$13, 100%, $E$13)</f>
        <v>9.0039999999999996</v>
      </c>
      <c r="F509" s="68">
        <f>9.004 * CHOOSE(CONTROL!$C$22, $C$13, 100%, $E$13)</f>
        <v>9.0039999999999996</v>
      </c>
      <c r="G509" s="68">
        <f>9.0053 * CHOOSE(CONTROL!$C$22, $C$13, 100%, $E$13)</f>
        <v>9.0053000000000001</v>
      </c>
      <c r="H509" s="68">
        <f>14.5362* CHOOSE(CONTROL!$C$22, $C$13, 100%, $E$13)</f>
        <v>14.536199999999999</v>
      </c>
      <c r="I509" s="68">
        <f>14.5375 * CHOOSE(CONTROL!$C$22, $C$13, 100%, $E$13)</f>
        <v>14.5375</v>
      </c>
      <c r="J509" s="68">
        <f>9.004 * CHOOSE(CONTROL!$C$22, $C$13, 100%, $E$13)</f>
        <v>9.0039999999999996</v>
      </c>
      <c r="K509" s="68">
        <f>9.0053 * CHOOSE(CONTROL!$C$22, $C$13, 100%, $E$13)</f>
        <v>9.0053000000000001</v>
      </c>
    </row>
    <row r="510" spans="1:11" ht="15">
      <c r="A510" s="13">
        <v>56646</v>
      </c>
      <c r="B510" s="67">
        <f>7.603 * CHOOSE(CONTROL!$C$22, $C$13, 100%, $E$13)</f>
        <v>7.6029999999999998</v>
      </c>
      <c r="C510" s="67">
        <f>7.603 * CHOOSE(CONTROL!$C$22, $C$13, 100%, $E$13)</f>
        <v>7.6029999999999998</v>
      </c>
      <c r="D510" s="67">
        <f>7.604 * CHOOSE(CONTROL!$C$22, $C$13, 100%, $E$13)</f>
        <v>7.6040000000000001</v>
      </c>
      <c r="E510" s="68">
        <f>8.8528 * CHOOSE(CONTROL!$C$22, $C$13, 100%, $E$13)</f>
        <v>8.8528000000000002</v>
      </c>
      <c r="F510" s="68">
        <f>8.8528 * CHOOSE(CONTROL!$C$22, $C$13, 100%, $E$13)</f>
        <v>8.8528000000000002</v>
      </c>
      <c r="G510" s="68">
        <f>8.8541 * CHOOSE(CONTROL!$C$22, $C$13, 100%, $E$13)</f>
        <v>8.8541000000000007</v>
      </c>
      <c r="H510" s="68">
        <f>14.5665* CHOOSE(CONTROL!$C$22, $C$13, 100%, $E$13)</f>
        <v>14.5665</v>
      </c>
      <c r="I510" s="68">
        <f>14.5678 * CHOOSE(CONTROL!$C$22, $C$13, 100%, $E$13)</f>
        <v>14.5678</v>
      </c>
      <c r="J510" s="68">
        <f>8.8528 * CHOOSE(CONTROL!$C$22, $C$13, 100%, $E$13)</f>
        <v>8.8528000000000002</v>
      </c>
      <c r="K510" s="68">
        <f>8.8541 * CHOOSE(CONTROL!$C$22, $C$13, 100%, $E$13)</f>
        <v>8.8541000000000007</v>
      </c>
    </row>
    <row r="511" spans="1:11" ht="15">
      <c r="A511" s="13">
        <v>56674</v>
      </c>
      <c r="B511" s="67">
        <f>7.6 * CHOOSE(CONTROL!$C$22, $C$13, 100%, $E$13)</f>
        <v>7.6</v>
      </c>
      <c r="C511" s="67">
        <f>7.6 * CHOOSE(CONTROL!$C$22, $C$13, 100%, $E$13)</f>
        <v>7.6</v>
      </c>
      <c r="D511" s="67">
        <f>7.6009 * CHOOSE(CONTROL!$C$22, $C$13, 100%, $E$13)</f>
        <v>7.6009000000000002</v>
      </c>
      <c r="E511" s="68">
        <f>8.9682 * CHOOSE(CONTROL!$C$22, $C$13, 100%, $E$13)</f>
        <v>8.9681999999999995</v>
      </c>
      <c r="F511" s="68">
        <f>8.9682 * CHOOSE(CONTROL!$C$22, $C$13, 100%, $E$13)</f>
        <v>8.9681999999999995</v>
      </c>
      <c r="G511" s="68">
        <f>8.9695 * CHOOSE(CONTROL!$C$22, $C$13, 100%, $E$13)</f>
        <v>8.9695</v>
      </c>
      <c r="H511" s="68">
        <f>14.5968* CHOOSE(CONTROL!$C$22, $C$13, 100%, $E$13)</f>
        <v>14.5968</v>
      </c>
      <c r="I511" s="68">
        <f>14.5981 * CHOOSE(CONTROL!$C$22, $C$13, 100%, $E$13)</f>
        <v>14.598100000000001</v>
      </c>
      <c r="J511" s="68">
        <f>8.9682 * CHOOSE(CONTROL!$C$22, $C$13, 100%, $E$13)</f>
        <v>8.9681999999999995</v>
      </c>
      <c r="K511" s="68">
        <f>8.9695 * CHOOSE(CONTROL!$C$22, $C$13, 100%, $E$13)</f>
        <v>8.9695</v>
      </c>
    </row>
    <row r="512" spans="1:11" ht="15">
      <c r="A512" s="13">
        <v>56705</v>
      </c>
      <c r="B512" s="67">
        <f>7.6007 * CHOOSE(CONTROL!$C$22, $C$13, 100%, $E$13)</f>
        <v>7.6006999999999998</v>
      </c>
      <c r="C512" s="67">
        <f>7.6007 * CHOOSE(CONTROL!$C$22, $C$13, 100%, $E$13)</f>
        <v>7.6006999999999998</v>
      </c>
      <c r="D512" s="67">
        <f>7.6017 * CHOOSE(CONTROL!$C$22, $C$13, 100%, $E$13)</f>
        <v>7.6017000000000001</v>
      </c>
      <c r="E512" s="68">
        <f>9.0901 * CHOOSE(CONTROL!$C$22, $C$13, 100%, $E$13)</f>
        <v>9.0900999999999996</v>
      </c>
      <c r="F512" s="68">
        <f>9.0901 * CHOOSE(CONTROL!$C$22, $C$13, 100%, $E$13)</f>
        <v>9.0900999999999996</v>
      </c>
      <c r="G512" s="68">
        <f>9.0914 * CHOOSE(CONTROL!$C$22, $C$13, 100%, $E$13)</f>
        <v>9.0914000000000001</v>
      </c>
      <c r="H512" s="68">
        <f>14.6272* CHOOSE(CONTROL!$C$22, $C$13, 100%, $E$13)</f>
        <v>14.6272</v>
      </c>
      <c r="I512" s="68">
        <f>14.6285 * CHOOSE(CONTROL!$C$22, $C$13, 100%, $E$13)</f>
        <v>14.628500000000001</v>
      </c>
      <c r="J512" s="68">
        <f>9.0901 * CHOOSE(CONTROL!$C$22, $C$13, 100%, $E$13)</f>
        <v>9.0900999999999996</v>
      </c>
      <c r="K512" s="68">
        <f>9.0914 * CHOOSE(CONTROL!$C$22, $C$13, 100%, $E$13)</f>
        <v>9.0914000000000001</v>
      </c>
    </row>
    <row r="513" spans="1:11" ht="15">
      <c r="A513" s="13">
        <v>56735</v>
      </c>
      <c r="B513" s="67">
        <f>7.6007 * CHOOSE(CONTROL!$C$22, $C$13, 100%, $E$13)</f>
        <v>7.6006999999999998</v>
      </c>
      <c r="C513" s="67">
        <f>7.6007 * CHOOSE(CONTROL!$C$22, $C$13, 100%, $E$13)</f>
        <v>7.6006999999999998</v>
      </c>
      <c r="D513" s="67">
        <f>7.6033 * CHOOSE(CONTROL!$C$22, $C$13, 100%, $E$13)</f>
        <v>7.6032999999999999</v>
      </c>
      <c r="E513" s="68">
        <f>9.1375 * CHOOSE(CONTROL!$C$22, $C$13, 100%, $E$13)</f>
        <v>9.1374999999999993</v>
      </c>
      <c r="F513" s="68">
        <f>9.1375 * CHOOSE(CONTROL!$C$22, $C$13, 100%, $E$13)</f>
        <v>9.1374999999999993</v>
      </c>
      <c r="G513" s="68">
        <f>9.1407 * CHOOSE(CONTROL!$C$22, $C$13, 100%, $E$13)</f>
        <v>9.1407000000000007</v>
      </c>
      <c r="H513" s="68">
        <f>14.6577* CHOOSE(CONTROL!$C$22, $C$13, 100%, $E$13)</f>
        <v>14.6577</v>
      </c>
      <c r="I513" s="68">
        <f>14.661 * CHOOSE(CONTROL!$C$22, $C$13, 100%, $E$13)</f>
        <v>14.661</v>
      </c>
      <c r="J513" s="68">
        <f>9.1375 * CHOOSE(CONTROL!$C$22, $C$13, 100%, $E$13)</f>
        <v>9.1374999999999993</v>
      </c>
      <c r="K513" s="68">
        <f>9.1407 * CHOOSE(CONTROL!$C$22, $C$13, 100%, $E$13)</f>
        <v>9.1407000000000007</v>
      </c>
    </row>
    <row r="514" spans="1:11" ht="15">
      <c r="A514" s="13">
        <v>56766</v>
      </c>
      <c r="B514" s="67">
        <f>7.6068 * CHOOSE(CONTROL!$C$22, $C$13, 100%, $E$13)</f>
        <v>7.6067999999999998</v>
      </c>
      <c r="C514" s="67">
        <f>7.6068 * CHOOSE(CONTROL!$C$22, $C$13, 100%, $E$13)</f>
        <v>7.6067999999999998</v>
      </c>
      <c r="D514" s="67">
        <f>7.6094 * CHOOSE(CONTROL!$C$22, $C$13, 100%, $E$13)</f>
        <v>7.6093999999999999</v>
      </c>
      <c r="E514" s="68">
        <f>9.0944 * CHOOSE(CONTROL!$C$22, $C$13, 100%, $E$13)</f>
        <v>9.0944000000000003</v>
      </c>
      <c r="F514" s="68">
        <f>9.0944 * CHOOSE(CONTROL!$C$22, $C$13, 100%, $E$13)</f>
        <v>9.0944000000000003</v>
      </c>
      <c r="G514" s="68">
        <f>9.0976 * CHOOSE(CONTROL!$C$22, $C$13, 100%, $E$13)</f>
        <v>9.0975999999999999</v>
      </c>
      <c r="H514" s="68">
        <f>14.6882* CHOOSE(CONTROL!$C$22, $C$13, 100%, $E$13)</f>
        <v>14.6882</v>
      </c>
      <c r="I514" s="68">
        <f>14.6915 * CHOOSE(CONTROL!$C$22, $C$13, 100%, $E$13)</f>
        <v>14.6915</v>
      </c>
      <c r="J514" s="68">
        <f>9.0944 * CHOOSE(CONTROL!$C$22, $C$13, 100%, $E$13)</f>
        <v>9.0944000000000003</v>
      </c>
      <c r="K514" s="68">
        <f>9.0976 * CHOOSE(CONTROL!$C$22, $C$13, 100%, $E$13)</f>
        <v>9.0975999999999999</v>
      </c>
    </row>
    <row r="515" spans="1:11" ht="15">
      <c r="A515" s="13">
        <v>56796</v>
      </c>
      <c r="B515" s="67">
        <f>7.7266 * CHOOSE(CONTROL!$C$22, $C$13, 100%, $E$13)</f>
        <v>7.7266000000000004</v>
      </c>
      <c r="C515" s="67">
        <f>7.7266 * CHOOSE(CONTROL!$C$22, $C$13, 100%, $E$13)</f>
        <v>7.7266000000000004</v>
      </c>
      <c r="D515" s="67">
        <f>7.7292 * CHOOSE(CONTROL!$C$22, $C$13, 100%, $E$13)</f>
        <v>7.7291999999999996</v>
      </c>
      <c r="E515" s="68">
        <f>9.2441 * CHOOSE(CONTROL!$C$22, $C$13, 100%, $E$13)</f>
        <v>9.2440999999999995</v>
      </c>
      <c r="F515" s="68">
        <f>9.2441 * CHOOSE(CONTROL!$C$22, $C$13, 100%, $E$13)</f>
        <v>9.2440999999999995</v>
      </c>
      <c r="G515" s="68">
        <f>9.2474 * CHOOSE(CONTROL!$C$22, $C$13, 100%, $E$13)</f>
        <v>9.2474000000000007</v>
      </c>
      <c r="H515" s="68">
        <f>14.7188* CHOOSE(CONTROL!$C$22, $C$13, 100%, $E$13)</f>
        <v>14.7188</v>
      </c>
      <c r="I515" s="68">
        <f>14.7221 * CHOOSE(CONTROL!$C$22, $C$13, 100%, $E$13)</f>
        <v>14.722099999999999</v>
      </c>
      <c r="J515" s="68">
        <f>9.2441 * CHOOSE(CONTROL!$C$22, $C$13, 100%, $E$13)</f>
        <v>9.2440999999999995</v>
      </c>
      <c r="K515" s="68">
        <f>9.2474 * CHOOSE(CONTROL!$C$22, $C$13, 100%, $E$13)</f>
        <v>9.2474000000000007</v>
      </c>
    </row>
    <row r="516" spans="1:11" ht="15">
      <c r="A516" s="13">
        <v>56827</v>
      </c>
      <c r="B516" s="67">
        <f>7.7333 * CHOOSE(CONTROL!$C$22, $C$13, 100%, $E$13)</f>
        <v>7.7332999999999998</v>
      </c>
      <c r="C516" s="67">
        <f>7.7333 * CHOOSE(CONTROL!$C$22, $C$13, 100%, $E$13)</f>
        <v>7.7332999999999998</v>
      </c>
      <c r="D516" s="67">
        <f>7.7359 * CHOOSE(CONTROL!$C$22, $C$13, 100%, $E$13)</f>
        <v>7.7359</v>
      </c>
      <c r="E516" s="68">
        <f>9.1068 * CHOOSE(CONTROL!$C$22, $C$13, 100%, $E$13)</f>
        <v>9.1067999999999998</v>
      </c>
      <c r="F516" s="68">
        <f>9.1068 * CHOOSE(CONTROL!$C$22, $C$13, 100%, $E$13)</f>
        <v>9.1067999999999998</v>
      </c>
      <c r="G516" s="68">
        <f>9.1101 * CHOOSE(CONTROL!$C$22, $C$13, 100%, $E$13)</f>
        <v>9.1100999999999992</v>
      </c>
      <c r="H516" s="68">
        <f>14.7495* CHOOSE(CONTROL!$C$22, $C$13, 100%, $E$13)</f>
        <v>14.749499999999999</v>
      </c>
      <c r="I516" s="68">
        <f>14.7528 * CHOOSE(CONTROL!$C$22, $C$13, 100%, $E$13)</f>
        <v>14.752800000000001</v>
      </c>
      <c r="J516" s="68">
        <f>9.1068 * CHOOSE(CONTROL!$C$22, $C$13, 100%, $E$13)</f>
        <v>9.1067999999999998</v>
      </c>
      <c r="K516" s="68">
        <f>9.1101 * CHOOSE(CONTROL!$C$22, $C$13, 100%, $E$13)</f>
        <v>9.1100999999999992</v>
      </c>
    </row>
    <row r="517" spans="1:11" ht="15">
      <c r="A517" s="13">
        <v>56858</v>
      </c>
      <c r="B517" s="67">
        <f>7.7303 * CHOOSE(CONTROL!$C$22, $C$13, 100%, $E$13)</f>
        <v>7.7302999999999997</v>
      </c>
      <c r="C517" s="67">
        <f>7.7303 * CHOOSE(CONTROL!$C$22, $C$13, 100%, $E$13)</f>
        <v>7.7302999999999997</v>
      </c>
      <c r="D517" s="67">
        <f>7.7329 * CHOOSE(CONTROL!$C$22, $C$13, 100%, $E$13)</f>
        <v>7.7328999999999999</v>
      </c>
      <c r="E517" s="68">
        <f>9.089 * CHOOSE(CONTROL!$C$22, $C$13, 100%, $E$13)</f>
        <v>9.0890000000000004</v>
      </c>
      <c r="F517" s="68">
        <f>9.089 * CHOOSE(CONTROL!$C$22, $C$13, 100%, $E$13)</f>
        <v>9.0890000000000004</v>
      </c>
      <c r="G517" s="68">
        <f>9.0922 * CHOOSE(CONTROL!$C$22, $C$13, 100%, $E$13)</f>
        <v>9.0922000000000001</v>
      </c>
      <c r="H517" s="68">
        <f>14.7802* CHOOSE(CONTROL!$C$22, $C$13, 100%, $E$13)</f>
        <v>14.780200000000001</v>
      </c>
      <c r="I517" s="68">
        <f>14.7835 * CHOOSE(CONTROL!$C$22, $C$13, 100%, $E$13)</f>
        <v>14.7835</v>
      </c>
      <c r="J517" s="68">
        <f>9.089 * CHOOSE(CONTROL!$C$22, $C$13, 100%, $E$13)</f>
        <v>9.0890000000000004</v>
      </c>
      <c r="K517" s="68">
        <f>9.0922 * CHOOSE(CONTROL!$C$22, $C$13, 100%, $E$13)</f>
        <v>9.0922000000000001</v>
      </c>
    </row>
    <row r="518" spans="1:11" ht="15">
      <c r="A518" s="13">
        <v>56888</v>
      </c>
      <c r="B518" s="67">
        <f>7.7376 * CHOOSE(CONTROL!$C$22, $C$13, 100%, $E$13)</f>
        <v>7.7375999999999996</v>
      </c>
      <c r="C518" s="67">
        <f>7.7376 * CHOOSE(CONTROL!$C$22, $C$13, 100%, $E$13)</f>
        <v>7.7375999999999996</v>
      </c>
      <c r="D518" s="67">
        <f>7.7386 * CHOOSE(CONTROL!$C$22, $C$13, 100%, $E$13)</f>
        <v>7.7385999999999999</v>
      </c>
      <c r="E518" s="68">
        <f>9.1386 * CHOOSE(CONTROL!$C$22, $C$13, 100%, $E$13)</f>
        <v>9.1386000000000003</v>
      </c>
      <c r="F518" s="68">
        <f>9.1386 * CHOOSE(CONTROL!$C$22, $C$13, 100%, $E$13)</f>
        <v>9.1386000000000003</v>
      </c>
      <c r="G518" s="68">
        <f>9.1399 * CHOOSE(CONTROL!$C$22, $C$13, 100%, $E$13)</f>
        <v>9.1399000000000008</v>
      </c>
      <c r="H518" s="68">
        <f>14.811* CHOOSE(CONTROL!$C$22, $C$13, 100%, $E$13)</f>
        <v>14.811</v>
      </c>
      <c r="I518" s="68">
        <f>14.8123 * CHOOSE(CONTROL!$C$22, $C$13, 100%, $E$13)</f>
        <v>14.8123</v>
      </c>
      <c r="J518" s="68">
        <f>9.1386 * CHOOSE(CONTROL!$C$22, $C$13, 100%, $E$13)</f>
        <v>9.1386000000000003</v>
      </c>
      <c r="K518" s="68">
        <f>9.1399 * CHOOSE(CONTROL!$C$22, $C$13, 100%, $E$13)</f>
        <v>9.1399000000000008</v>
      </c>
    </row>
    <row r="519" spans="1:11" ht="15">
      <c r="A519" s="13">
        <v>56919</v>
      </c>
      <c r="B519" s="67">
        <f>7.7406 * CHOOSE(CONTROL!$C$22, $C$13, 100%, $E$13)</f>
        <v>7.7405999999999997</v>
      </c>
      <c r="C519" s="67">
        <f>7.7406 * CHOOSE(CONTROL!$C$22, $C$13, 100%, $E$13)</f>
        <v>7.7405999999999997</v>
      </c>
      <c r="D519" s="67">
        <f>7.7416 * CHOOSE(CONTROL!$C$22, $C$13, 100%, $E$13)</f>
        <v>7.7416</v>
      </c>
      <c r="E519" s="68">
        <f>9.1723 * CHOOSE(CONTROL!$C$22, $C$13, 100%, $E$13)</f>
        <v>9.1722999999999999</v>
      </c>
      <c r="F519" s="68">
        <f>9.1723 * CHOOSE(CONTROL!$C$22, $C$13, 100%, $E$13)</f>
        <v>9.1722999999999999</v>
      </c>
      <c r="G519" s="68">
        <f>9.1736 * CHOOSE(CONTROL!$C$22, $C$13, 100%, $E$13)</f>
        <v>9.1736000000000004</v>
      </c>
      <c r="H519" s="68">
        <f>14.8419* CHOOSE(CONTROL!$C$22, $C$13, 100%, $E$13)</f>
        <v>14.841900000000001</v>
      </c>
      <c r="I519" s="68">
        <f>14.8432 * CHOOSE(CONTROL!$C$22, $C$13, 100%, $E$13)</f>
        <v>14.8432</v>
      </c>
      <c r="J519" s="68">
        <f>9.1723 * CHOOSE(CONTROL!$C$22, $C$13, 100%, $E$13)</f>
        <v>9.1722999999999999</v>
      </c>
      <c r="K519" s="68">
        <f>9.1736 * CHOOSE(CONTROL!$C$22, $C$13, 100%, $E$13)</f>
        <v>9.1736000000000004</v>
      </c>
    </row>
    <row r="520" spans="1:11" ht="15">
      <c r="A520" s="13">
        <v>56949</v>
      </c>
      <c r="B520" s="67">
        <f>7.7406 * CHOOSE(CONTROL!$C$22, $C$13, 100%, $E$13)</f>
        <v>7.7405999999999997</v>
      </c>
      <c r="C520" s="67">
        <f>7.7406 * CHOOSE(CONTROL!$C$22, $C$13, 100%, $E$13)</f>
        <v>7.7405999999999997</v>
      </c>
      <c r="D520" s="67">
        <f>7.7416 * CHOOSE(CONTROL!$C$22, $C$13, 100%, $E$13)</f>
        <v>7.7416</v>
      </c>
      <c r="E520" s="68">
        <f>9.0934 * CHOOSE(CONTROL!$C$22, $C$13, 100%, $E$13)</f>
        <v>9.0934000000000008</v>
      </c>
      <c r="F520" s="68">
        <f>9.0934 * CHOOSE(CONTROL!$C$22, $C$13, 100%, $E$13)</f>
        <v>9.0934000000000008</v>
      </c>
      <c r="G520" s="68">
        <f>9.0947 * CHOOSE(CONTROL!$C$22, $C$13, 100%, $E$13)</f>
        <v>9.0946999999999996</v>
      </c>
      <c r="H520" s="68">
        <f>14.8728* CHOOSE(CONTROL!$C$22, $C$13, 100%, $E$13)</f>
        <v>14.8728</v>
      </c>
      <c r="I520" s="68">
        <f>14.8741 * CHOOSE(CONTROL!$C$22, $C$13, 100%, $E$13)</f>
        <v>14.8741</v>
      </c>
      <c r="J520" s="68">
        <f>9.0934 * CHOOSE(CONTROL!$C$22, $C$13, 100%, $E$13)</f>
        <v>9.0934000000000008</v>
      </c>
      <c r="K520" s="68">
        <f>9.0947 * CHOOSE(CONTROL!$C$22, $C$13, 100%, $E$13)</f>
        <v>9.0946999999999996</v>
      </c>
    </row>
    <row r="521" spans="1:11" ht="15">
      <c r="A521" s="13">
        <v>56980</v>
      </c>
      <c r="B521" s="67">
        <f>7.8071 * CHOOSE(CONTROL!$C$22, $C$13, 100%, $E$13)</f>
        <v>7.8071000000000002</v>
      </c>
      <c r="C521" s="67">
        <f>7.8071 * CHOOSE(CONTROL!$C$22, $C$13, 100%, $E$13)</f>
        <v>7.8071000000000002</v>
      </c>
      <c r="D521" s="67">
        <f>7.8081 * CHOOSE(CONTROL!$C$22, $C$13, 100%, $E$13)</f>
        <v>7.8080999999999996</v>
      </c>
      <c r="E521" s="68">
        <f>9.2242 * CHOOSE(CONTROL!$C$22, $C$13, 100%, $E$13)</f>
        <v>9.2241999999999997</v>
      </c>
      <c r="F521" s="68">
        <f>9.2242 * CHOOSE(CONTROL!$C$22, $C$13, 100%, $E$13)</f>
        <v>9.2241999999999997</v>
      </c>
      <c r="G521" s="68">
        <f>9.2255 * CHOOSE(CONTROL!$C$22, $C$13, 100%, $E$13)</f>
        <v>9.2255000000000003</v>
      </c>
      <c r="H521" s="68">
        <f>14.9038* CHOOSE(CONTROL!$C$22, $C$13, 100%, $E$13)</f>
        <v>14.9038</v>
      </c>
      <c r="I521" s="68">
        <f>14.9051 * CHOOSE(CONTROL!$C$22, $C$13, 100%, $E$13)</f>
        <v>14.905099999999999</v>
      </c>
      <c r="J521" s="68">
        <f>9.2242 * CHOOSE(CONTROL!$C$22, $C$13, 100%, $E$13)</f>
        <v>9.2241999999999997</v>
      </c>
      <c r="K521" s="68">
        <f>9.2255 * CHOOSE(CONTROL!$C$22, $C$13, 100%, $E$13)</f>
        <v>9.2255000000000003</v>
      </c>
    </row>
    <row r="522" spans="1:11" ht="15">
      <c r="A522" s="13">
        <v>57011</v>
      </c>
      <c r="B522" s="67">
        <f>7.8041 * CHOOSE(CONTROL!$C$22, $C$13, 100%, $E$13)</f>
        <v>7.8041</v>
      </c>
      <c r="C522" s="67">
        <f>7.8041 * CHOOSE(CONTROL!$C$22, $C$13, 100%, $E$13)</f>
        <v>7.8041</v>
      </c>
      <c r="D522" s="67">
        <f>7.8051 * CHOOSE(CONTROL!$C$22, $C$13, 100%, $E$13)</f>
        <v>7.8051000000000004</v>
      </c>
      <c r="E522" s="68">
        <f>9.0688 * CHOOSE(CONTROL!$C$22, $C$13, 100%, $E$13)</f>
        <v>9.0687999999999995</v>
      </c>
      <c r="F522" s="68">
        <f>9.0688 * CHOOSE(CONTROL!$C$22, $C$13, 100%, $E$13)</f>
        <v>9.0687999999999995</v>
      </c>
      <c r="G522" s="68">
        <f>9.0701 * CHOOSE(CONTROL!$C$22, $C$13, 100%, $E$13)</f>
        <v>9.0701000000000001</v>
      </c>
      <c r="H522" s="68">
        <f>14.9348* CHOOSE(CONTROL!$C$22, $C$13, 100%, $E$13)</f>
        <v>14.934799999999999</v>
      </c>
      <c r="I522" s="68">
        <f>14.9361 * CHOOSE(CONTROL!$C$22, $C$13, 100%, $E$13)</f>
        <v>14.9361</v>
      </c>
      <c r="J522" s="68">
        <f>9.0688 * CHOOSE(CONTROL!$C$22, $C$13, 100%, $E$13)</f>
        <v>9.0687999999999995</v>
      </c>
      <c r="K522" s="68">
        <f>9.0701 * CHOOSE(CONTROL!$C$22, $C$13, 100%, $E$13)</f>
        <v>9.0701000000000001</v>
      </c>
    </row>
    <row r="523" spans="1:11" ht="15">
      <c r="A523" s="13">
        <v>57040</v>
      </c>
      <c r="B523" s="67">
        <f>7.8011 * CHOOSE(CONTROL!$C$22, $C$13, 100%, $E$13)</f>
        <v>7.8010999999999999</v>
      </c>
      <c r="C523" s="67">
        <f>7.8011 * CHOOSE(CONTROL!$C$22, $C$13, 100%, $E$13)</f>
        <v>7.8010999999999999</v>
      </c>
      <c r="D523" s="67">
        <f>7.802 * CHOOSE(CONTROL!$C$22, $C$13, 100%, $E$13)</f>
        <v>7.8019999999999996</v>
      </c>
      <c r="E523" s="68">
        <f>9.1875 * CHOOSE(CONTROL!$C$22, $C$13, 100%, $E$13)</f>
        <v>9.1875</v>
      </c>
      <c r="F523" s="68">
        <f>9.1875 * CHOOSE(CONTROL!$C$22, $C$13, 100%, $E$13)</f>
        <v>9.1875</v>
      </c>
      <c r="G523" s="68">
        <f>9.1888 * CHOOSE(CONTROL!$C$22, $C$13, 100%, $E$13)</f>
        <v>9.1888000000000005</v>
      </c>
      <c r="H523" s="68">
        <f>14.9659* CHOOSE(CONTROL!$C$22, $C$13, 100%, $E$13)</f>
        <v>14.9659</v>
      </c>
      <c r="I523" s="68">
        <f>14.9672 * CHOOSE(CONTROL!$C$22, $C$13, 100%, $E$13)</f>
        <v>14.9672</v>
      </c>
      <c r="J523" s="68">
        <f>9.1875 * CHOOSE(CONTROL!$C$22, $C$13, 100%, $E$13)</f>
        <v>9.1875</v>
      </c>
      <c r="K523" s="68">
        <f>9.1888 * CHOOSE(CONTROL!$C$22, $C$13, 100%, $E$13)</f>
        <v>9.1888000000000005</v>
      </c>
    </row>
    <row r="524" spans="1:11" ht="15">
      <c r="A524" s="13">
        <v>57071</v>
      </c>
      <c r="B524" s="67">
        <f>7.802 * CHOOSE(CONTROL!$C$22, $C$13, 100%, $E$13)</f>
        <v>7.8019999999999996</v>
      </c>
      <c r="C524" s="67">
        <f>7.802 * CHOOSE(CONTROL!$C$22, $C$13, 100%, $E$13)</f>
        <v>7.8019999999999996</v>
      </c>
      <c r="D524" s="67">
        <f>7.8029 * CHOOSE(CONTROL!$C$22, $C$13, 100%, $E$13)</f>
        <v>7.8029000000000002</v>
      </c>
      <c r="E524" s="68">
        <f>9.313 * CHOOSE(CONTROL!$C$22, $C$13, 100%, $E$13)</f>
        <v>9.3130000000000006</v>
      </c>
      <c r="F524" s="68">
        <f>9.313 * CHOOSE(CONTROL!$C$22, $C$13, 100%, $E$13)</f>
        <v>9.3130000000000006</v>
      </c>
      <c r="G524" s="68">
        <f>9.3143 * CHOOSE(CONTROL!$C$22, $C$13, 100%, $E$13)</f>
        <v>9.3142999999999994</v>
      </c>
      <c r="H524" s="68">
        <f>14.9971* CHOOSE(CONTROL!$C$22, $C$13, 100%, $E$13)</f>
        <v>14.9971</v>
      </c>
      <c r="I524" s="68">
        <f>14.9984 * CHOOSE(CONTROL!$C$22, $C$13, 100%, $E$13)</f>
        <v>14.9984</v>
      </c>
      <c r="J524" s="68">
        <f>9.313 * CHOOSE(CONTROL!$C$22, $C$13, 100%, $E$13)</f>
        <v>9.3130000000000006</v>
      </c>
      <c r="K524" s="68">
        <f>9.3143 * CHOOSE(CONTROL!$C$22, $C$13, 100%, $E$13)</f>
        <v>9.3142999999999994</v>
      </c>
    </row>
    <row r="525" spans="1:11" ht="15">
      <c r="A525" s="13">
        <v>57101</v>
      </c>
      <c r="B525" s="67">
        <f>7.802 * CHOOSE(CONTROL!$C$22, $C$13, 100%, $E$13)</f>
        <v>7.8019999999999996</v>
      </c>
      <c r="C525" s="67">
        <f>7.802 * CHOOSE(CONTROL!$C$22, $C$13, 100%, $E$13)</f>
        <v>7.8019999999999996</v>
      </c>
      <c r="D525" s="67">
        <f>7.8046 * CHOOSE(CONTROL!$C$22, $C$13, 100%, $E$13)</f>
        <v>7.8045999999999998</v>
      </c>
      <c r="E525" s="68">
        <f>9.3616 * CHOOSE(CONTROL!$C$22, $C$13, 100%, $E$13)</f>
        <v>9.3615999999999993</v>
      </c>
      <c r="F525" s="68">
        <f>9.3616 * CHOOSE(CONTROL!$C$22, $C$13, 100%, $E$13)</f>
        <v>9.3615999999999993</v>
      </c>
      <c r="G525" s="68">
        <f>9.3649 * CHOOSE(CONTROL!$C$22, $C$13, 100%, $E$13)</f>
        <v>9.3649000000000004</v>
      </c>
      <c r="H525" s="68">
        <f>15.0284* CHOOSE(CONTROL!$C$22, $C$13, 100%, $E$13)</f>
        <v>15.0284</v>
      </c>
      <c r="I525" s="68">
        <f>15.0316 * CHOOSE(CONTROL!$C$22, $C$13, 100%, $E$13)</f>
        <v>15.031599999999999</v>
      </c>
      <c r="J525" s="68">
        <f>9.3616 * CHOOSE(CONTROL!$C$22, $C$13, 100%, $E$13)</f>
        <v>9.3615999999999993</v>
      </c>
      <c r="K525" s="68">
        <f>9.3649 * CHOOSE(CONTROL!$C$22, $C$13, 100%, $E$13)</f>
        <v>9.3649000000000004</v>
      </c>
    </row>
    <row r="526" spans="1:11" ht="15">
      <c r="A526" s="13">
        <v>57132</v>
      </c>
      <c r="B526" s="67">
        <f>7.808 * CHOOSE(CONTROL!$C$22, $C$13, 100%, $E$13)</f>
        <v>7.8079999999999998</v>
      </c>
      <c r="C526" s="67">
        <f>7.808 * CHOOSE(CONTROL!$C$22, $C$13, 100%, $E$13)</f>
        <v>7.8079999999999998</v>
      </c>
      <c r="D526" s="67">
        <f>7.8107 * CHOOSE(CONTROL!$C$22, $C$13, 100%, $E$13)</f>
        <v>7.8106999999999998</v>
      </c>
      <c r="E526" s="68">
        <f>9.3172 * CHOOSE(CONTROL!$C$22, $C$13, 100%, $E$13)</f>
        <v>9.3171999999999997</v>
      </c>
      <c r="F526" s="68">
        <f>9.3172 * CHOOSE(CONTROL!$C$22, $C$13, 100%, $E$13)</f>
        <v>9.3171999999999997</v>
      </c>
      <c r="G526" s="68">
        <f>9.3205 * CHOOSE(CONTROL!$C$22, $C$13, 100%, $E$13)</f>
        <v>9.3204999999999991</v>
      </c>
      <c r="H526" s="68">
        <f>15.0597* CHOOSE(CONTROL!$C$22, $C$13, 100%, $E$13)</f>
        <v>15.059699999999999</v>
      </c>
      <c r="I526" s="68">
        <f>15.0629 * CHOOSE(CONTROL!$C$22, $C$13, 100%, $E$13)</f>
        <v>15.062900000000001</v>
      </c>
      <c r="J526" s="68">
        <f>9.3172 * CHOOSE(CONTROL!$C$22, $C$13, 100%, $E$13)</f>
        <v>9.3171999999999997</v>
      </c>
      <c r="K526" s="68">
        <f>9.3205 * CHOOSE(CONTROL!$C$22, $C$13, 100%, $E$13)</f>
        <v>9.3204999999999991</v>
      </c>
    </row>
    <row r="527" spans="1:11" ht="15">
      <c r="A527" s="13">
        <v>57162</v>
      </c>
      <c r="B527" s="67">
        <f>7.9308 * CHOOSE(CONTROL!$C$22, $C$13, 100%, $E$13)</f>
        <v>7.9307999999999996</v>
      </c>
      <c r="C527" s="67">
        <f>7.9308 * CHOOSE(CONTROL!$C$22, $C$13, 100%, $E$13)</f>
        <v>7.9307999999999996</v>
      </c>
      <c r="D527" s="67">
        <f>7.9334 * CHOOSE(CONTROL!$C$22, $C$13, 100%, $E$13)</f>
        <v>7.9333999999999998</v>
      </c>
      <c r="E527" s="68">
        <f>9.4704 * CHOOSE(CONTROL!$C$22, $C$13, 100%, $E$13)</f>
        <v>9.4703999999999997</v>
      </c>
      <c r="F527" s="68">
        <f>9.4704 * CHOOSE(CONTROL!$C$22, $C$13, 100%, $E$13)</f>
        <v>9.4703999999999997</v>
      </c>
      <c r="G527" s="68">
        <f>9.4736 * CHOOSE(CONTROL!$C$22, $C$13, 100%, $E$13)</f>
        <v>9.4735999999999994</v>
      </c>
      <c r="H527" s="68">
        <f>15.0911* CHOOSE(CONTROL!$C$22, $C$13, 100%, $E$13)</f>
        <v>15.091100000000001</v>
      </c>
      <c r="I527" s="68">
        <f>15.0943 * CHOOSE(CONTROL!$C$22, $C$13, 100%, $E$13)</f>
        <v>15.0943</v>
      </c>
      <c r="J527" s="68">
        <f>9.4704 * CHOOSE(CONTROL!$C$22, $C$13, 100%, $E$13)</f>
        <v>9.4703999999999997</v>
      </c>
      <c r="K527" s="68">
        <f>9.4736 * CHOOSE(CONTROL!$C$22, $C$13, 100%, $E$13)</f>
        <v>9.4735999999999994</v>
      </c>
    </row>
    <row r="528" spans="1:11" ht="15">
      <c r="A528" s="13">
        <v>57193</v>
      </c>
      <c r="B528" s="67">
        <f>7.9375 * CHOOSE(CONTROL!$C$22, $C$13, 100%, $E$13)</f>
        <v>7.9375</v>
      </c>
      <c r="C528" s="67">
        <f>7.9375 * CHOOSE(CONTROL!$C$22, $C$13, 100%, $E$13)</f>
        <v>7.9375</v>
      </c>
      <c r="D528" s="67">
        <f>7.9401 * CHOOSE(CONTROL!$C$22, $C$13, 100%, $E$13)</f>
        <v>7.9401000000000002</v>
      </c>
      <c r="E528" s="68">
        <f>9.3291 * CHOOSE(CONTROL!$C$22, $C$13, 100%, $E$13)</f>
        <v>9.3291000000000004</v>
      </c>
      <c r="F528" s="68">
        <f>9.3291 * CHOOSE(CONTROL!$C$22, $C$13, 100%, $E$13)</f>
        <v>9.3291000000000004</v>
      </c>
      <c r="G528" s="68">
        <f>9.3324 * CHOOSE(CONTROL!$C$22, $C$13, 100%, $E$13)</f>
        <v>9.3323999999999998</v>
      </c>
      <c r="H528" s="68">
        <f>15.1225* CHOOSE(CONTROL!$C$22, $C$13, 100%, $E$13)</f>
        <v>15.1225</v>
      </c>
      <c r="I528" s="68">
        <f>15.1257 * CHOOSE(CONTROL!$C$22, $C$13, 100%, $E$13)</f>
        <v>15.1257</v>
      </c>
      <c r="J528" s="68">
        <f>9.3291 * CHOOSE(CONTROL!$C$22, $C$13, 100%, $E$13)</f>
        <v>9.3291000000000004</v>
      </c>
      <c r="K528" s="68">
        <f>9.3324 * CHOOSE(CONTROL!$C$22, $C$13, 100%, $E$13)</f>
        <v>9.3323999999999998</v>
      </c>
    </row>
    <row r="529" spans="1:11" ht="15">
      <c r="A529" s="13">
        <v>57224</v>
      </c>
      <c r="B529" s="67">
        <f>7.9344 * CHOOSE(CONTROL!$C$22, $C$13, 100%, $E$13)</f>
        <v>7.9344000000000001</v>
      </c>
      <c r="C529" s="67">
        <f>7.9344 * CHOOSE(CONTROL!$C$22, $C$13, 100%, $E$13)</f>
        <v>7.9344000000000001</v>
      </c>
      <c r="D529" s="67">
        <f>7.9371 * CHOOSE(CONTROL!$C$22, $C$13, 100%, $E$13)</f>
        <v>7.9371</v>
      </c>
      <c r="E529" s="68">
        <f>9.3108 * CHOOSE(CONTROL!$C$22, $C$13, 100%, $E$13)</f>
        <v>9.3108000000000004</v>
      </c>
      <c r="F529" s="68">
        <f>9.3108 * CHOOSE(CONTROL!$C$22, $C$13, 100%, $E$13)</f>
        <v>9.3108000000000004</v>
      </c>
      <c r="G529" s="68">
        <f>9.314 * CHOOSE(CONTROL!$C$22, $C$13, 100%, $E$13)</f>
        <v>9.3140000000000001</v>
      </c>
      <c r="H529" s="68">
        <f>15.154* CHOOSE(CONTROL!$C$22, $C$13, 100%, $E$13)</f>
        <v>15.154</v>
      </c>
      <c r="I529" s="68">
        <f>15.1573 * CHOOSE(CONTROL!$C$22, $C$13, 100%, $E$13)</f>
        <v>15.157299999999999</v>
      </c>
      <c r="J529" s="68">
        <f>9.3108 * CHOOSE(CONTROL!$C$22, $C$13, 100%, $E$13)</f>
        <v>9.3108000000000004</v>
      </c>
      <c r="K529" s="68">
        <f>9.314 * CHOOSE(CONTROL!$C$22, $C$13, 100%, $E$13)</f>
        <v>9.3140000000000001</v>
      </c>
    </row>
    <row r="530" spans="1:11" ht="15">
      <c r="A530" s="13">
        <v>57254</v>
      </c>
      <c r="B530" s="67">
        <f>7.9424 * CHOOSE(CONTROL!$C$22, $C$13, 100%, $E$13)</f>
        <v>7.9424000000000001</v>
      </c>
      <c r="C530" s="67">
        <f>7.9424 * CHOOSE(CONTROL!$C$22, $C$13, 100%, $E$13)</f>
        <v>7.9424000000000001</v>
      </c>
      <c r="D530" s="67">
        <f>7.9434 * CHOOSE(CONTROL!$C$22, $C$13, 100%, $E$13)</f>
        <v>7.9433999999999996</v>
      </c>
      <c r="E530" s="68">
        <f>9.3622 * CHOOSE(CONTROL!$C$22, $C$13, 100%, $E$13)</f>
        <v>9.3621999999999996</v>
      </c>
      <c r="F530" s="68">
        <f>9.3622 * CHOOSE(CONTROL!$C$22, $C$13, 100%, $E$13)</f>
        <v>9.3621999999999996</v>
      </c>
      <c r="G530" s="68">
        <f>9.3635 * CHOOSE(CONTROL!$C$22, $C$13, 100%, $E$13)</f>
        <v>9.3635000000000002</v>
      </c>
      <c r="H530" s="68">
        <f>15.1856* CHOOSE(CONTROL!$C$22, $C$13, 100%, $E$13)</f>
        <v>15.185600000000001</v>
      </c>
      <c r="I530" s="68">
        <f>15.1869 * CHOOSE(CONTROL!$C$22, $C$13, 100%, $E$13)</f>
        <v>15.1869</v>
      </c>
      <c r="J530" s="68">
        <f>9.3622 * CHOOSE(CONTROL!$C$22, $C$13, 100%, $E$13)</f>
        <v>9.3621999999999996</v>
      </c>
      <c r="K530" s="68">
        <f>9.3635 * CHOOSE(CONTROL!$C$22, $C$13, 100%, $E$13)</f>
        <v>9.3635000000000002</v>
      </c>
    </row>
    <row r="531" spans="1:11" ht="15">
      <c r="A531" s="13">
        <v>57285</v>
      </c>
      <c r="B531" s="67">
        <f>7.9454 * CHOOSE(CONTROL!$C$22, $C$13, 100%, $E$13)</f>
        <v>7.9454000000000002</v>
      </c>
      <c r="C531" s="67">
        <f>7.9454 * CHOOSE(CONTROL!$C$22, $C$13, 100%, $E$13)</f>
        <v>7.9454000000000002</v>
      </c>
      <c r="D531" s="67">
        <f>7.9464 * CHOOSE(CONTROL!$C$22, $C$13, 100%, $E$13)</f>
        <v>7.9463999999999997</v>
      </c>
      <c r="E531" s="68">
        <f>9.3968 * CHOOSE(CONTROL!$C$22, $C$13, 100%, $E$13)</f>
        <v>9.3968000000000007</v>
      </c>
      <c r="F531" s="68">
        <f>9.3968 * CHOOSE(CONTROL!$C$22, $C$13, 100%, $E$13)</f>
        <v>9.3968000000000007</v>
      </c>
      <c r="G531" s="68">
        <f>9.398 * CHOOSE(CONTROL!$C$22, $C$13, 100%, $E$13)</f>
        <v>9.3979999999999997</v>
      </c>
      <c r="H531" s="68">
        <f>15.2172* CHOOSE(CONTROL!$C$22, $C$13, 100%, $E$13)</f>
        <v>15.2172</v>
      </c>
      <c r="I531" s="68">
        <f>15.2185 * CHOOSE(CONTROL!$C$22, $C$13, 100%, $E$13)</f>
        <v>15.218500000000001</v>
      </c>
      <c r="J531" s="68">
        <f>9.3968 * CHOOSE(CONTROL!$C$22, $C$13, 100%, $E$13)</f>
        <v>9.3968000000000007</v>
      </c>
      <c r="K531" s="68">
        <f>9.398 * CHOOSE(CONTROL!$C$22, $C$13, 100%, $E$13)</f>
        <v>9.3979999999999997</v>
      </c>
    </row>
    <row r="532" spans="1:11" ht="15">
      <c r="A532" s="13">
        <v>57315</v>
      </c>
      <c r="B532" s="67">
        <f>7.9454 * CHOOSE(CONTROL!$C$22, $C$13, 100%, $E$13)</f>
        <v>7.9454000000000002</v>
      </c>
      <c r="C532" s="67">
        <f>7.9454 * CHOOSE(CONTROL!$C$22, $C$13, 100%, $E$13)</f>
        <v>7.9454000000000002</v>
      </c>
      <c r="D532" s="67">
        <f>7.9464 * CHOOSE(CONTROL!$C$22, $C$13, 100%, $E$13)</f>
        <v>7.9463999999999997</v>
      </c>
      <c r="E532" s="68">
        <f>9.3157 * CHOOSE(CONTROL!$C$22, $C$13, 100%, $E$13)</f>
        <v>9.3156999999999996</v>
      </c>
      <c r="F532" s="68">
        <f>9.3157 * CHOOSE(CONTROL!$C$22, $C$13, 100%, $E$13)</f>
        <v>9.3156999999999996</v>
      </c>
      <c r="G532" s="68">
        <f>9.317 * CHOOSE(CONTROL!$C$22, $C$13, 100%, $E$13)</f>
        <v>9.3170000000000002</v>
      </c>
      <c r="H532" s="68">
        <f>15.2489* CHOOSE(CONTROL!$C$22, $C$13, 100%, $E$13)</f>
        <v>15.248900000000001</v>
      </c>
      <c r="I532" s="68">
        <f>15.2502 * CHOOSE(CONTROL!$C$22, $C$13, 100%, $E$13)</f>
        <v>15.2502</v>
      </c>
      <c r="J532" s="68">
        <f>9.3157 * CHOOSE(CONTROL!$C$22, $C$13, 100%, $E$13)</f>
        <v>9.3156999999999996</v>
      </c>
      <c r="K532" s="68">
        <f>9.317 * CHOOSE(CONTROL!$C$22, $C$13, 100%, $E$13)</f>
        <v>9.3170000000000002</v>
      </c>
    </row>
    <row r="533" spans="1:11" ht="15">
      <c r="A533" s="13">
        <v>57346</v>
      </c>
      <c r="B533" s="67">
        <f>8.0136 * CHOOSE(CONTROL!$C$22, $C$13, 100%, $E$13)</f>
        <v>8.0136000000000003</v>
      </c>
      <c r="C533" s="67">
        <f>8.0136 * CHOOSE(CONTROL!$C$22, $C$13, 100%, $E$13)</f>
        <v>8.0136000000000003</v>
      </c>
      <c r="D533" s="67">
        <f>8.0146 * CHOOSE(CONTROL!$C$22, $C$13, 100%, $E$13)</f>
        <v>8.0145999999999997</v>
      </c>
      <c r="E533" s="68">
        <f>9.4498 * CHOOSE(CONTROL!$C$22, $C$13, 100%, $E$13)</f>
        <v>9.4497999999999998</v>
      </c>
      <c r="F533" s="68">
        <f>9.4498 * CHOOSE(CONTROL!$C$22, $C$13, 100%, $E$13)</f>
        <v>9.4497999999999998</v>
      </c>
      <c r="G533" s="68">
        <f>9.4511 * CHOOSE(CONTROL!$C$22, $C$13, 100%, $E$13)</f>
        <v>9.4511000000000003</v>
      </c>
      <c r="H533" s="68">
        <f>15.2807* CHOOSE(CONTROL!$C$22, $C$13, 100%, $E$13)</f>
        <v>15.2807</v>
      </c>
      <c r="I533" s="68">
        <f>15.282 * CHOOSE(CONTROL!$C$22, $C$13, 100%, $E$13)</f>
        <v>15.282</v>
      </c>
      <c r="J533" s="68">
        <f>9.4498 * CHOOSE(CONTROL!$C$22, $C$13, 100%, $E$13)</f>
        <v>9.4497999999999998</v>
      </c>
      <c r="K533" s="68">
        <f>9.4511 * CHOOSE(CONTROL!$C$22, $C$13, 100%, $E$13)</f>
        <v>9.4511000000000003</v>
      </c>
    </row>
    <row r="534" spans="1:11" ht="15">
      <c r="A534" s="13">
        <v>57377</v>
      </c>
      <c r="B534" s="67">
        <f>8.0106 * CHOOSE(CONTROL!$C$22, $C$13, 100%, $E$13)</f>
        <v>8.0106000000000002</v>
      </c>
      <c r="C534" s="67">
        <f>8.0106 * CHOOSE(CONTROL!$C$22, $C$13, 100%, $E$13)</f>
        <v>8.0106000000000002</v>
      </c>
      <c r="D534" s="67">
        <f>8.0116 * CHOOSE(CONTROL!$C$22, $C$13, 100%, $E$13)</f>
        <v>8.0115999999999996</v>
      </c>
      <c r="E534" s="68">
        <f>9.2901 * CHOOSE(CONTROL!$C$22, $C$13, 100%, $E$13)</f>
        <v>9.2901000000000007</v>
      </c>
      <c r="F534" s="68">
        <f>9.2901 * CHOOSE(CONTROL!$C$22, $C$13, 100%, $E$13)</f>
        <v>9.2901000000000007</v>
      </c>
      <c r="G534" s="68">
        <f>9.2914 * CHOOSE(CONTROL!$C$22, $C$13, 100%, $E$13)</f>
        <v>9.2913999999999994</v>
      </c>
      <c r="H534" s="68">
        <f>15.3125* CHOOSE(CONTROL!$C$22, $C$13, 100%, $E$13)</f>
        <v>15.3125</v>
      </c>
      <c r="I534" s="68">
        <f>15.3138 * CHOOSE(CONTROL!$C$22, $C$13, 100%, $E$13)</f>
        <v>15.313800000000001</v>
      </c>
      <c r="J534" s="68">
        <f>9.2901 * CHOOSE(CONTROL!$C$22, $C$13, 100%, $E$13)</f>
        <v>9.2901000000000007</v>
      </c>
      <c r="K534" s="68">
        <f>9.2914 * CHOOSE(CONTROL!$C$22, $C$13, 100%, $E$13)</f>
        <v>9.2913999999999994</v>
      </c>
    </row>
    <row r="535" spans="1:11" ht="15">
      <c r="A535" s="13">
        <v>57405</v>
      </c>
      <c r="B535" s="67">
        <f>8.0075 * CHOOSE(CONTROL!$C$22, $C$13, 100%, $E$13)</f>
        <v>8.0075000000000003</v>
      </c>
      <c r="C535" s="67">
        <f>8.0075 * CHOOSE(CONTROL!$C$22, $C$13, 100%, $E$13)</f>
        <v>8.0075000000000003</v>
      </c>
      <c r="D535" s="67">
        <f>8.0085 * CHOOSE(CONTROL!$C$22, $C$13, 100%, $E$13)</f>
        <v>8.0084999999999997</v>
      </c>
      <c r="E535" s="68">
        <f>9.4122 * CHOOSE(CONTROL!$C$22, $C$13, 100%, $E$13)</f>
        <v>9.4122000000000003</v>
      </c>
      <c r="F535" s="68">
        <f>9.4122 * CHOOSE(CONTROL!$C$22, $C$13, 100%, $E$13)</f>
        <v>9.4122000000000003</v>
      </c>
      <c r="G535" s="68">
        <f>9.4135 * CHOOSE(CONTROL!$C$22, $C$13, 100%, $E$13)</f>
        <v>9.4135000000000009</v>
      </c>
      <c r="H535" s="68">
        <f>15.3444* CHOOSE(CONTROL!$C$22, $C$13, 100%, $E$13)</f>
        <v>15.3444</v>
      </c>
      <c r="I535" s="68">
        <f>15.3457 * CHOOSE(CONTROL!$C$22, $C$13, 100%, $E$13)</f>
        <v>15.345700000000001</v>
      </c>
      <c r="J535" s="68">
        <f>9.4122 * CHOOSE(CONTROL!$C$22, $C$13, 100%, $E$13)</f>
        <v>9.4122000000000003</v>
      </c>
      <c r="K535" s="68">
        <f>9.4135 * CHOOSE(CONTROL!$C$22, $C$13, 100%, $E$13)</f>
        <v>9.4135000000000009</v>
      </c>
    </row>
    <row r="536" spans="1:11" ht="15">
      <c r="A536" s="13">
        <v>57436</v>
      </c>
      <c r="B536" s="67">
        <f>8.0086 * CHOOSE(CONTROL!$C$22, $C$13, 100%, $E$13)</f>
        <v>8.0085999999999995</v>
      </c>
      <c r="C536" s="67">
        <f>8.0086 * CHOOSE(CONTROL!$C$22, $C$13, 100%, $E$13)</f>
        <v>8.0085999999999995</v>
      </c>
      <c r="D536" s="67">
        <f>8.0096 * CHOOSE(CONTROL!$C$22, $C$13, 100%, $E$13)</f>
        <v>8.0096000000000007</v>
      </c>
      <c r="E536" s="68">
        <f>9.5413 * CHOOSE(CONTROL!$C$22, $C$13, 100%, $E$13)</f>
        <v>9.5412999999999997</v>
      </c>
      <c r="F536" s="68">
        <f>9.5413 * CHOOSE(CONTROL!$C$22, $C$13, 100%, $E$13)</f>
        <v>9.5412999999999997</v>
      </c>
      <c r="G536" s="68">
        <f>9.5426 * CHOOSE(CONTROL!$C$22, $C$13, 100%, $E$13)</f>
        <v>9.5426000000000002</v>
      </c>
      <c r="H536" s="68">
        <f>15.3764* CHOOSE(CONTROL!$C$22, $C$13, 100%, $E$13)</f>
        <v>15.3764</v>
      </c>
      <c r="I536" s="68">
        <f>15.3777 * CHOOSE(CONTROL!$C$22, $C$13, 100%, $E$13)</f>
        <v>15.377700000000001</v>
      </c>
      <c r="J536" s="68">
        <f>9.5413 * CHOOSE(CONTROL!$C$22, $C$13, 100%, $E$13)</f>
        <v>9.5412999999999997</v>
      </c>
      <c r="K536" s="68">
        <f>9.5426 * CHOOSE(CONTROL!$C$22, $C$13, 100%, $E$13)</f>
        <v>9.5426000000000002</v>
      </c>
    </row>
    <row r="537" spans="1:11" ht="15">
      <c r="A537" s="13">
        <v>57466</v>
      </c>
      <c r="B537" s="67">
        <f>8.0086 * CHOOSE(CONTROL!$C$22, $C$13, 100%, $E$13)</f>
        <v>8.0085999999999995</v>
      </c>
      <c r="C537" s="67">
        <f>8.0086 * CHOOSE(CONTROL!$C$22, $C$13, 100%, $E$13)</f>
        <v>8.0085999999999995</v>
      </c>
      <c r="D537" s="67">
        <f>8.0112 * CHOOSE(CONTROL!$C$22, $C$13, 100%, $E$13)</f>
        <v>8.0112000000000005</v>
      </c>
      <c r="E537" s="68">
        <f>9.5913 * CHOOSE(CONTROL!$C$22, $C$13, 100%, $E$13)</f>
        <v>9.5913000000000004</v>
      </c>
      <c r="F537" s="68">
        <f>9.5913 * CHOOSE(CONTROL!$C$22, $C$13, 100%, $E$13)</f>
        <v>9.5913000000000004</v>
      </c>
      <c r="G537" s="68">
        <f>9.5946 * CHOOSE(CONTROL!$C$22, $C$13, 100%, $E$13)</f>
        <v>9.5945999999999998</v>
      </c>
      <c r="H537" s="68">
        <f>15.4084* CHOOSE(CONTROL!$C$22, $C$13, 100%, $E$13)</f>
        <v>15.4084</v>
      </c>
      <c r="I537" s="68">
        <f>15.4117 * CHOOSE(CONTROL!$C$22, $C$13, 100%, $E$13)</f>
        <v>15.4117</v>
      </c>
      <c r="J537" s="68">
        <f>9.5913 * CHOOSE(CONTROL!$C$22, $C$13, 100%, $E$13)</f>
        <v>9.5913000000000004</v>
      </c>
      <c r="K537" s="68">
        <f>9.5946 * CHOOSE(CONTROL!$C$22, $C$13, 100%, $E$13)</f>
        <v>9.5945999999999998</v>
      </c>
    </row>
    <row r="538" spans="1:11" ht="15">
      <c r="A538" s="13">
        <v>57497</v>
      </c>
      <c r="B538" s="67">
        <f>8.0147 * CHOOSE(CONTROL!$C$22, $C$13, 100%, $E$13)</f>
        <v>8.0146999999999995</v>
      </c>
      <c r="C538" s="67">
        <f>8.0147 * CHOOSE(CONTROL!$C$22, $C$13, 100%, $E$13)</f>
        <v>8.0146999999999995</v>
      </c>
      <c r="D538" s="67">
        <f>8.0173 * CHOOSE(CONTROL!$C$22, $C$13, 100%, $E$13)</f>
        <v>8.0173000000000005</v>
      </c>
      <c r="E538" s="68">
        <f>9.5456 * CHOOSE(CONTROL!$C$22, $C$13, 100%, $E$13)</f>
        <v>9.5456000000000003</v>
      </c>
      <c r="F538" s="68">
        <f>9.5456 * CHOOSE(CONTROL!$C$22, $C$13, 100%, $E$13)</f>
        <v>9.5456000000000003</v>
      </c>
      <c r="G538" s="68">
        <f>9.5488 * CHOOSE(CONTROL!$C$22, $C$13, 100%, $E$13)</f>
        <v>9.5488</v>
      </c>
      <c r="H538" s="68">
        <f>15.4405* CHOOSE(CONTROL!$C$22, $C$13, 100%, $E$13)</f>
        <v>15.4405</v>
      </c>
      <c r="I538" s="68">
        <f>15.4438 * CHOOSE(CONTROL!$C$22, $C$13, 100%, $E$13)</f>
        <v>15.4438</v>
      </c>
      <c r="J538" s="68">
        <f>9.5456 * CHOOSE(CONTROL!$C$22, $C$13, 100%, $E$13)</f>
        <v>9.5456000000000003</v>
      </c>
      <c r="K538" s="68">
        <f>9.5488 * CHOOSE(CONTROL!$C$22, $C$13, 100%, $E$13)</f>
        <v>9.5488</v>
      </c>
    </row>
    <row r="539" spans="1:11" ht="15">
      <c r="A539" s="13">
        <v>57527</v>
      </c>
      <c r="B539" s="67">
        <f>8.1404 * CHOOSE(CONTROL!$C$22, $C$13, 100%, $E$13)</f>
        <v>8.1403999999999996</v>
      </c>
      <c r="C539" s="67">
        <f>8.1404 * CHOOSE(CONTROL!$C$22, $C$13, 100%, $E$13)</f>
        <v>8.1403999999999996</v>
      </c>
      <c r="D539" s="67">
        <f>8.143 * CHOOSE(CONTROL!$C$22, $C$13, 100%, $E$13)</f>
        <v>8.1430000000000007</v>
      </c>
      <c r="E539" s="68">
        <f>9.7022 * CHOOSE(CONTROL!$C$22, $C$13, 100%, $E$13)</f>
        <v>9.7021999999999995</v>
      </c>
      <c r="F539" s="68">
        <f>9.7022 * CHOOSE(CONTROL!$C$22, $C$13, 100%, $E$13)</f>
        <v>9.7021999999999995</v>
      </c>
      <c r="G539" s="68">
        <f>9.7054 * CHOOSE(CONTROL!$C$22, $C$13, 100%, $E$13)</f>
        <v>9.7053999999999991</v>
      </c>
      <c r="H539" s="68">
        <f>15.4727* CHOOSE(CONTROL!$C$22, $C$13, 100%, $E$13)</f>
        <v>15.4727</v>
      </c>
      <c r="I539" s="68">
        <f>15.4759 * CHOOSE(CONTROL!$C$22, $C$13, 100%, $E$13)</f>
        <v>15.475899999999999</v>
      </c>
      <c r="J539" s="68">
        <f>9.7022 * CHOOSE(CONTROL!$C$22, $C$13, 100%, $E$13)</f>
        <v>9.7021999999999995</v>
      </c>
      <c r="K539" s="68">
        <f>9.7054 * CHOOSE(CONTROL!$C$22, $C$13, 100%, $E$13)</f>
        <v>9.7053999999999991</v>
      </c>
    </row>
    <row r="540" spans="1:11" ht="15">
      <c r="A540" s="13">
        <v>57558</v>
      </c>
      <c r="B540" s="67">
        <f>8.1471 * CHOOSE(CONTROL!$C$22, $C$13, 100%, $E$13)</f>
        <v>8.1471</v>
      </c>
      <c r="C540" s="67">
        <f>8.1471 * CHOOSE(CONTROL!$C$22, $C$13, 100%, $E$13)</f>
        <v>8.1471</v>
      </c>
      <c r="D540" s="67">
        <f>8.1497 * CHOOSE(CONTROL!$C$22, $C$13, 100%, $E$13)</f>
        <v>8.1496999999999993</v>
      </c>
      <c r="E540" s="68">
        <f>9.5568 * CHOOSE(CONTROL!$C$22, $C$13, 100%, $E$13)</f>
        <v>9.5568000000000008</v>
      </c>
      <c r="F540" s="68">
        <f>9.5568 * CHOOSE(CONTROL!$C$22, $C$13, 100%, $E$13)</f>
        <v>9.5568000000000008</v>
      </c>
      <c r="G540" s="68">
        <f>9.5601 * CHOOSE(CONTROL!$C$22, $C$13, 100%, $E$13)</f>
        <v>9.5601000000000003</v>
      </c>
      <c r="H540" s="68">
        <f>15.5049* CHOOSE(CONTROL!$C$22, $C$13, 100%, $E$13)</f>
        <v>15.504899999999999</v>
      </c>
      <c r="I540" s="68">
        <f>15.5082 * CHOOSE(CONTROL!$C$22, $C$13, 100%, $E$13)</f>
        <v>15.5082</v>
      </c>
      <c r="J540" s="68">
        <f>9.5568 * CHOOSE(CONTROL!$C$22, $C$13, 100%, $E$13)</f>
        <v>9.5568000000000008</v>
      </c>
      <c r="K540" s="68">
        <f>9.5601 * CHOOSE(CONTROL!$C$22, $C$13, 100%, $E$13)</f>
        <v>9.5601000000000003</v>
      </c>
    </row>
    <row r="541" spans="1:11" ht="15">
      <c r="A541" s="13">
        <v>57589</v>
      </c>
      <c r="B541" s="67">
        <f>8.1441 * CHOOSE(CONTROL!$C$22, $C$13, 100%, $E$13)</f>
        <v>8.1440999999999999</v>
      </c>
      <c r="C541" s="67">
        <f>8.1441 * CHOOSE(CONTROL!$C$22, $C$13, 100%, $E$13)</f>
        <v>8.1440999999999999</v>
      </c>
      <c r="D541" s="67">
        <f>8.1467 * CHOOSE(CONTROL!$C$22, $C$13, 100%, $E$13)</f>
        <v>8.1466999999999992</v>
      </c>
      <c r="E541" s="68">
        <f>9.538 * CHOOSE(CONTROL!$C$22, $C$13, 100%, $E$13)</f>
        <v>9.5380000000000003</v>
      </c>
      <c r="F541" s="68">
        <f>9.538 * CHOOSE(CONTROL!$C$22, $C$13, 100%, $E$13)</f>
        <v>9.5380000000000003</v>
      </c>
      <c r="G541" s="68">
        <f>9.5413 * CHOOSE(CONTROL!$C$22, $C$13, 100%, $E$13)</f>
        <v>9.5412999999999997</v>
      </c>
      <c r="H541" s="68">
        <f>15.5372* CHOOSE(CONTROL!$C$22, $C$13, 100%, $E$13)</f>
        <v>15.5372</v>
      </c>
      <c r="I541" s="68">
        <f>15.5405 * CHOOSE(CONTROL!$C$22, $C$13, 100%, $E$13)</f>
        <v>15.5405</v>
      </c>
      <c r="J541" s="68">
        <f>9.538 * CHOOSE(CONTROL!$C$22, $C$13, 100%, $E$13)</f>
        <v>9.5380000000000003</v>
      </c>
      <c r="K541" s="68">
        <f>9.5413 * CHOOSE(CONTROL!$C$22, $C$13, 100%, $E$13)</f>
        <v>9.5412999999999997</v>
      </c>
    </row>
    <row r="542" spans="1:11" ht="15">
      <c r="A542" s="13">
        <v>57619</v>
      </c>
      <c r="B542" s="67">
        <f>8.1527 * CHOOSE(CONTROL!$C$22, $C$13, 100%, $E$13)</f>
        <v>8.1526999999999994</v>
      </c>
      <c r="C542" s="67">
        <f>8.1527 * CHOOSE(CONTROL!$C$22, $C$13, 100%, $E$13)</f>
        <v>8.1526999999999994</v>
      </c>
      <c r="D542" s="67">
        <f>8.1537 * CHOOSE(CONTROL!$C$22, $C$13, 100%, $E$13)</f>
        <v>8.1537000000000006</v>
      </c>
      <c r="E542" s="68">
        <f>9.5913 * CHOOSE(CONTROL!$C$22, $C$13, 100%, $E$13)</f>
        <v>9.5913000000000004</v>
      </c>
      <c r="F542" s="68">
        <f>9.5913 * CHOOSE(CONTROL!$C$22, $C$13, 100%, $E$13)</f>
        <v>9.5913000000000004</v>
      </c>
      <c r="G542" s="68">
        <f>9.5926 * CHOOSE(CONTROL!$C$22, $C$13, 100%, $E$13)</f>
        <v>9.5925999999999991</v>
      </c>
      <c r="H542" s="68">
        <f>15.5696* CHOOSE(CONTROL!$C$22, $C$13, 100%, $E$13)</f>
        <v>15.569599999999999</v>
      </c>
      <c r="I542" s="68">
        <f>15.5709 * CHOOSE(CONTROL!$C$22, $C$13, 100%, $E$13)</f>
        <v>15.5709</v>
      </c>
      <c r="J542" s="68">
        <f>9.5913 * CHOOSE(CONTROL!$C$22, $C$13, 100%, $E$13)</f>
        <v>9.5913000000000004</v>
      </c>
      <c r="K542" s="68">
        <f>9.5926 * CHOOSE(CONTROL!$C$22, $C$13, 100%, $E$13)</f>
        <v>9.5925999999999991</v>
      </c>
    </row>
    <row r="543" spans="1:11" ht="15">
      <c r="A543" s="13">
        <v>57650</v>
      </c>
      <c r="B543" s="67">
        <f>8.1558 * CHOOSE(CONTROL!$C$22, $C$13, 100%, $E$13)</f>
        <v>8.1557999999999993</v>
      </c>
      <c r="C543" s="67">
        <f>8.1558 * CHOOSE(CONTROL!$C$22, $C$13, 100%, $E$13)</f>
        <v>8.1557999999999993</v>
      </c>
      <c r="D543" s="67">
        <f>8.1567 * CHOOSE(CONTROL!$C$22, $C$13, 100%, $E$13)</f>
        <v>8.1567000000000007</v>
      </c>
      <c r="E543" s="68">
        <f>9.6267 * CHOOSE(CONTROL!$C$22, $C$13, 100%, $E$13)</f>
        <v>9.6266999999999996</v>
      </c>
      <c r="F543" s="68">
        <f>9.6267 * CHOOSE(CONTROL!$C$22, $C$13, 100%, $E$13)</f>
        <v>9.6266999999999996</v>
      </c>
      <c r="G543" s="68">
        <f>9.628 * CHOOSE(CONTROL!$C$22, $C$13, 100%, $E$13)</f>
        <v>9.6280000000000001</v>
      </c>
      <c r="H543" s="68">
        <f>15.602* CHOOSE(CONTROL!$C$22, $C$13, 100%, $E$13)</f>
        <v>15.602</v>
      </c>
      <c r="I543" s="68">
        <f>15.6033 * CHOOSE(CONTROL!$C$22, $C$13, 100%, $E$13)</f>
        <v>15.603300000000001</v>
      </c>
      <c r="J543" s="68">
        <f>9.6267 * CHOOSE(CONTROL!$C$22, $C$13, 100%, $E$13)</f>
        <v>9.6266999999999996</v>
      </c>
      <c r="K543" s="68">
        <f>9.628 * CHOOSE(CONTROL!$C$22, $C$13, 100%, $E$13)</f>
        <v>9.6280000000000001</v>
      </c>
    </row>
    <row r="544" spans="1:11" ht="15">
      <c r="A544" s="13">
        <v>57680</v>
      </c>
      <c r="B544" s="67">
        <f>8.1558 * CHOOSE(CONTROL!$C$22, $C$13, 100%, $E$13)</f>
        <v>8.1557999999999993</v>
      </c>
      <c r="C544" s="67">
        <f>8.1558 * CHOOSE(CONTROL!$C$22, $C$13, 100%, $E$13)</f>
        <v>8.1557999999999993</v>
      </c>
      <c r="D544" s="67">
        <f>8.1567 * CHOOSE(CONTROL!$C$22, $C$13, 100%, $E$13)</f>
        <v>8.1567000000000007</v>
      </c>
      <c r="E544" s="68">
        <f>9.5434 * CHOOSE(CONTROL!$C$22, $C$13, 100%, $E$13)</f>
        <v>9.5434000000000001</v>
      </c>
      <c r="F544" s="68">
        <f>9.5434 * CHOOSE(CONTROL!$C$22, $C$13, 100%, $E$13)</f>
        <v>9.5434000000000001</v>
      </c>
      <c r="G544" s="68">
        <f>9.5447 * CHOOSE(CONTROL!$C$22, $C$13, 100%, $E$13)</f>
        <v>9.5447000000000006</v>
      </c>
      <c r="H544" s="68">
        <f>15.6345* CHOOSE(CONTROL!$C$22, $C$13, 100%, $E$13)</f>
        <v>15.634499999999999</v>
      </c>
      <c r="I544" s="68">
        <f>15.6358 * CHOOSE(CONTROL!$C$22, $C$13, 100%, $E$13)</f>
        <v>15.6358</v>
      </c>
      <c r="J544" s="68">
        <f>9.5434 * CHOOSE(CONTROL!$C$22, $C$13, 100%, $E$13)</f>
        <v>9.5434000000000001</v>
      </c>
      <c r="K544" s="68">
        <f>9.5447 * CHOOSE(CONTROL!$C$22, $C$13, 100%, $E$13)</f>
        <v>9.5447000000000006</v>
      </c>
    </row>
    <row r="545" spans="1:11" ht="15">
      <c r="A545" s="13">
        <v>57711</v>
      </c>
      <c r="B545" s="67">
        <f>8.2256 * CHOOSE(CONTROL!$C$22, $C$13, 100%, $E$13)</f>
        <v>8.2256</v>
      </c>
      <c r="C545" s="67">
        <f>8.2256 * CHOOSE(CONTROL!$C$22, $C$13, 100%, $E$13)</f>
        <v>8.2256</v>
      </c>
      <c r="D545" s="67">
        <f>8.2266 * CHOOSE(CONTROL!$C$22, $C$13, 100%, $E$13)</f>
        <v>8.2265999999999995</v>
      </c>
      <c r="E545" s="68">
        <f>9.6809 * CHOOSE(CONTROL!$C$22, $C$13, 100%, $E$13)</f>
        <v>9.6808999999999994</v>
      </c>
      <c r="F545" s="68">
        <f>9.6809 * CHOOSE(CONTROL!$C$22, $C$13, 100%, $E$13)</f>
        <v>9.6808999999999994</v>
      </c>
      <c r="G545" s="68">
        <f>9.6822 * CHOOSE(CONTROL!$C$22, $C$13, 100%, $E$13)</f>
        <v>9.6821999999999999</v>
      </c>
      <c r="H545" s="68">
        <f>15.6671* CHOOSE(CONTROL!$C$22, $C$13, 100%, $E$13)</f>
        <v>15.6671</v>
      </c>
      <c r="I545" s="68">
        <f>15.6684 * CHOOSE(CONTROL!$C$22, $C$13, 100%, $E$13)</f>
        <v>15.6684</v>
      </c>
      <c r="J545" s="68">
        <f>9.6809 * CHOOSE(CONTROL!$C$22, $C$13, 100%, $E$13)</f>
        <v>9.6808999999999994</v>
      </c>
      <c r="K545" s="68">
        <f>9.6822 * CHOOSE(CONTROL!$C$22, $C$13, 100%, $E$13)</f>
        <v>9.6821999999999999</v>
      </c>
    </row>
    <row r="546" spans="1:11" ht="15">
      <c r="A546" s="13">
        <v>57742</v>
      </c>
      <c r="B546" s="67">
        <f>8.2226 * CHOOSE(CONTROL!$C$22, $C$13, 100%, $E$13)</f>
        <v>8.2225999999999999</v>
      </c>
      <c r="C546" s="67">
        <f>8.2226 * CHOOSE(CONTROL!$C$22, $C$13, 100%, $E$13)</f>
        <v>8.2225999999999999</v>
      </c>
      <c r="D546" s="67">
        <f>8.2236 * CHOOSE(CONTROL!$C$22, $C$13, 100%, $E$13)</f>
        <v>8.2235999999999994</v>
      </c>
      <c r="E546" s="68">
        <f>9.5169 * CHOOSE(CONTROL!$C$22, $C$13, 100%, $E$13)</f>
        <v>9.5168999999999997</v>
      </c>
      <c r="F546" s="68">
        <f>9.5169 * CHOOSE(CONTROL!$C$22, $C$13, 100%, $E$13)</f>
        <v>9.5168999999999997</v>
      </c>
      <c r="G546" s="68">
        <f>9.5182 * CHOOSE(CONTROL!$C$22, $C$13, 100%, $E$13)</f>
        <v>9.5182000000000002</v>
      </c>
      <c r="H546" s="68">
        <f>15.6997* CHOOSE(CONTROL!$C$22, $C$13, 100%, $E$13)</f>
        <v>15.6997</v>
      </c>
      <c r="I546" s="68">
        <f>15.701 * CHOOSE(CONTROL!$C$22, $C$13, 100%, $E$13)</f>
        <v>15.701000000000001</v>
      </c>
      <c r="J546" s="68">
        <f>9.5169 * CHOOSE(CONTROL!$C$22, $C$13, 100%, $E$13)</f>
        <v>9.5168999999999997</v>
      </c>
      <c r="K546" s="68">
        <f>9.5182 * CHOOSE(CONTROL!$C$22, $C$13, 100%, $E$13)</f>
        <v>9.5182000000000002</v>
      </c>
    </row>
    <row r="547" spans="1:11" ht="15">
      <c r="A547" s="13">
        <v>57770</v>
      </c>
      <c r="B547" s="67">
        <f>8.2195 * CHOOSE(CONTROL!$C$22, $C$13, 100%, $E$13)</f>
        <v>8.2195</v>
      </c>
      <c r="C547" s="67">
        <f>8.2195 * CHOOSE(CONTROL!$C$22, $C$13, 100%, $E$13)</f>
        <v>8.2195</v>
      </c>
      <c r="D547" s="67">
        <f>8.2205 * CHOOSE(CONTROL!$C$22, $C$13, 100%, $E$13)</f>
        <v>8.2204999999999995</v>
      </c>
      <c r="E547" s="68">
        <f>9.6424 * CHOOSE(CONTROL!$C$22, $C$13, 100%, $E$13)</f>
        <v>9.6424000000000003</v>
      </c>
      <c r="F547" s="68">
        <f>9.6424 * CHOOSE(CONTROL!$C$22, $C$13, 100%, $E$13)</f>
        <v>9.6424000000000003</v>
      </c>
      <c r="G547" s="68">
        <f>9.6437 * CHOOSE(CONTROL!$C$22, $C$13, 100%, $E$13)</f>
        <v>9.6437000000000008</v>
      </c>
      <c r="H547" s="68">
        <f>15.7324* CHOOSE(CONTROL!$C$22, $C$13, 100%, $E$13)</f>
        <v>15.7324</v>
      </c>
      <c r="I547" s="68">
        <f>15.7337 * CHOOSE(CONTROL!$C$22, $C$13, 100%, $E$13)</f>
        <v>15.733700000000001</v>
      </c>
      <c r="J547" s="68">
        <f>9.6424 * CHOOSE(CONTROL!$C$22, $C$13, 100%, $E$13)</f>
        <v>9.6424000000000003</v>
      </c>
      <c r="K547" s="68">
        <f>9.6437 * CHOOSE(CONTROL!$C$22, $C$13, 100%, $E$13)</f>
        <v>9.6437000000000008</v>
      </c>
    </row>
    <row r="548" spans="1:11" ht="15">
      <c r="A548" s="13">
        <v>57801</v>
      </c>
      <c r="B548" s="67">
        <f>8.2208 * CHOOSE(CONTROL!$C$22, $C$13, 100%, $E$13)</f>
        <v>8.2208000000000006</v>
      </c>
      <c r="C548" s="67">
        <f>8.2208 * CHOOSE(CONTROL!$C$22, $C$13, 100%, $E$13)</f>
        <v>8.2208000000000006</v>
      </c>
      <c r="D548" s="67">
        <f>8.2218 * CHOOSE(CONTROL!$C$22, $C$13, 100%, $E$13)</f>
        <v>8.2218</v>
      </c>
      <c r="E548" s="68">
        <f>9.7753 * CHOOSE(CONTROL!$C$22, $C$13, 100%, $E$13)</f>
        <v>9.7752999999999997</v>
      </c>
      <c r="F548" s="68">
        <f>9.7753 * CHOOSE(CONTROL!$C$22, $C$13, 100%, $E$13)</f>
        <v>9.7752999999999997</v>
      </c>
      <c r="G548" s="68">
        <f>9.7766 * CHOOSE(CONTROL!$C$22, $C$13, 100%, $E$13)</f>
        <v>9.7766000000000002</v>
      </c>
      <c r="H548" s="68">
        <f>15.7652* CHOOSE(CONTROL!$C$22, $C$13, 100%, $E$13)</f>
        <v>15.7652</v>
      </c>
      <c r="I548" s="68">
        <f>15.7665 * CHOOSE(CONTROL!$C$22, $C$13, 100%, $E$13)</f>
        <v>15.766500000000001</v>
      </c>
      <c r="J548" s="68">
        <f>9.7753 * CHOOSE(CONTROL!$C$22, $C$13, 100%, $E$13)</f>
        <v>9.7752999999999997</v>
      </c>
      <c r="K548" s="68">
        <f>9.7766 * CHOOSE(CONTROL!$C$22, $C$13, 100%, $E$13)</f>
        <v>9.7766000000000002</v>
      </c>
    </row>
    <row r="549" spans="1:11" ht="15">
      <c r="A549" s="13">
        <v>57831</v>
      </c>
      <c r="B549" s="67">
        <f>8.2208 * CHOOSE(CONTROL!$C$22, $C$13, 100%, $E$13)</f>
        <v>8.2208000000000006</v>
      </c>
      <c r="C549" s="67">
        <f>8.2208 * CHOOSE(CONTROL!$C$22, $C$13, 100%, $E$13)</f>
        <v>8.2208000000000006</v>
      </c>
      <c r="D549" s="67">
        <f>8.2234 * CHOOSE(CONTROL!$C$22, $C$13, 100%, $E$13)</f>
        <v>8.2233999999999998</v>
      </c>
      <c r="E549" s="68">
        <f>9.8267 * CHOOSE(CONTROL!$C$22, $C$13, 100%, $E$13)</f>
        <v>9.8267000000000007</v>
      </c>
      <c r="F549" s="68">
        <f>9.8267 * CHOOSE(CONTROL!$C$22, $C$13, 100%, $E$13)</f>
        <v>9.8267000000000007</v>
      </c>
      <c r="G549" s="68">
        <f>9.83 * CHOOSE(CONTROL!$C$22, $C$13, 100%, $E$13)</f>
        <v>9.83</v>
      </c>
      <c r="H549" s="68">
        <f>15.7981* CHOOSE(CONTROL!$C$22, $C$13, 100%, $E$13)</f>
        <v>15.7981</v>
      </c>
      <c r="I549" s="68">
        <f>15.8013 * CHOOSE(CONTROL!$C$22, $C$13, 100%, $E$13)</f>
        <v>15.801299999999999</v>
      </c>
      <c r="J549" s="68">
        <f>9.8267 * CHOOSE(CONTROL!$C$22, $C$13, 100%, $E$13)</f>
        <v>9.8267000000000007</v>
      </c>
      <c r="K549" s="68">
        <f>9.83 * CHOOSE(CONTROL!$C$22, $C$13, 100%, $E$13)</f>
        <v>9.83</v>
      </c>
    </row>
    <row r="550" spans="1:11" ht="15">
      <c r="A550" s="13">
        <v>57862</v>
      </c>
      <c r="B550" s="67">
        <f>8.2269 * CHOOSE(CONTROL!$C$22, $C$13, 100%, $E$13)</f>
        <v>8.2269000000000005</v>
      </c>
      <c r="C550" s="67">
        <f>8.2269 * CHOOSE(CONTROL!$C$22, $C$13, 100%, $E$13)</f>
        <v>8.2269000000000005</v>
      </c>
      <c r="D550" s="67">
        <f>8.2295 * CHOOSE(CONTROL!$C$22, $C$13, 100%, $E$13)</f>
        <v>8.2294999999999998</v>
      </c>
      <c r="E550" s="68">
        <f>9.7795 * CHOOSE(CONTROL!$C$22, $C$13, 100%, $E$13)</f>
        <v>9.7795000000000005</v>
      </c>
      <c r="F550" s="68">
        <f>9.7795 * CHOOSE(CONTROL!$C$22, $C$13, 100%, $E$13)</f>
        <v>9.7795000000000005</v>
      </c>
      <c r="G550" s="68">
        <f>9.7828 * CHOOSE(CONTROL!$C$22, $C$13, 100%, $E$13)</f>
        <v>9.7827999999999999</v>
      </c>
      <c r="H550" s="68">
        <f>15.831* CHOOSE(CONTROL!$C$22, $C$13, 100%, $E$13)</f>
        <v>15.831</v>
      </c>
      <c r="I550" s="68">
        <f>15.8342 * CHOOSE(CONTROL!$C$22, $C$13, 100%, $E$13)</f>
        <v>15.834199999999999</v>
      </c>
      <c r="J550" s="68">
        <f>9.7795 * CHOOSE(CONTROL!$C$22, $C$13, 100%, $E$13)</f>
        <v>9.7795000000000005</v>
      </c>
      <c r="K550" s="68">
        <f>9.7828 * CHOOSE(CONTROL!$C$22, $C$13, 100%, $E$13)</f>
        <v>9.7827999999999999</v>
      </c>
    </row>
    <row r="551" spans="1:11" ht="15">
      <c r="A551" s="13">
        <v>57892</v>
      </c>
      <c r="B551" s="67">
        <f>8.3557 * CHOOSE(CONTROL!$C$22, $C$13, 100%, $E$13)</f>
        <v>8.3557000000000006</v>
      </c>
      <c r="C551" s="67">
        <f>8.3557 * CHOOSE(CONTROL!$C$22, $C$13, 100%, $E$13)</f>
        <v>8.3557000000000006</v>
      </c>
      <c r="D551" s="67">
        <f>8.3583 * CHOOSE(CONTROL!$C$22, $C$13, 100%, $E$13)</f>
        <v>8.3582999999999998</v>
      </c>
      <c r="E551" s="68">
        <f>9.9397 * CHOOSE(CONTROL!$C$22, $C$13, 100%, $E$13)</f>
        <v>9.9397000000000002</v>
      </c>
      <c r="F551" s="68">
        <f>9.9397 * CHOOSE(CONTROL!$C$22, $C$13, 100%, $E$13)</f>
        <v>9.9397000000000002</v>
      </c>
      <c r="G551" s="68">
        <f>9.9429 * CHOOSE(CONTROL!$C$22, $C$13, 100%, $E$13)</f>
        <v>9.9428999999999998</v>
      </c>
      <c r="H551" s="68">
        <f>15.864* CHOOSE(CONTROL!$C$22, $C$13, 100%, $E$13)</f>
        <v>15.864000000000001</v>
      </c>
      <c r="I551" s="68">
        <f>15.8672 * CHOOSE(CONTROL!$C$22, $C$13, 100%, $E$13)</f>
        <v>15.8672</v>
      </c>
      <c r="J551" s="68">
        <f>9.9397 * CHOOSE(CONTROL!$C$22, $C$13, 100%, $E$13)</f>
        <v>9.9397000000000002</v>
      </c>
      <c r="K551" s="68">
        <f>9.9429 * CHOOSE(CONTROL!$C$22, $C$13, 100%, $E$13)</f>
        <v>9.9428999999999998</v>
      </c>
    </row>
    <row r="552" spans="1:11" ht="15">
      <c r="A552" s="13">
        <v>57923</v>
      </c>
      <c r="B552" s="67">
        <f>8.3623 * CHOOSE(CONTROL!$C$22, $C$13, 100%, $E$13)</f>
        <v>8.3622999999999994</v>
      </c>
      <c r="C552" s="67">
        <f>8.3623 * CHOOSE(CONTROL!$C$22, $C$13, 100%, $E$13)</f>
        <v>8.3622999999999994</v>
      </c>
      <c r="D552" s="67">
        <f>8.365 * CHOOSE(CONTROL!$C$22, $C$13, 100%, $E$13)</f>
        <v>8.3650000000000002</v>
      </c>
      <c r="E552" s="68">
        <f>9.7901 * CHOOSE(CONTROL!$C$22, $C$13, 100%, $E$13)</f>
        <v>9.7901000000000007</v>
      </c>
      <c r="F552" s="68">
        <f>9.7901 * CHOOSE(CONTROL!$C$22, $C$13, 100%, $E$13)</f>
        <v>9.7901000000000007</v>
      </c>
      <c r="G552" s="68">
        <f>9.7934 * CHOOSE(CONTROL!$C$22, $C$13, 100%, $E$13)</f>
        <v>9.7934000000000001</v>
      </c>
      <c r="H552" s="68">
        <f>15.897* CHOOSE(CONTROL!$C$22, $C$13, 100%, $E$13)</f>
        <v>15.897</v>
      </c>
      <c r="I552" s="68">
        <f>15.9003 * CHOOSE(CONTROL!$C$22, $C$13, 100%, $E$13)</f>
        <v>15.9003</v>
      </c>
      <c r="J552" s="68">
        <f>9.7901 * CHOOSE(CONTROL!$C$22, $C$13, 100%, $E$13)</f>
        <v>9.7901000000000007</v>
      </c>
      <c r="K552" s="68">
        <f>9.7934 * CHOOSE(CONTROL!$C$22, $C$13, 100%, $E$13)</f>
        <v>9.7934000000000001</v>
      </c>
    </row>
    <row r="553" spans="1:11" ht="15">
      <c r="A553" s="13">
        <v>57954</v>
      </c>
      <c r="B553" s="67">
        <f>8.3593 * CHOOSE(CONTROL!$C$22, $C$13, 100%, $E$13)</f>
        <v>8.3592999999999993</v>
      </c>
      <c r="C553" s="67">
        <f>8.3593 * CHOOSE(CONTROL!$C$22, $C$13, 100%, $E$13)</f>
        <v>8.3592999999999993</v>
      </c>
      <c r="D553" s="67">
        <f>8.3619 * CHOOSE(CONTROL!$C$22, $C$13, 100%, $E$13)</f>
        <v>8.3619000000000003</v>
      </c>
      <c r="E553" s="68">
        <f>9.7709 * CHOOSE(CONTROL!$C$22, $C$13, 100%, $E$13)</f>
        <v>9.7708999999999993</v>
      </c>
      <c r="F553" s="68">
        <f>9.7709 * CHOOSE(CONTROL!$C$22, $C$13, 100%, $E$13)</f>
        <v>9.7708999999999993</v>
      </c>
      <c r="G553" s="68">
        <f>9.7741 * CHOOSE(CONTROL!$C$22, $C$13, 100%, $E$13)</f>
        <v>9.7741000000000007</v>
      </c>
      <c r="H553" s="68">
        <f>15.9301* CHOOSE(CONTROL!$C$22, $C$13, 100%, $E$13)</f>
        <v>15.930099999999999</v>
      </c>
      <c r="I553" s="68">
        <f>15.9334 * CHOOSE(CONTROL!$C$22, $C$13, 100%, $E$13)</f>
        <v>15.933400000000001</v>
      </c>
      <c r="J553" s="68">
        <f>9.7709 * CHOOSE(CONTROL!$C$22, $C$13, 100%, $E$13)</f>
        <v>9.7708999999999993</v>
      </c>
      <c r="K553" s="68">
        <f>9.7741 * CHOOSE(CONTROL!$C$22, $C$13, 100%, $E$13)</f>
        <v>9.7741000000000007</v>
      </c>
    </row>
    <row r="554" spans="1:11" ht="15">
      <c r="A554" s="13">
        <v>57984</v>
      </c>
      <c r="B554" s="67">
        <f>8.3686 * CHOOSE(CONTROL!$C$22, $C$13, 100%, $E$13)</f>
        <v>8.3686000000000007</v>
      </c>
      <c r="C554" s="67">
        <f>8.3686 * CHOOSE(CONTROL!$C$22, $C$13, 100%, $E$13)</f>
        <v>8.3686000000000007</v>
      </c>
      <c r="D554" s="67">
        <f>8.3696 * CHOOSE(CONTROL!$C$22, $C$13, 100%, $E$13)</f>
        <v>8.3696000000000002</v>
      </c>
      <c r="E554" s="68">
        <f>9.826 * CHOOSE(CONTROL!$C$22, $C$13, 100%, $E$13)</f>
        <v>9.8260000000000005</v>
      </c>
      <c r="F554" s="68">
        <f>9.826 * CHOOSE(CONTROL!$C$22, $C$13, 100%, $E$13)</f>
        <v>9.8260000000000005</v>
      </c>
      <c r="G554" s="68">
        <f>9.8273 * CHOOSE(CONTROL!$C$22, $C$13, 100%, $E$13)</f>
        <v>9.8272999999999993</v>
      </c>
      <c r="H554" s="68">
        <f>15.9633* CHOOSE(CONTROL!$C$22, $C$13, 100%, $E$13)</f>
        <v>15.9633</v>
      </c>
      <c r="I554" s="68">
        <f>15.9646 * CHOOSE(CONTROL!$C$22, $C$13, 100%, $E$13)</f>
        <v>15.964600000000001</v>
      </c>
      <c r="J554" s="68">
        <f>9.826 * CHOOSE(CONTROL!$C$22, $C$13, 100%, $E$13)</f>
        <v>9.8260000000000005</v>
      </c>
      <c r="K554" s="68">
        <f>9.8273 * CHOOSE(CONTROL!$C$22, $C$13, 100%, $E$13)</f>
        <v>9.8272999999999993</v>
      </c>
    </row>
    <row r="555" spans="1:11" ht="15">
      <c r="A555" s="13">
        <v>58015</v>
      </c>
      <c r="B555" s="67">
        <f>8.3717 * CHOOSE(CONTROL!$C$22, $C$13, 100%, $E$13)</f>
        <v>8.3717000000000006</v>
      </c>
      <c r="C555" s="67">
        <f>8.3717 * CHOOSE(CONTROL!$C$22, $C$13, 100%, $E$13)</f>
        <v>8.3717000000000006</v>
      </c>
      <c r="D555" s="67">
        <f>8.3727 * CHOOSE(CONTROL!$C$22, $C$13, 100%, $E$13)</f>
        <v>8.3727</v>
      </c>
      <c r="E555" s="68">
        <f>9.8624 * CHOOSE(CONTROL!$C$22, $C$13, 100%, $E$13)</f>
        <v>9.8623999999999992</v>
      </c>
      <c r="F555" s="68">
        <f>9.8624 * CHOOSE(CONTROL!$C$22, $C$13, 100%, $E$13)</f>
        <v>9.8623999999999992</v>
      </c>
      <c r="G555" s="68">
        <f>9.8637 * CHOOSE(CONTROL!$C$22, $C$13, 100%, $E$13)</f>
        <v>9.8636999999999997</v>
      </c>
      <c r="H555" s="68">
        <f>15.9966* CHOOSE(CONTROL!$C$22, $C$13, 100%, $E$13)</f>
        <v>15.996600000000001</v>
      </c>
      <c r="I555" s="68">
        <f>15.9979 * CHOOSE(CONTROL!$C$22, $C$13, 100%, $E$13)</f>
        <v>15.9979</v>
      </c>
      <c r="J555" s="68">
        <f>9.8624 * CHOOSE(CONTROL!$C$22, $C$13, 100%, $E$13)</f>
        <v>9.8623999999999992</v>
      </c>
      <c r="K555" s="68">
        <f>9.8637 * CHOOSE(CONTROL!$C$22, $C$13, 100%, $E$13)</f>
        <v>9.8636999999999997</v>
      </c>
    </row>
    <row r="556" spans="1:11" ht="15">
      <c r="A556" s="13">
        <v>58045</v>
      </c>
      <c r="B556" s="67">
        <f>8.3717 * CHOOSE(CONTROL!$C$22, $C$13, 100%, $E$13)</f>
        <v>8.3717000000000006</v>
      </c>
      <c r="C556" s="67">
        <f>8.3717 * CHOOSE(CONTROL!$C$22, $C$13, 100%, $E$13)</f>
        <v>8.3717000000000006</v>
      </c>
      <c r="D556" s="67">
        <f>8.3727 * CHOOSE(CONTROL!$C$22, $C$13, 100%, $E$13)</f>
        <v>8.3727</v>
      </c>
      <c r="E556" s="68">
        <f>9.7767 * CHOOSE(CONTROL!$C$22, $C$13, 100%, $E$13)</f>
        <v>9.7766999999999999</v>
      </c>
      <c r="F556" s="68">
        <f>9.7767 * CHOOSE(CONTROL!$C$22, $C$13, 100%, $E$13)</f>
        <v>9.7766999999999999</v>
      </c>
      <c r="G556" s="68">
        <f>9.778 * CHOOSE(CONTROL!$C$22, $C$13, 100%, $E$13)</f>
        <v>9.7780000000000005</v>
      </c>
      <c r="H556" s="68">
        <f>16.0299* CHOOSE(CONTROL!$C$22, $C$13, 100%, $E$13)</f>
        <v>16.029900000000001</v>
      </c>
      <c r="I556" s="68">
        <f>16.0312 * CHOOSE(CONTROL!$C$22, $C$13, 100%, $E$13)</f>
        <v>16.031199999999998</v>
      </c>
      <c r="J556" s="68">
        <f>9.7767 * CHOOSE(CONTROL!$C$22, $C$13, 100%, $E$13)</f>
        <v>9.7766999999999999</v>
      </c>
      <c r="K556" s="68">
        <f>9.778 * CHOOSE(CONTROL!$C$22, $C$13, 100%, $E$13)</f>
        <v>9.7780000000000005</v>
      </c>
    </row>
    <row r="557" spans="1:11" ht="15">
      <c r="A557" s="13">
        <v>58076</v>
      </c>
      <c r="B557" s="67">
        <f>8.4433 * CHOOSE(CONTROL!$C$22, $C$13, 100%, $E$13)</f>
        <v>8.4433000000000007</v>
      </c>
      <c r="C557" s="67">
        <f>8.4433 * CHOOSE(CONTROL!$C$22, $C$13, 100%, $E$13)</f>
        <v>8.4433000000000007</v>
      </c>
      <c r="D557" s="67">
        <f>8.4443 * CHOOSE(CONTROL!$C$22, $C$13, 100%, $E$13)</f>
        <v>8.4443000000000001</v>
      </c>
      <c r="E557" s="68">
        <f>9.9178 * CHOOSE(CONTROL!$C$22, $C$13, 100%, $E$13)</f>
        <v>9.9177999999999997</v>
      </c>
      <c r="F557" s="68">
        <f>9.9178 * CHOOSE(CONTROL!$C$22, $C$13, 100%, $E$13)</f>
        <v>9.9177999999999997</v>
      </c>
      <c r="G557" s="68">
        <f>9.919 * CHOOSE(CONTROL!$C$22, $C$13, 100%, $E$13)</f>
        <v>9.9190000000000005</v>
      </c>
      <c r="H557" s="68">
        <f>16.0633* CHOOSE(CONTROL!$C$22, $C$13, 100%, $E$13)</f>
        <v>16.063300000000002</v>
      </c>
      <c r="I557" s="68">
        <f>16.0646 * CHOOSE(CONTROL!$C$22, $C$13, 100%, $E$13)</f>
        <v>16.064599999999999</v>
      </c>
      <c r="J557" s="68">
        <f>9.9178 * CHOOSE(CONTROL!$C$22, $C$13, 100%, $E$13)</f>
        <v>9.9177999999999997</v>
      </c>
      <c r="K557" s="68">
        <f>9.919 * CHOOSE(CONTROL!$C$22, $C$13, 100%, $E$13)</f>
        <v>9.9190000000000005</v>
      </c>
    </row>
    <row r="558" spans="1:11" ht="15">
      <c r="A558" s="13">
        <v>58107</v>
      </c>
      <c r="B558" s="67">
        <f>8.4402 * CHOOSE(CONTROL!$C$22, $C$13, 100%, $E$13)</f>
        <v>8.4402000000000008</v>
      </c>
      <c r="C558" s="67">
        <f>8.4402 * CHOOSE(CONTROL!$C$22, $C$13, 100%, $E$13)</f>
        <v>8.4402000000000008</v>
      </c>
      <c r="D558" s="67">
        <f>8.4412 * CHOOSE(CONTROL!$C$22, $C$13, 100%, $E$13)</f>
        <v>8.4412000000000003</v>
      </c>
      <c r="E558" s="68">
        <f>9.7492 * CHOOSE(CONTROL!$C$22, $C$13, 100%, $E$13)</f>
        <v>9.7492000000000001</v>
      </c>
      <c r="F558" s="68">
        <f>9.7492 * CHOOSE(CONTROL!$C$22, $C$13, 100%, $E$13)</f>
        <v>9.7492000000000001</v>
      </c>
      <c r="G558" s="68">
        <f>9.7504 * CHOOSE(CONTROL!$C$22, $C$13, 100%, $E$13)</f>
        <v>9.7504000000000008</v>
      </c>
      <c r="H558" s="68">
        <f>16.0968* CHOOSE(CONTROL!$C$22, $C$13, 100%, $E$13)</f>
        <v>16.096800000000002</v>
      </c>
      <c r="I558" s="68">
        <f>16.098 * CHOOSE(CONTROL!$C$22, $C$13, 100%, $E$13)</f>
        <v>16.097999999999999</v>
      </c>
      <c r="J558" s="68">
        <f>9.7492 * CHOOSE(CONTROL!$C$22, $C$13, 100%, $E$13)</f>
        <v>9.7492000000000001</v>
      </c>
      <c r="K558" s="68">
        <f>9.7504 * CHOOSE(CONTROL!$C$22, $C$13, 100%, $E$13)</f>
        <v>9.7504000000000008</v>
      </c>
    </row>
    <row r="559" spans="1:11" ht="15">
      <c r="A559" s="13">
        <v>58135</v>
      </c>
      <c r="B559" s="67">
        <f>8.4372 * CHOOSE(CONTROL!$C$22, $C$13, 100%, $E$13)</f>
        <v>8.4372000000000007</v>
      </c>
      <c r="C559" s="67">
        <f>8.4372 * CHOOSE(CONTROL!$C$22, $C$13, 100%, $E$13)</f>
        <v>8.4372000000000007</v>
      </c>
      <c r="D559" s="67">
        <f>8.4382 * CHOOSE(CONTROL!$C$22, $C$13, 100%, $E$13)</f>
        <v>8.4382000000000001</v>
      </c>
      <c r="E559" s="68">
        <f>9.8783 * CHOOSE(CONTROL!$C$22, $C$13, 100%, $E$13)</f>
        <v>9.8782999999999994</v>
      </c>
      <c r="F559" s="68">
        <f>9.8783 * CHOOSE(CONTROL!$C$22, $C$13, 100%, $E$13)</f>
        <v>9.8782999999999994</v>
      </c>
      <c r="G559" s="68">
        <f>9.8796 * CHOOSE(CONTROL!$C$22, $C$13, 100%, $E$13)</f>
        <v>9.8795999999999999</v>
      </c>
      <c r="H559" s="68">
        <f>16.1303* CHOOSE(CONTROL!$C$22, $C$13, 100%, $E$13)</f>
        <v>16.130299999999998</v>
      </c>
      <c r="I559" s="68">
        <f>16.1316 * CHOOSE(CONTROL!$C$22, $C$13, 100%, $E$13)</f>
        <v>16.131599999999999</v>
      </c>
      <c r="J559" s="68">
        <f>9.8783 * CHOOSE(CONTROL!$C$22, $C$13, 100%, $E$13)</f>
        <v>9.8782999999999994</v>
      </c>
      <c r="K559" s="68">
        <f>9.8796 * CHOOSE(CONTROL!$C$22, $C$13, 100%, $E$13)</f>
        <v>9.8795999999999999</v>
      </c>
    </row>
    <row r="560" spans="1:11" ht="15">
      <c r="A560" s="13">
        <v>58166</v>
      </c>
      <c r="B560" s="67">
        <f>8.4386 * CHOOSE(CONTROL!$C$22, $C$13, 100%, $E$13)</f>
        <v>8.4385999999999992</v>
      </c>
      <c r="C560" s="67">
        <f>8.4386 * CHOOSE(CONTROL!$C$22, $C$13, 100%, $E$13)</f>
        <v>8.4385999999999992</v>
      </c>
      <c r="D560" s="67">
        <f>8.4396 * CHOOSE(CONTROL!$C$22, $C$13, 100%, $E$13)</f>
        <v>8.4396000000000004</v>
      </c>
      <c r="E560" s="68">
        <f>10.015 * CHOOSE(CONTROL!$C$22, $C$13, 100%, $E$13)</f>
        <v>10.015000000000001</v>
      </c>
      <c r="F560" s="68">
        <f>10.015 * CHOOSE(CONTROL!$C$22, $C$13, 100%, $E$13)</f>
        <v>10.015000000000001</v>
      </c>
      <c r="G560" s="68">
        <f>10.0163 * CHOOSE(CONTROL!$C$22, $C$13, 100%, $E$13)</f>
        <v>10.016299999999999</v>
      </c>
      <c r="H560" s="68">
        <f>16.1639* CHOOSE(CONTROL!$C$22, $C$13, 100%, $E$13)</f>
        <v>16.163900000000002</v>
      </c>
      <c r="I560" s="68">
        <f>16.1652 * CHOOSE(CONTROL!$C$22, $C$13, 100%, $E$13)</f>
        <v>16.165199999999999</v>
      </c>
      <c r="J560" s="68">
        <f>10.015 * CHOOSE(CONTROL!$C$22, $C$13, 100%, $E$13)</f>
        <v>10.015000000000001</v>
      </c>
      <c r="K560" s="68">
        <f>10.0163 * CHOOSE(CONTROL!$C$22, $C$13, 100%, $E$13)</f>
        <v>10.016299999999999</v>
      </c>
    </row>
    <row r="561" spans="1:11" ht="15">
      <c r="A561" s="13">
        <v>58196</v>
      </c>
      <c r="B561" s="67">
        <f>8.4386 * CHOOSE(CONTROL!$C$22, $C$13, 100%, $E$13)</f>
        <v>8.4385999999999992</v>
      </c>
      <c r="C561" s="67">
        <f>8.4386 * CHOOSE(CONTROL!$C$22, $C$13, 100%, $E$13)</f>
        <v>8.4385999999999992</v>
      </c>
      <c r="D561" s="67">
        <f>8.4412 * CHOOSE(CONTROL!$C$22, $C$13, 100%, $E$13)</f>
        <v>8.4412000000000003</v>
      </c>
      <c r="E561" s="68">
        <f>10.0679 * CHOOSE(CONTROL!$C$22, $C$13, 100%, $E$13)</f>
        <v>10.0679</v>
      </c>
      <c r="F561" s="68">
        <f>10.0679 * CHOOSE(CONTROL!$C$22, $C$13, 100%, $E$13)</f>
        <v>10.0679</v>
      </c>
      <c r="G561" s="68">
        <f>10.0711 * CHOOSE(CONTROL!$C$22, $C$13, 100%, $E$13)</f>
        <v>10.071099999999999</v>
      </c>
      <c r="H561" s="68">
        <f>16.1976* CHOOSE(CONTROL!$C$22, $C$13, 100%, $E$13)</f>
        <v>16.197600000000001</v>
      </c>
      <c r="I561" s="68">
        <f>16.2008 * CHOOSE(CONTROL!$C$22, $C$13, 100%, $E$13)</f>
        <v>16.200800000000001</v>
      </c>
      <c r="J561" s="68">
        <f>10.0679 * CHOOSE(CONTROL!$C$22, $C$13, 100%, $E$13)</f>
        <v>10.0679</v>
      </c>
      <c r="K561" s="68">
        <f>10.0711 * CHOOSE(CONTROL!$C$22, $C$13, 100%, $E$13)</f>
        <v>10.071099999999999</v>
      </c>
    </row>
    <row r="562" spans="1:11" ht="15">
      <c r="A562" s="13">
        <v>58227</v>
      </c>
      <c r="B562" s="67">
        <f>8.4447 * CHOOSE(CONTROL!$C$22, $C$13, 100%, $E$13)</f>
        <v>8.4446999999999992</v>
      </c>
      <c r="C562" s="67">
        <f>8.4447 * CHOOSE(CONTROL!$C$22, $C$13, 100%, $E$13)</f>
        <v>8.4446999999999992</v>
      </c>
      <c r="D562" s="67">
        <f>8.4473 * CHOOSE(CONTROL!$C$22, $C$13, 100%, $E$13)</f>
        <v>8.4473000000000003</v>
      </c>
      <c r="E562" s="68">
        <f>10.0192 * CHOOSE(CONTROL!$C$22, $C$13, 100%, $E$13)</f>
        <v>10.0192</v>
      </c>
      <c r="F562" s="68">
        <f>10.0192 * CHOOSE(CONTROL!$C$22, $C$13, 100%, $E$13)</f>
        <v>10.0192</v>
      </c>
      <c r="G562" s="68">
        <f>10.0225 * CHOOSE(CONTROL!$C$22, $C$13, 100%, $E$13)</f>
        <v>10.022500000000001</v>
      </c>
      <c r="H562" s="68">
        <f>16.2313* CHOOSE(CONTROL!$C$22, $C$13, 100%, $E$13)</f>
        <v>16.231300000000001</v>
      </c>
      <c r="I562" s="68">
        <f>16.2346 * CHOOSE(CONTROL!$C$22, $C$13, 100%, $E$13)</f>
        <v>16.2346</v>
      </c>
      <c r="J562" s="68">
        <f>10.0192 * CHOOSE(CONTROL!$C$22, $C$13, 100%, $E$13)</f>
        <v>10.0192</v>
      </c>
      <c r="K562" s="68">
        <f>10.0225 * CHOOSE(CONTROL!$C$22, $C$13, 100%, $E$13)</f>
        <v>10.022500000000001</v>
      </c>
    </row>
    <row r="563" spans="1:11" ht="15">
      <c r="A563" s="13">
        <v>58257</v>
      </c>
      <c r="B563" s="67">
        <f>8.5766 * CHOOSE(CONTROL!$C$22, $C$13, 100%, $E$13)</f>
        <v>8.5765999999999991</v>
      </c>
      <c r="C563" s="67">
        <f>8.5766 * CHOOSE(CONTROL!$C$22, $C$13, 100%, $E$13)</f>
        <v>8.5765999999999991</v>
      </c>
      <c r="D563" s="67">
        <f>8.5793 * CHOOSE(CONTROL!$C$22, $C$13, 100%, $E$13)</f>
        <v>8.5792999999999999</v>
      </c>
      <c r="E563" s="68">
        <f>10.183 * CHOOSE(CONTROL!$C$22, $C$13, 100%, $E$13)</f>
        <v>10.183</v>
      </c>
      <c r="F563" s="68">
        <f>10.183 * CHOOSE(CONTROL!$C$22, $C$13, 100%, $E$13)</f>
        <v>10.183</v>
      </c>
      <c r="G563" s="68">
        <f>10.1863 * CHOOSE(CONTROL!$C$22, $C$13, 100%, $E$13)</f>
        <v>10.186299999999999</v>
      </c>
      <c r="H563" s="68">
        <f>16.2651* CHOOSE(CONTROL!$C$22, $C$13, 100%, $E$13)</f>
        <v>16.2651</v>
      </c>
      <c r="I563" s="68">
        <f>16.2684 * CHOOSE(CONTROL!$C$22, $C$13, 100%, $E$13)</f>
        <v>16.2684</v>
      </c>
      <c r="J563" s="68">
        <f>10.183 * CHOOSE(CONTROL!$C$22, $C$13, 100%, $E$13)</f>
        <v>10.183</v>
      </c>
      <c r="K563" s="68">
        <f>10.1863 * CHOOSE(CONTROL!$C$22, $C$13, 100%, $E$13)</f>
        <v>10.186299999999999</v>
      </c>
    </row>
    <row r="564" spans="1:11" ht="15">
      <c r="A564" s="13">
        <v>58288</v>
      </c>
      <c r="B564" s="67">
        <f>8.5833 * CHOOSE(CONTROL!$C$22, $C$13, 100%, $E$13)</f>
        <v>8.5832999999999995</v>
      </c>
      <c r="C564" s="67">
        <f>8.5833 * CHOOSE(CONTROL!$C$22, $C$13, 100%, $E$13)</f>
        <v>8.5832999999999995</v>
      </c>
      <c r="D564" s="67">
        <f>8.5859 * CHOOSE(CONTROL!$C$22, $C$13, 100%, $E$13)</f>
        <v>8.5859000000000005</v>
      </c>
      <c r="E564" s="68">
        <f>10.0291 * CHOOSE(CONTROL!$C$22, $C$13, 100%, $E$13)</f>
        <v>10.0291</v>
      </c>
      <c r="F564" s="68">
        <f>10.0291 * CHOOSE(CONTROL!$C$22, $C$13, 100%, $E$13)</f>
        <v>10.0291</v>
      </c>
      <c r="G564" s="68">
        <f>10.0324 * CHOOSE(CONTROL!$C$22, $C$13, 100%, $E$13)</f>
        <v>10.032400000000001</v>
      </c>
      <c r="H564" s="68">
        <f>16.299* CHOOSE(CONTROL!$C$22, $C$13, 100%, $E$13)</f>
        <v>16.298999999999999</v>
      </c>
      <c r="I564" s="68">
        <f>16.3023 * CHOOSE(CONTROL!$C$22, $C$13, 100%, $E$13)</f>
        <v>16.302299999999999</v>
      </c>
      <c r="J564" s="68">
        <f>10.0291 * CHOOSE(CONTROL!$C$22, $C$13, 100%, $E$13)</f>
        <v>10.0291</v>
      </c>
      <c r="K564" s="68">
        <f>10.0324 * CHOOSE(CONTROL!$C$22, $C$13, 100%, $E$13)</f>
        <v>10.032400000000001</v>
      </c>
    </row>
    <row r="565" spans="1:11" ht="15">
      <c r="A565" s="13">
        <v>58319</v>
      </c>
      <c r="B565" s="67">
        <f>8.5803 * CHOOSE(CONTROL!$C$22, $C$13, 100%, $E$13)</f>
        <v>8.5802999999999994</v>
      </c>
      <c r="C565" s="67">
        <f>8.5803 * CHOOSE(CONTROL!$C$22, $C$13, 100%, $E$13)</f>
        <v>8.5802999999999994</v>
      </c>
      <c r="D565" s="67">
        <f>8.5829 * CHOOSE(CONTROL!$C$22, $C$13, 100%, $E$13)</f>
        <v>8.5829000000000004</v>
      </c>
      <c r="E565" s="68">
        <f>10.0094 * CHOOSE(CONTROL!$C$22, $C$13, 100%, $E$13)</f>
        <v>10.009399999999999</v>
      </c>
      <c r="F565" s="68">
        <f>10.0094 * CHOOSE(CONTROL!$C$22, $C$13, 100%, $E$13)</f>
        <v>10.009399999999999</v>
      </c>
      <c r="G565" s="68">
        <f>10.0127 * CHOOSE(CONTROL!$C$22, $C$13, 100%, $E$13)</f>
        <v>10.012700000000001</v>
      </c>
      <c r="H565" s="68">
        <f>16.333* CHOOSE(CONTROL!$C$22, $C$13, 100%, $E$13)</f>
        <v>16.332999999999998</v>
      </c>
      <c r="I565" s="68">
        <f>16.3362 * CHOOSE(CONTROL!$C$22, $C$13, 100%, $E$13)</f>
        <v>16.336200000000002</v>
      </c>
      <c r="J565" s="68">
        <f>10.0094 * CHOOSE(CONTROL!$C$22, $C$13, 100%, $E$13)</f>
        <v>10.009399999999999</v>
      </c>
      <c r="K565" s="68">
        <f>10.0127 * CHOOSE(CONTROL!$C$22, $C$13, 100%, $E$13)</f>
        <v>10.012700000000001</v>
      </c>
    </row>
    <row r="566" spans="1:11" ht="15">
      <c r="A566" s="13">
        <v>58349</v>
      </c>
      <c r="B566" s="67">
        <f>8.5903 * CHOOSE(CONTROL!$C$22, $C$13, 100%, $E$13)</f>
        <v>8.5902999999999992</v>
      </c>
      <c r="C566" s="67">
        <f>8.5903 * CHOOSE(CONTROL!$C$22, $C$13, 100%, $E$13)</f>
        <v>8.5902999999999992</v>
      </c>
      <c r="D566" s="67">
        <f>8.5913 * CHOOSE(CONTROL!$C$22, $C$13, 100%, $E$13)</f>
        <v>8.5913000000000004</v>
      </c>
      <c r="E566" s="68">
        <f>10.0665 * CHOOSE(CONTROL!$C$22, $C$13, 100%, $E$13)</f>
        <v>10.0665</v>
      </c>
      <c r="F566" s="68">
        <f>10.0665 * CHOOSE(CONTROL!$C$22, $C$13, 100%, $E$13)</f>
        <v>10.0665</v>
      </c>
      <c r="G566" s="68">
        <f>10.0677 * CHOOSE(CONTROL!$C$22, $C$13, 100%, $E$13)</f>
        <v>10.0677</v>
      </c>
      <c r="H566" s="68">
        <f>16.367* CHOOSE(CONTROL!$C$22, $C$13, 100%, $E$13)</f>
        <v>16.367000000000001</v>
      </c>
      <c r="I566" s="68">
        <f>16.3683 * CHOOSE(CONTROL!$C$22, $C$13, 100%, $E$13)</f>
        <v>16.368300000000001</v>
      </c>
      <c r="J566" s="68">
        <f>10.0665 * CHOOSE(CONTROL!$C$22, $C$13, 100%, $E$13)</f>
        <v>10.0665</v>
      </c>
      <c r="K566" s="68">
        <f>10.0677 * CHOOSE(CONTROL!$C$22, $C$13, 100%, $E$13)</f>
        <v>10.0677</v>
      </c>
    </row>
    <row r="567" spans="1:11" ht="15">
      <c r="A567" s="13">
        <v>58380</v>
      </c>
      <c r="B567" s="67">
        <f>8.5934 * CHOOSE(CONTROL!$C$22, $C$13, 100%, $E$13)</f>
        <v>8.5934000000000008</v>
      </c>
      <c r="C567" s="67">
        <f>8.5934 * CHOOSE(CONTROL!$C$22, $C$13, 100%, $E$13)</f>
        <v>8.5934000000000008</v>
      </c>
      <c r="D567" s="67">
        <f>8.5943 * CHOOSE(CONTROL!$C$22, $C$13, 100%, $E$13)</f>
        <v>8.5943000000000005</v>
      </c>
      <c r="E567" s="68">
        <f>10.1038 * CHOOSE(CONTROL!$C$22, $C$13, 100%, $E$13)</f>
        <v>10.1038</v>
      </c>
      <c r="F567" s="68">
        <f>10.1038 * CHOOSE(CONTROL!$C$22, $C$13, 100%, $E$13)</f>
        <v>10.1038</v>
      </c>
      <c r="G567" s="68">
        <f>10.1051 * CHOOSE(CONTROL!$C$22, $C$13, 100%, $E$13)</f>
        <v>10.1051</v>
      </c>
      <c r="H567" s="68">
        <f>16.4011* CHOOSE(CONTROL!$C$22, $C$13, 100%, $E$13)</f>
        <v>16.4011</v>
      </c>
      <c r="I567" s="68">
        <f>16.4024 * CHOOSE(CONTROL!$C$22, $C$13, 100%, $E$13)</f>
        <v>16.4024</v>
      </c>
      <c r="J567" s="68">
        <f>10.1038 * CHOOSE(CONTROL!$C$22, $C$13, 100%, $E$13)</f>
        <v>10.1038</v>
      </c>
      <c r="K567" s="68">
        <f>10.1051 * CHOOSE(CONTROL!$C$22, $C$13, 100%, $E$13)</f>
        <v>10.1051</v>
      </c>
    </row>
    <row r="568" spans="1:11" ht="15">
      <c r="A568" s="13">
        <v>58410</v>
      </c>
      <c r="B568" s="67">
        <f>8.5934 * CHOOSE(CONTROL!$C$22, $C$13, 100%, $E$13)</f>
        <v>8.5934000000000008</v>
      </c>
      <c r="C568" s="67">
        <f>8.5934 * CHOOSE(CONTROL!$C$22, $C$13, 100%, $E$13)</f>
        <v>8.5934000000000008</v>
      </c>
      <c r="D568" s="67">
        <f>8.5943 * CHOOSE(CONTROL!$C$22, $C$13, 100%, $E$13)</f>
        <v>8.5943000000000005</v>
      </c>
      <c r="E568" s="68">
        <f>10.0157 * CHOOSE(CONTROL!$C$22, $C$13, 100%, $E$13)</f>
        <v>10.015700000000001</v>
      </c>
      <c r="F568" s="68">
        <f>10.0157 * CHOOSE(CONTROL!$C$22, $C$13, 100%, $E$13)</f>
        <v>10.015700000000001</v>
      </c>
      <c r="G568" s="68">
        <f>10.017 * CHOOSE(CONTROL!$C$22, $C$13, 100%, $E$13)</f>
        <v>10.016999999999999</v>
      </c>
      <c r="H568" s="68">
        <f>16.4353* CHOOSE(CONTROL!$C$22, $C$13, 100%, $E$13)</f>
        <v>16.435300000000002</v>
      </c>
      <c r="I568" s="68">
        <f>16.4366 * CHOOSE(CONTROL!$C$22, $C$13, 100%, $E$13)</f>
        <v>16.436599999999999</v>
      </c>
      <c r="J568" s="68">
        <f>10.0157 * CHOOSE(CONTROL!$C$22, $C$13, 100%, $E$13)</f>
        <v>10.015700000000001</v>
      </c>
      <c r="K568" s="68">
        <f>10.017 * CHOOSE(CONTROL!$C$22, $C$13, 100%, $E$13)</f>
        <v>10.016999999999999</v>
      </c>
    </row>
    <row r="569" spans="1:11" ht="15">
      <c r="A569" s="13">
        <v>58441</v>
      </c>
      <c r="B569" s="67">
        <f>8.6667 * CHOOSE(CONTROL!$C$22, $C$13, 100%, $E$13)</f>
        <v>8.6667000000000005</v>
      </c>
      <c r="C569" s="67">
        <f>8.6667 * CHOOSE(CONTROL!$C$22, $C$13, 100%, $E$13)</f>
        <v>8.6667000000000005</v>
      </c>
      <c r="D569" s="67">
        <f>8.6677 * CHOOSE(CONTROL!$C$22, $C$13, 100%, $E$13)</f>
        <v>8.6677</v>
      </c>
      <c r="E569" s="68">
        <f>10.1604 * CHOOSE(CONTROL!$C$22, $C$13, 100%, $E$13)</f>
        <v>10.160399999999999</v>
      </c>
      <c r="F569" s="68">
        <f>10.1604 * CHOOSE(CONTROL!$C$22, $C$13, 100%, $E$13)</f>
        <v>10.160399999999999</v>
      </c>
      <c r="G569" s="68">
        <f>10.1617 * CHOOSE(CONTROL!$C$22, $C$13, 100%, $E$13)</f>
        <v>10.1617</v>
      </c>
      <c r="H569" s="68">
        <f>16.4695* CHOOSE(CONTROL!$C$22, $C$13, 100%, $E$13)</f>
        <v>16.4695</v>
      </c>
      <c r="I569" s="68">
        <f>16.4708 * CHOOSE(CONTROL!$C$22, $C$13, 100%, $E$13)</f>
        <v>16.470800000000001</v>
      </c>
      <c r="J569" s="68">
        <f>10.1604 * CHOOSE(CONTROL!$C$22, $C$13, 100%, $E$13)</f>
        <v>10.160399999999999</v>
      </c>
      <c r="K569" s="68">
        <f>10.1617 * CHOOSE(CONTROL!$C$22, $C$13, 100%, $E$13)</f>
        <v>10.1617</v>
      </c>
    </row>
    <row r="570" spans="1:11" ht="15">
      <c r="A570" s="13">
        <v>58472</v>
      </c>
      <c r="B570" s="67">
        <f>8.6637 * CHOOSE(CONTROL!$C$22, $C$13, 100%, $E$13)</f>
        <v>8.6637000000000004</v>
      </c>
      <c r="C570" s="67">
        <f>8.6637 * CHOOSE(CONTROL!$C$22, $C$13, 100%, $E$13)</f>
        <v>8.6637000000000004</v>
      </c>
      <c r="D570" s="67">
        <f>8.6647 * CHOOSE(CONTROL!$C$22, $C$13, 100%, $E$13)</f>
        <v>8.6646999999999998</v>
      </c>
      <c r="E570" s="68">
        <f>9.9871 * CHOOSE(CONTROL!$C$22, $C$13, 100%, $E$13)</f>
        <v>9.9870999999999999</v>
      </c>
      <c r="F570" s="68">
        <f>9.9871 * CHOOSE(CONTROL!$C$22, $C$13, 100%, $E$13)</f>
        <v>9.9870999999999999</v>
      </c>
      <c r="G570" s="68">
        <f>9.9884 * CHOOSE(CONTROL!$C$22, $C$13, 100%, $E$13)</f>
        <v>9.9884000000000004</v>
      </c>
      <c r="H570" s="68">
        <f>16.5038* CHOOSE(CONTROL!$C$22, $C$13, 100%, $E$13)</f>
        <v>16.503799999999998</v>
      </c>
      <c r="I570" s="68">
        <f>16.5051 * CHOOSE(CONTROL!$C$22, $C$13, 100%, $E$13)</f>
        <v>16.505099999999999</v>
      </c>
      <c r="J570" s="68">
        <f>9.9871 * CHOOSE(CONTROL!$C$22, $C$13, 100%, $E$13)</f>
        <v>9.9870999999999999</v>
      </c>
      <c r="K570" s="68">
        <f>9.9884 * CHOOSE(CONTROL!$C$22, $C$13, 100%, $E$13)</f>
        <v>9.9884000000000004</v>
      </c>
    </row>
    <row r="571" spans="1:11" ht="15">
      <c r="A571" s="13">
        <v>58501</v>
      </c>
      <c r="B571" s="67">
        <f>8.6607 * CHOOSE(CONTROL!$C$22, $C$13, 100%, $E$13)</f>
        <v>8.6607000000000003</v>
      </c>
      <c r="C571" s="67">
        <f>8.6607 * CHOOSE(CONTROL!$C$22, $C$13, 100%, $E$13)</f>
        <v>8.6607000000000003</v>
      </c>
      <c r="D571" s="67">
        <f>8.6616 * CHOOSE(CONTROL!$C$22, $C$13, 100%, $E$13)</f>
        <v>8.6616</v>
      </c>
      <c r="E571" s="68">
        <f>10.1199 * CHOOSE(CONTROL!$C$22, $C$13, 100%, $E$13)</f>
        <v>10.119899999999999</v>
      </c>
      <c r="F571" s="68">
        <f>10.1199 * CHOOSE(CONTROL!$C$22, $C$13, 100%, $E$13)</f>
        <v>10.119899999999999</v>
      </c>
      <c r="G571" s="68">
        <f>10.1212 * CHOOSE(CONTROL!$C$22, $C$13, 100%, $E$13)</f>
        <v>10.1212</v>
      </c>
      <c r="H571" s="68">
        <f>16.5382* CHOOSE(CONTROL!$C$22, $C$13, 100%, $E$13)</f>
        <v>16.5382</v>
      </c>
      <c r="I571" s="68">
        <f>16.5395 * CHOOSE(CONTROL!$C$22, $C$13, 100%, $E$13)</f>
        <v>16.5395</v>
      </c>
      <c r="J571" s="68">
        <f>10.1199 * CHOOSE(CONTROL!$C$22, $C$13, 100%, $E$13)</f>
        <v>10.119899999999999</v>
      </c>
      <c r="K571" s="68">
        <f>10.1212 * CHOOSE(CONTROL!$C$22, $C$13, 100%, $E$13)</f>
        <v>10.1212</v>
      </c>
    </row>
    <row r="572" spans="1:11" ht="15">
      <c r="A572" s="13">
        <v>58532</v>
      </c>
      <c r="B572" s="67">
        <f>8.6623 * CHOOSE(CONTROL!$C$22, $C$13, 100%, $E$13)</f>
        <v>8.6623000000000001</v>
      </c>
      <c r="C572" s="67">
        <f>8.6623 * CHOOSE(CONTROL!$C$22, $C$13, 100%, $E$13)</f>
        <v>8.6623000000000001</v>
      </c>
      <c r="D572" s="67">
        <f>8.6633 * CHOOSE(CONTROL!$C$22, $C$13, 100%, $E$13)</f>
        <v>8.6632999999999996</v>
      </c>
      <c r="E572" s="68">
        <f>10.2606 * CHOOSE(CONTROL!$C$22, $C$13, 100%, $E$13)</f>
        <v>10.2606</v>
      </c>
      <c r="F572" s="68">
        <f>10.2606 * CHOOSE(CONTROL!$C$22, $C$13, 100%, $E$13)</f>
        <v>10.2606</v>
      </c>
      <c r="G572" s="68">
        <f>10.2619 * CHOOSE(CONTROL!$C$22, $C$13, 100%, $E$13)</f>
        <v>10.261900000000001</v>
      </c>
      <c r="H572" s="68">
        <f>16.5727* CHOOSE(CONTROL!$C$22, $C$13, 100%, $E$13)</f>
        <v>16.572700000000001</v>
      </c>
      <c r="I572" s="68">
        <f>16.5739 * CHOOSE(CONTROL!$C$22, $C$13, 100%, $E$13)</f>
        <v>16.573899999999998</v>
      </c>
      <c r="J572" s="68">
        <f>10.2606 * CHOOSE(CONTROL!$C$22, $C$13, 100%, $E$13)</f>
        <v>10.2606</v>
      </c>
      <c r="K572" s="68">
        <f>10.2619 * CHOOSE(CONTROL!$C$22, $C$13, 100%, $E$13)</f>
        <v>10.261900000000001</v>
      </c>
    </row>
    <row r="573" spans="1:11" ht="15">
      <c r="A573" s="13">
        <v>58562</v>
      </c>
      <c r="B573" s="67">
        <f>8.6623 * CHOOSE(CONTROL!$C$22, $C$13, 100%, $E$13)</f>
        <v>8.6623000000000001</v>
      </c>
      <c r="C573" s="67">
        <f>8.6623 * CHOOSE(CONTROL!$C$22, $C$13, 100%, $E$13)</f>
        <v>8.6623000000000001</v>
      </c>
      <c r="D573" s="67">
        <f>8.6649 * CHOOSE(CONTROL!$C$22, $C$13, 100%, $E$13)</f>
        <v>8.6648999999999994</v>
      </c>
      <c r="E573" s="68">
        <f>10.315 * CHOOSE(CONTROL!$C$22, $C$13, 100%, $E$13)</f>
        <v>10.315</v>
      </c>
      <c r="F573" s="68">
        <f>10.315 * CHOOSE(CONTROL!$C$22, $C$13, 100%, $E$13)</f>
        <v>10.315</v>
      </c>
      <c r="G573" s="68">
        <f>10.3182 * CHOOSE(CONTROL!$C$22, $C$13, 100%, $E$13)</f>
        <v>10.318199999999999</v>
      </c>
      <c r="H573" s="68">
        <f>16.6072* CHOOSE(CONTROL!$C$22, $C$13, 100%, $E$13)</f>
        <v>16.607199999999999</v>
      </c>
      <c r="I573" s="68">
        <f>16.6104 * CHOOSE(CONTROL!$C$22, $C$13, 100%, $E$13)</f>
        <v>16.610399999999998</v>
      </c>
      <c r="J573" s="68">
        <f>10.315 * CHOOSE(CONTROL!$C$22, $C$13, 100%, $E$13)</f>
        <v>10.315</v>
      </c>
      <c r="K573" s="68">
        <f>10.3182 * CHOOSE(CONTROL!$C$22, $C$13, 100%, $E$13)</f>
        <v>10.318199999999999</v>
      </c>
    </row>
    <row r="574" spans="1:11" ht="15">
      <c r="A574" s="13">
        <v>58593</v>
      </c>
      <c r="B574" s="67">
        <f>8.6684 * CHOOSE(CONTROL!$C$22, $C$13, 100%, $E$13)</f>
        <v>8.6684000000000001</v>
      </c>
      <c r="C574" s="67">
        <f>8.6684 * CHOOSE(CONTROL!$C$22, $C$13, 100%, $E$13)</f>
        <v>8.6684000000000001</v>
      </c>
      <c r="D574" s="67">
        <f>8.671 * CHOOSE(CONTROL!$C$22, $C$13, 100%, $E$13)</f>
        <v>8.6709999999999994</v>
      </c>
      <c r="E574" s="68">
        <f>10.2649 * CHOOSE(CONTROL!$C$22, $C$13, 100%, $E$13)</f>
        <v>10.264900000000001</v>
      </c>
      <c r="F574" s="68">
        <f>10.2649 * CHOOSE(CONTROL!$C$22, $C$13, 100%, $E$13)</f>
        <v>10.264900000000001</v>
      </c>
      <c r="G574" s="68">
        <f>10.2681 * CHOOSE(CONTROL!$C$22, $C$13, 100%, $E$13)</f>
        <v>10.2681</v>
      </c>
      <c r="H574" s="68">
        <f>16.6418* CHOOSE(CONTROL!$C$22, $C$13, 100%, $E$13)</f>
        <v>16.6418</v>
      </c>
      <c r="I574" s="68">
        <f>16.645 * CHOOSE(CONTROL!$C$22, $C$13, 100%, $E$13)</f>
        <v>16.645</v>
      </c>
      <c r="J574" s="68">
        <f>10.2649 * CHOOSE(CONTROL!$C$22, $C$13, 100%, $E$13)</f>
        <v>10.264900000000001</v>
      </c>
      <c r="K574" s="68">
        <f>10.2681 * CHOOSE(CONTROL!$C$22, $C$13, 100%, $E$13)</f>
        <v>10.2681</v>
      </c>
    </row>
    <row r="575" spans="1:11" ht="15">
      <c r="A575" s="13">
        <v>58623</v>
      </c>
      <c r="B575" s="67">
        <f>8.8035 * CHOOSE(CONTROL!$C$22, $C$13, 100%, $E$13)</f>
        <v>8.8034999999999997</v>
      </c>
      <c r="C575" s="67">
        <f>8.8035 * CHOOSE(CONTROL!$C$22, $C$13, 100%, $E$13)</f>
        <v>8.8034999999999997</v>
      </c>
      <c r="D575" s="67">
        <f>8.8061 * CHOOSE(CONTROL!$C$22, $C$13, 100%, $E$13)</f>
        <v>8.8061000000000007</v>
      </c>
      <c r="E575" s="68">
        <f>10.4324 * CHOOSE(CONTROL!$C$22, $C$13, 100%, $E$13)</f>
        <v>10.432399999999999</v>
      </c>
      <c r="F575" s="68">
        <f>10.4324 * CHOOSE(CONTROL!$C$22, $C$13, 100%, $E$13)</f>
        <v>10.432399999999999</v>
      </c>
      <c r="G575" s="68">
        <f>10.4356 * CHOOSE(CONTROL!$C$22, $C$13, 100%, $E$13)</f>
        <v>10.435600000000001</v>
      </c>
      <c r="H575" s="68">
        <f>16.6765* CHOOSE(CONTROL!$C$22, $C$13, 100%, $E$13)</f>
        <v>16.676500000000001</v>
      </c>
      <c r="I575" s="68">
        <f>16.6797 * CHOOSE(CONTROL!$C$22, $C$13, 100%, $E$13)</f>
        <v>16.6797</v>
      </c>
      <c r="J575" s="68">
        <f>10.4324 * CHOOSE(CONTROL!$C$22, $C$13, 100%, $E$13)</f>
        <v>10.432399999999999</v>
      </c>
      <c r="K575" s="68">
        <f>10.4356 * CHOOSE(CONTROL!$C$22, $C$13, 100%, $E$13)</f>
        <v>10.435600000000001</v>
      </c>
    </row>
    <row r="576" spans="1:11" ht="15">
      <c r="A576" s="13">
        <v>58654</v>
      </c>
      <c r="B576" s="67">
        <f>8.8102 * CHOOSE(CONTROL!$C$22, $C$13, 100%, $E$13)</f>
        <v>8.8102</v>
      </c>
      <c r="C576" s="67">
        <f>8.8102 * CHOOSE(CONTROL!$C$22, $C$13, 100%, $E$13)</f>
        <v>8.8102</v>
      </c>
      <c r="D576" s="67">
        <f>8.8128 * CHOOSE(CONTROL!$C$22, $C$13, 100%, $E$13)</f>
        <v>8.8127999999999993</v>
      </c>
      <c r="E576" s="68">
        <f>10.274 * CHOOSE(CONTROL!$C$22, $C$13, 100%, $E$13)</f>
        <v>10.273999999999999</v>
      </c>
      <c r="F576" s="68">
        <f>10.274 * CHOOSE(CONTROL!$C$22, $C$13, 100%, $E$13)</f>
        <v>10.273999999999999</v>
      </c>
      <c r="G576" s="68">
        <f>10.2773 * CHOOSE(CONTROL!$C$22, $C$13, 100%, $E$13)</f>
        <v>10.2773</v>
      </c>
      <c r="H576" s="68">
        <f>16.7112* CHOOSE(CONTROL!$C$22, $C$13, 100%, $E$13)</f>
        <v>16.711200000000002</v>
      </c>
      <c r="I576" s="68">
        <f>16.7145 * CHOOSE(CONTROL!$C$22, $C$13, 100%, $E$13)</f>
        <v>16.714500000000001</v>
      </c>
      <c r="J576" s="68">
        <f>10.274 * CHOOSE(CONTROL!$C$22, $C$13, 100%, $E$13)</f>
        <v>10.273999999999999</v>
      </c>
      <c r="K576" s="68">
        <f>10.2773 * CHOOSE(CONTROL!$C$22, $C$13, 100%, $E$13)</f>
        <v>10.2773</v>
      </c>
    </row>
    <row r="577" spans="1:11" ht="15">
      <c r="A577" s="13">
        <v>58685</v>
      </c>
      <c r="B577" s="67">
        <f>8.8072 * CHOOSE(CONTROL!$C$22, $C$13, 100%, $E$13)</f>
        <v>8.8071999999999999</v>
      </c>
      <c r="C577" s="67">
        <f>8.8072 * CHOOSE(CONTROL!$C$22, $C$13, 100%, $E$13)</f>
        <v>8.8071999999999999</v>
      </c>
      <c r="D577" s="67">
        <f>8.8098 * CHOOSE(CONTROL!$C$22, $C$13, 100%, $E$13)</f>
        <v>8.8097999999999992</v>
      </c>
      <c r="E577" s="68">
        <f>10.2538 * CHOOSE(CONTROL!$C$22, $C$13, 100%, $E$13)</f>
        <v>10.2538</v>
      </c>
      <c r="F577" s="68">
        <f>10.2538 * CHOOSE(CONTROL!$C$22, $C$13, 100%, $E$13)</f>
        <v>10.2538</v>
      </c>
      <c r="G577" s="68">
        <f>10.2571 * CHOOSE(CONTROL!$C$22, $C$13, 100%, $E$13)</f>
        <v>10.257099999999999</v>
      </c>
      <c r="H577" s="68">
        <f>16.746* CHOOSE(CONTROL!$C$22, $C$13, 100%, $E$13)</f>
        <v>16.745999999999999</v>
      </c>
      <c r="I577" s="68">
        <f>16.7493 * CHOOSE(CONTROL!$C$22, $C$13, 100%, $E$13)</f>
        <v>16.749300000000002</v>
      </c>
      <c r="J577" s="68">
        <f>10.2538 * CHOOSE(CONTROL!$C$22, $C$13, 100%, $E$13)</f>
        <v>10.2538</v>
      </c>
      <c r="K577" s="68">
        <f>10.2571 * CHOOSE(CONTROL!$C$22, $C$13, 100%, $E$13)</f>
        <v>10.257099999999999</v>
      </c>
    </row>
    <row r="578" spans="1:11" ht="15">
      <c r="A578" s="13">
        <v>58715</v>
      </c>
      <c r="B578" s="67">
        <f>8.8179 * CHOOSE(CONTROL!$C$22, $C$13, 100%, $E$13)</f>
        <v>8.8178999999999998</v>
      </c>
      <c r="C578" s="67">
        <f>8.8179 * CHOOSE(CONTROL!$C$22, $C$13, 100%, $E$13)</f>
        <v>8.8178999999999998</v>
      </c>
      <c r="D578" s="67">
        <f>8.8189 * CHOOSE(CONTROL!$C$22, $C$13, 100%, $E$13)</f>
        <v>8.8188999999999993</v>
      </c>
      <c r="E578" s="68">
        <f>10.3128 * CHOOSE(CONTROL!$C$22, $C$13, 100%, $E$13)</f>
        <v>10.312799999999999</v>
      </c>
      <c r="F578" s="68">
        <f>10.3128 * CHOOSE(CONTROL!$C$22, $C$13, 100%, $E$13)</f>
        <v>10.312799999999999</v>
      </c>
      <c r="G578" s="68">
        <f>10.3141 * CHOOSE(CONTROL!$C$22, $C$13, 100%, $E$13)</f>
        <v>10.3141</v>
      </c>
      <c r="H578" s="68">
        <f>16.7809* CHOOSE(CONTROL!$C$22, $C$13, 100%, $E$13)</f>
        <v>16.780899999999999</v>
      </c>
      <c r="I578" s="68">
        <f>16.7822 * CHOOSE(CONTROL!$C$22, $C$13, 100%, $E$13)</f>
        <v>16.7822</v>
      </c>
      <c r="J578" s="68">
        <f>10.3128 * CHOOSE(CONTROL!$C$22, $C$13, 100%, $E$13)</f>
        <v>10.312799999999999</v>
      </c>
      <c r="K578" s="68">
        <f>10.3141 * CHOOSE(CONTROL!$C$22, $C$13, 100%, $E$13)</f>
        <v>10.3141</v>
      </c>
    </row>
    <row r="579" spans="1:11" ht="15">
      <c r="A579" s="13">
        <v>58746</v>
      </c>
      <c r="B579" s="67">
        <f>8.821 * CHOOSE(CONTROL!$C$22, $C$13, 100%, $E$13)</f>
        <v>8.8209999999999997</v>
      </c>
      <c r="C579" s="67">
        <f>8.821 * CHOOSE(CONTROL!$C$22, $C$13, 100%, $E$13)</f>
        <v>8.8209999999999997</v>
      </c>
      <c r="D579" s="67">
        <f>8.822 * CHOOSE(CONTROL!$C$22, $C$13, 100%, $E$13)</f>
        <v>8.8219999999999992</v>
      </c>
      <c r="E579" s="68">
        <f>10.3512 * CHOOSE(CONTROL!$C$22, $C$13, 100%, $E$13)</f>
        <v>10.3512</v>
      </c>
      <c r="F579" s="68">
        <f>10.3512 * CHOOSE(CONTROL!$C$22, $C$13, 100%, $E$13)</f>
        <v>10.3512</v>
      </c>
      <c r="G579" s="68">
        <f>10.3525 * CHOOSE(CONTROL!$C$22, $C$13, 100%, $E$13)</f>
        <v>10.352499999999999</v>
      </c>
      <c r="H579" s="68">
        <f>16.8159* CHOOSE(CONTROL!$C$22, $C$13, 100%, $E$13)</f>
        <v>16.815899999999999</v>
      </c>
      <c r="I579" s="68">
        <f>16.8171 * CHOOSE(CONTROL!$C$22, $C$13, 100%, $E$13)</f>
        <v>16.8171</v>
      </c>
      <c r="J579" s="68">
        <f>10.3512 * CHOOSE(CONTROL!$C$22, $C$13, 100%, $E$13)</f>
        <v>10.3512</v>
      </c>
      <c r="K579" s="68">
        <f>10.3525 * CHOOSE(CONTROL!$C$22, $C$13, 100%, $E$13)</f>
        <v>10.352499999999999</v>
      </c>
    </row>
    <row r="580" spans="1:11" ht="15">
      <c r="A580" s="13">
        <v>58776</v>
      </c>
      <c r="B580" s="67">
        <f>8.821 * CHOOSE(CONTROL!$C$22, $C$13, 100%, $E$13)</f>
        <v>8.8209999999999997</v>
      </c>
      <c r="C580" s="67">
        <f>8.821 * CHOOSE(CONTROL!$C$22, $C$13, 100%, $E$13)</f>
        <v>8.8209999999999997</v>
      </c>
      <c r="D580" s="67">
        <f>8.822 * CHOOSE(CONTROL!$C$22, $C$13, 100%, $E$13)</f>
        <v>8.8219999999999992</v>
      </c>
      <c r="E580" s="68">
        <f>10.2606 * CHOOSE(CONTROL!$C$22, $C$13, 100%, $E$13)</f>
        <v>10.2606</v>
      </c>
      <c r="F580" s="68">
        <f>10.2606 * CHOOSE(CONTROL!$C$22, $C$13, 100%, $E$13)</f>
        <v>10.2606</v>
      </c>
      <c r="G580" s="68">
        <f>10.2619 * CHOOSE(CONTROL!$C$22, $C$13, 100%, $E$13)</f>
        <v>10.261900000000001</v>
      </c>
      <c r="H580" s="68">
        <f>16.8509* CHOOSE(CONTROL!$C$22, $C$13, 100%, $E$13)</f>
        <v>16.850899999999999</v>
      </c>
      <c r="I580" s="68">
        <f>16.8522 * CHOOSE(CONTROL!$C$22, $C$13, 100%, $E$13)</f>
        <v>16.8522</v>
      </c>
      <c r="J580" s="68">
        <f>10.2606 * CHOOSE(CONTROL!$C$22, $C$13, 100%, $E$13)</f>
        <v>10.2606</v>
      </c>
      <c r="K580" s="68">
        <f>10.2619 * CHOOSE(CONTROL!$C$22, $C$13, 100%, $E$13)</f>
        <v>10.261900000000001</v>
      </c>
    </row>
    <row r="581" spans="1:11" ht="15">
      <c r="A581" s="13">
        <v>58807</v>
      </c>
      <c r="B581" s="67">
        <f>8.8962 * CHOOSE(CONTROL!$C$22, $C$13, 100%, $E$13)</f>
        <v>8.8962000000000003</v>
      </c>
      <c r="C581" s="67">
        <f>8.8962 * CHOOSE(CONTROL!$C$22, $C$13, 100%, $E$13)</f>
        <v>8.8962000000000003</v>
      </c>
      <c r="D581" s="67">
        <f>8.8972 * CHOOSE(CONTROL!$C$22, $C$13, 100%, $E$13)</f>
        <v>8.8971999999999998</v>
      </c>
      <c r="E581" s="68">
        <f>10.409 * CHOOSE(CONTROL!$C$22, $C$13, 100%, $E$13)</f>
        <v>10.409000000000001</v>
      </c>
      <c r="F581" s="68">
        <f>10.409 * CHOOSE(CONTROL!$C$22, $C$13, 100%, $E$13)</f>
        <v>10.409000000000001</v>
      </c>
      <c r="G581" s="68">
        <f>10.4103 * CHOOSE(CONTROL!$C$22, $C$13, 100%, $E$13)</f>
        <v>10.410299999999999</v>
      </c>
      <c r="H581" s="68">
        <f>16.886* CHOOSE(CONTROL!$C$22, $C$13, 100%, $E$13)</f>
        <v>16.885999999999999</v>
      </c>
      <c r="I581" s="68">
        <f>16.8873 * CHOOSE(CONTROL!$C$22, $C$13, 100%, $E$13)</f>
        <v>16.8873</v>
      </c>
      <c r="J581" s="68">
        <f>10.409 * CHOOSE(CONTROL!$C$22, $C$13, 100%, $E$13)</f>
        <v>10.409000000000001</v>
      </c>
      <c r="K581" s="68">
        <f>10.4103 * CHOOSE(CONTROL!$C$22, $C$13, 100%, $E$13)</f>
        <v>10.410299999999999</v>
      </c>
    </row>
    <row r="582" spans="1:11" ht="15">
      <c r="A582" s="13">
        <v>58838</v>
      </c>
      <c r="B582" s="67">
        <f>8.8931 * CHOOSE(CONTROL!$C$22, $C$13, 100%, $E$13)</f>
        <v>8.8931000000000004</v>
      </c>
      <c r="C582" s="67">
        <f>8.8931 * CHOOSE(CONTROL!$C$22, $C$13, 100%, $E$13)</f>
        <v>8.8931000000000004</v>
      </c>
      <c r="D582" s="67">
        <f>8.8941 * CHOOSE(CONTROL!$C$22, $C$13, 100%, $E$13)</f>
        <v>8.8940999999999999</v>
      </c>
      <c r="E582" s="68">
        <f>10.2309 * CHOOSE(CONTROL!$C$22, $C$13, 100%, $E$13)</f>
        <v>10.2309</v>
      </c>
      <c r="F582" s="68">
        <f>10.2309 * CHOOSE(CONTROL!$C$22, $C$13, 100%, $E$13)</f>
        <v>10.2309</v>
      </c>
      <c r="G582" s="68">
        <f>10.2322 * CHOOSE(CONTROL!$C$22, $C$13, 100%, $E$13)</f>
        <v>10.232200000000001</v>
      </c>
      <c r="H582" s="68">
        <f>16.9212* CHOOSE(CONTROL!$C$22, $C$13, 100%, $E$13)</f>
        <v>16.921199999999999</v>
      </c>
      <c r="I582" s="68">
        <f>16.9225 * CHOOSE(CONTROL!$C$22, $C$13, 100%, $E$13)</f>
        <v>16.922499999999999</v>
      </c>
      <c r="J582" s="68">
        <f>10.2309 * CHOOSE(CONTROL!$C$22, $C$13, 100%, $E$13)</f>
        <v>10.2309</v>
      </c>
      <c r="K582" s="68">
        <f>10.2322 * CHOOSE(CONTROL!$C$22, $C$13, 100%, $E$13)</f>
        <v>10.232200000000001</v>
      </c>
    </row>
    <row r="583" spans="1:11" ht="15">
      <c r="A583" s="13">
        <v>58866</v>
      </c>
      <c r="B583" s="67">
        <f>8.8901 * CHOOSE(CONTROL!$C$22, $C$13, 100%, $E$13)</f>
        <v>8.8901000000000003</v>
      </c>
      <c r="C583" s="67">
        <f>8.8901 * CHOOSE(CONTROL!$C$22, $C$13, 100%, $E$13)</f>
        <v>8.8901000000000003</v>
      </c>
      <c r="D583" s="67">
        <f>8.8911 * CHOOSE(CONTROL!$C$22, $C$13, 100%, $E$13)</f>
        <v>8.8910999999999998</v>
      </c>
      <c r="E583" s="68">
        <f>10.3675 * CHOOSE(CONTROL!$C$22, $C$13, 100%, $E$13)</f>
        <v>10.3675</v>
      </c>
      <c r="F583" s="68">
        <f>10.3675 * CHOOSE(CONTROL!$C$22, $C$13, 100%, $E$13)</f>
        <v>10.3675</v>
      </c>
      <c r="G583" s="68">
        <f>10.3688 * CHOOSE(CONTROL!$C$22, $C$13, 100%, $E$13)</f>
        <v>10.3688</v>
      </c>
      <c r="H583" s="68">
        <f>16.9564* CHOOSE(CONTROL!$C$22, $C$13, 100%, $E$13)</f>
        <v>16.956399999999999</v>
      </c>
      <c r="I583" s="68">
        <f>16.9577 * CHOOSE(CONTROL!$C$22, $C$13, 100%, $E$13)</f>
        <v>16.957699999999999</v>
      </c>
      <c r="J583" s="68">
        <f>10.3675 * CHOOSE(CONTROL!$C$22, $C$13, 100%, $E$13)</f>
        <v>10.3675</v>
      </c>
      <c r="K583" s="68">
        <f>10.3688 * CHOOSE(CONTROL!$C$22, $C$13, 100%, $E$13)</f>
        <v>10.3688</v>
      </c>
    </row>
    <row r="584" spans="1:11" ht="15">
      <c r="A584" s="13">
        <v>58897</v>
      </c>
      <c r="B584" s="67">
        <f>8.8919 * CHOOSE(CONTROL!$C$22, $C$13, 100%, $E$13)</f>
        <v>8.8918999999999997</v>
      </c>
      <c r="C584" s="67">
        <f>8.8919 * CHOOSE(CONTROL!$C$22, $C$13, 100%, $E$13)</f>
        <v>8.8918999999999997</v>
      </c>
      <c r="D584" s="67">
        <f>8.8929 * CHOOSE(CONTROL!$C$22, $C$13, 100%, $E$13)</f>
        <v>8.8928999999999991</v>
      </c>
      <c r="E584" s="68">
        <f>10.5123 * CHOOSE(CONTROL!$C$22, $C$13, 100%, $E$13)</f>
        <v>10.5123</v>
      </c>
      <c r="F584" s="68">
        <f>10.5123 * CHOOSE(CONTROL!$C$22, $C$13, 100%, $E$13)</f>
        <v>10.5123</v>
      </c>
      <c r="G584" s="68">
        <f>10.5136 * CHOOSE(CONTROL!$C$22, $C$13, 100%, $E$13)</f>
        <v>10.5136</v>
      </c>
      <c r="H584" s="68">
        <f>16.9918* CHOOSE(CONTROL!$C$22, $C$13, 100%, $E$13)</f>
        <v>16.991800000000001</v>
      </c>
      <c r="I584" s="68">
        <f>16.993 * CHOOSE(CONTROL!$C$22, $C$13, 100%, $E$13)</f>
        <v>16.992999999999999</v>
      </c>
      <c r="J584" s="68">
        <f>10.5123 * CHOOSE(CONTROL!$C$22, $C$13, 100%, $E$13)</f>
        <v>10.5123</v>
      </c>
      <c r="K584" s="68">
        <f>10.5136 * CHOOSE(CONTROL!$C$22, $C$13, 100%, $E$13)</f>
        <v>10.5136</v>
      </c>
    </row>
    <row r="585" spans="1:11" ht="15">
      <c r="A585" s="13">
        <v>58927</v>
      </c>
      <c r="B585" s="67">
        <f>8.8919 * CHOOSE(CONTROL!$C$22, $C$13, 100%, $E$13)</f>
        <v>8.8918999999999997</v>
      </c>
      <c r="C585" s="67">
        <f>8.8919 * CHOOSE(CONTROL!$C$22, $C$13, 100%, $E$13)</f>
        <v>8.8918999999999997</v>
      </c>
      <c r="D585" s="67">
        <f>8.8945 * CHOOSE(CONTROL!$C$22, $C$13, 100%, $E$13)</f>
        <v>8.8945000000000007</v>
      </c>
      <c r="E585" s="68">
        <f>10.5681 * CHOOSE(CONTROL!$C$22, $C$13, 100%, $E$13)</f>
        <v>10.568099999999999</v>
      </c>
      <c r="F585" s="68">
        <f>10.5681 * CHOOSE(CONTROL!$C$22, $C$13, 100%, $E$13)</f>
        <v>10.568099999999999</v>
      </c>
      <c r="G585" s="68">
        <f>10.5714 * CHOOSE(CONTROL!$C$22, $C$13, 100%, $E$13)</f>
        <v>10.571400000000001</v>
      </c>
      <c r="H585" s="68">
        <f>17.0272* CHOOSE(CONTROL!$C$22, $C$13, 100%, $E$13)</f>
        <v>17.027200000000001</v>
      </c>
      <c r="I585" s="68">
        <f>17.0304 * CHOOSE(CONTROL!$C$22, $C$13, 100%, $E$13)</f>
        <v>17.0304</v>
      </c>
      <c r="J585" s="68">
        <f>10.5681 * CHOOSE(CONTROL!$C$22, $C$13, 100%, $E$13)</f>
        <v>10.568099999999999</v>
      </c>
      <c r="K585" s="68">
        <f>10.5714 * CHOOSE(CONTROL!$C$22, $C$13, 100%, $E$13)</f>
        <v>10.571400000000001</v>
      </c>
    </row>
    <row r="586" spans="1:11" ht="15">
      <c r="A586" s="13">
        <v>58958</v>
      </c>
      <c r="B586" s="67">
        <f>8.898 * CHOOSE(CONTROL!$C$22, $C$13, 100%, $E$13)</f>
        <v>8.8979999999999997</v>
      </c>
      <c r="C586" s="67">
        <f>8.898 * CHOOSE(CONTROL!$C$22, $C$13, 100%, $E$13)</f>
        <v>8.8979999999999997</v>
      </c>
      <c r="D586" s="67">
        <f>8.9006 * CHOOSE(CONTROL!$C$22, $C$13, 100%, $E$13)</f>
        <v>8.9006000000000007</v>
      </c>
      <c r="E586" s="68">
        <f>10.5165 * CHOOSE(CONTROL!$C$22, $C$13, 100%, $E$13)</f>
        <v>10.516500000000001</v>
      </c>
      <c r="F586" s="68">
        <f>10.5165 * CHOOSE(CONTROL!$C$22, $C$13, 100%, $E$13)</f>
        <v>10.516500000000001</v>
      </c>
      <c r="G586" s="68">
        <f>10.5198 * CHOOSE(CONTROL!$C$22, $C$13, 100%, $E$13)</f>
        <v>10.5198</v>
      </c>
      <c r="H586" s="68">
        <f>17.0626* CHOOSE(CONTROL!$C$22, $C$13, 100%, $E$13)</f>
        <v>17.0626</v>
      </c>
      <c r="I586" s="68">
        <f>17.0659 * CHOOSE(CONTROL!$C$22, $C$13, 100%, $E$13)</f>
        <v>17.065899999999999</v>
      </c>
      <c r="J586" s="68">
        <f>10.5165 * CHOOSE(CONTROL!$C$22, $C$13, 100%, $E$13)</f>
        <v>10.516500000000001</v>
      </c>
      <c r="K586" s="68">
        <f>10.5198 * CHOOSE(CONTROL!$C$22, $C$13, 100%, $E$13)</f>
        <v>10.5198</v>
      </c>
    </row>
    <row r="587" spans="1:11" ht="15">
      <c r="A587" s="13">
        <v>58988</v>
      </c>
      <c r="B587" s="67">
        <f>9.0365 * CHOOSE(CONTROL!$C$22, $C$13, 100%, $E$13)</f>
        <v>9.0365000000000002</v>
      </c>
      <c r="C587" s="67">
        <f>9.0365 * CHOOSE(CONTROL!$C$22, $C$13, 100%, $E$13)</f>
        <v>9.0365000000000002</v>
      </c>
      <c r="D587" s="67">
        <f>9.0391 * CHOOSE(CONTROL!$C$22, $C$13, 100%, $E$13)</f>
        <v>9.0390999999999995</v>
      </c>
      <c r="E587" s="68">
        <f>10.6879 * CHOOSE(CONTROL!$C$22, $C$13, 100%, $E$13)</f>
        <v>10.687900000000001</v>
      </c>
      <c r="F587" s="68">
        <f>10.6879 * CHOOSE(CONTROL!$C$22, $C$13, 100%, $E$13)</f>
        <v>10.687900000000001</v>
      </c>
      <c r="G587" s="68">
        <f>10.6911 * CHOOSE(CONTROL!$C$22, $C$13, 100%, $E$13)</f>
        <v>10.6911</v>
      </c>
      <c r="H587" s="68">
        <f>17.0982* CHOOSE(CONTROL!$C$22, $C$13, 100%, $E$13)</f>
        <v>17.098199999999999</v>
      </c>
      <c r="I587" s="68">
        <f>17.1014 * CHOOSE(CONTROL!$C$22, $C$13, 100%, $E$13)</f>
        <v>17.101400000000002</v>
      </c>
      <c r="J587" s="68">
        <f>10.6879 * CHOOSE(CONTROL!$C$22, $C$13, 100%, $E$13)</f>
        <v>10.687900000000001</v>
      </c>
      <c r="K587" s="68">
        <f>10.6911 * CHOOSE(CONTROL!$C$22, $C$13, 100%, $E$13)</f>
        <v>10.6911</v>
      </c>
    </row>
    <row r="588" spans="1:11" ht="15">
      <c r="A588" s="13">
        <v>59019</v>
      </c>
      <c r="B588" s="67">
        <f>9.0432 * CHOOSE(CONTROL!$C$22, $C$13, 100%, $E$13)</f>
        <v>9.0432000000000006</v>
      </c>
      <c r="C588" s="67">
        <f>9.0432 * CHOOSE(CONTROL!$C$22, $C$13, 100%, $E$13)</f>
        <v>9.0432000000000006</v>
      </c>
      <c r="D588" s="67">
        <f>9.0458 * CHOOSE(CONTROL!$C$22, $C$13, 100%, $E$13)</f>
        <v>9.0457999999999998</v>
      </c>
      <c r="E588" s="68">
        <f>10.5249 * CHOOSE(CONTROL!$C$22, $C$13, 100%, $E$13)</f>
        <v>10.524900000000001</v>
      </c>
      <c r="F588" s="68">
        <f>10.5249 * CHOOSE(CONTROL!$C$22, $C$13, 100%, $E$13)</f>
        <v>10.524900000000001</v>
      </c>
      <c r="G588" s="68">
        <f>10.5282 * CHOOSE(CONTROL!$C$22, $C$13, 100%, $E$13)</f>
        <v>10.5282</v>
      </c>
      <c r="H588" s="68">
        <f>17.1338* CHOOSE(CONTROL!$C$22, $C$13, 100%, $E$13)</f>
        <v>17.133800000000001</v>
      </c>
      <c r="I588" s="68">
        <f>17.1371 * CHOOSE(CONTROL!$C$22, $C$13, 100%, $E$13)</f>
        <v>17.1371</v>
      </c>
      <c r="J588" s="68">
        <f>10.5249 * CHOOSE(CONTROL!$C$22, $C$13, 100%, $E$13)</f>
        <v>10.524900000000001</v>
      </c>
      <c r="K588" s="68">
        <f>10.5282 * CHOOSE(CONTROL!$C$22, $C$13, 100%, $E$13)</f>
        <v>10.5282</v>
      </c>
    </row>
    <row r="589" spans="1:11" ht="15">
      <c r="A589" s="13">
        <v>59050</v>
      </c>
      <c r="B589" s="67">
        <f>9.0401 * CHOOSE(CONTROL!$C$22, $C$13, 100%, $E$13)</f>
        <v>9.0401000000000007</v>
      </c>
      <c r="C589" s="67">
        <f>9.0401 * CHOOSE(CONTROL!$C$22, $C$13, 100%, $E$13)</f>
        <v>9.0401000000000007</v>
      </c>
      <c r="D589" s="67">
        <f>9.0427 * CHOOSE(CONTROL!$C$22, $C$13, 100%, $E$13)</f>
        <v>9.0427</v>
      </c>
      <c r="E589" s="68">
        <f>10.5042 * CHOOSE(CONTROL!$C$22, $C$13, 100%, $E$13)</f>
        <v>10.504200000000001</v>
      </c>
      <c r="F589" s="68">
        <f>10.5042 * CHOOSE(CONTROL!$C$22, $C$13, 100%, $E$13)</f>
        <v>10.504200000000001</v>
      </c>
      <c r="G589" s="68">
        <f>10.5075 * CHOOSE(CONTROL!$C$22, $C$13, 100%, $E$13)</f>
        <v>10.5075</v>
      </c>
      <c r="H589" s="68">
        <f>17.1695* CHOOSE(CONTROL!$C$22, $C$13, 100%, $E$13)</f>
        <v>17.169499999999999</v>
      </c>
      <c r="I589" s="68">
        <f>17.1728 * CHOOSE(CONTROL!$C$22, $C$13, 100%, $E$13)</f>
        <v>17.172799999999999</v>
      </c>
      <c r="J589" s="68">
        <f>10.5042 * CHOOSE(CONTROL!$C$22, $C$13, 100%, $E$13)</f>
        <v>10.504200000000001</v>
      </c>
      <c r="K589" s="68">
        <f>10.5075 * CHOOSE(CONTROL!$C$22, $C$13, 100%, $E$13)</f>
        <v>10.5075</v>
      </c>
    </row>
    <row r="590" spans="1:11" ht="15">
      <c r="A590" s="13">
        <v>59080</v>
      </c>
      <c r="B590" s="67">
        <f>9.0516 * CHOOSE(CONTROL!$C$22, $C$13, 100%, $E$13)</f>
        <v>9.0516000000000005</v>
      </c>
      <c r="C590" s="67">
        <f>9.0516 * CHOOSE(CONTROL!$C$22, $C$13, 100%, $E$13)</f>
        <v>9.0516000000000005</v>
      </c>
      <c r="D590" s="67">
        <f>9.0526 * CHOOSE(CONTROL!$C$22, $C$13, 100%, $E$13)</f>
        <v>9.0526</v>
      </c>
      <c r="E590" s="68">
        <f>10.5653 * CHOOSE(CONTROL!$C$22, $C$13, 100%, $E$13)</f>
        <v>10.565300000000001</v>
      </c>
      <c r="F590" s="68">
        <f>10.5653 * CHOOSE(CONTROL!$C$22, $C$13, 100%, $E$13)</f>
        <v>10.565300000000001</v>
      </c>
      <c r="G590" s="68">
        <f>10.5666 * CHOOSE(CONTROL!$C$22, $C$13, 100%, $E$13)</f>
        <v>10.566599999999999</v>
      </c>
      <c r="H590" s="68">
        <f>17.2053* CHOOSE(CONTROL!$C$22, $C$13, 100%, $E$13)</f>
        <v>17.205300000000001</v>
      </c>
      <c r="I590" s="68">
        <f>17.2066 * CHOOSE(CONTROL!$C$22, $C$13, 100%, $E$13)</f>
        <v>17.206600000000002</v>
      </c>
      <c r="J590" s="68">
        <f>10.5653 * CHOOSE(CONTROL!$C$22, $C$13, 100%, $E$13)</f>
        <v>10.565300000000001</v>
      </c>
      <c r="K590" s="68">
        <f>10.5666 * CHOOSE(CONTROL!$C$22, $C$13, 100%, $E$13)</f>
        <v>10.566599999999999</v>
      </c>
    </row>
    <row r="591" spans="1:11" ht="15">
      <c r="A591" s="13">
        <v>59111</v>
      </c>
      <c r="B591" s="67">
        <f>9.0547 * CHOOSE(CONTROL!$C$22, $C$13, 100%, $E$13)</f>
        <v>9.0547000000000004</v>
      </c>
      <c r="C591" s="67">
        <f>9.0547 * CHOOSE(CONTROL!$C$22, $C$13, 100%, $E$13)</f>
        <v>9.0547000000000004</v>
      </c>
      <c r="D591" s="67">
        <f>9.0556 * CHOOSE(CONTROL!$C$22, $C$13, 100%, $E$13)</f>
        <v>9.0556000000000001</v>
      </c>
      <c r="E591" s="68">
        <f>10.6046 * CHOOSE(CONTROL!$C$22, $C$13, 100%, $E$13)</f>
        <v>10.6046</v>
      </c>
      <c r="F591" s="68">
        <f>10.6046 * CHOOSE(CONTROL!$C$22, $C$13, 100%, $E$13)</f>
        <v>10.6046</v>
      </c>
      <c r="G591" s="68">
        <f>10.6059 * CHOOSE(CONTROL!$C$22, $C$13, 100%, $E$13)</f>
        <v>10.6059</v>
      </c>
      <c r="H591" s="68">
        <f>17.2411* CHOOSE(CONTROL!$C$22, $C$13, 100%, $E$13)</f>
        <v>17.241099999999999</v>
      </c>
      <c r="I591" s="68">
        <f>17.2424 * CHOOSE(CONTROL!$C$22, $C$13, 100%, $E$13)</f>
        <v>17.2424</v>
      </c>
      <c r="J591" s="68">
        <f>10.6046 * CHOOSE(CONTROL!$C$22, $C$13, 100%, $E$13)</f>
        <v>10.6046</v>
      </c>
      <c r="K591" s="68">
        <f>10.6059 * CHOOSE(CONTROL!$C$22, $C$13, 100%, $E$13)</f>
        <v>10.6059</v>
      </c>
    </row>
    <row r="592" spans="1:11" ht="15">
      <c r="A592" s="13">
        <v>59141</v>
      </c>
      <c r="B592" s="67">
        <f>9.0547 * CHOOSE(CONTROL!$C$22, $C$13, 100%, $E$13)</f>
        <v>9.0547000000000004</v>
      </c>
      <c r="C592" s="67">
        <f>9.0547 * CHOOSE(CONTROL!$C$22, $C$13, 100%, $E$13)</f>
        <v>9.0547000000000004</v>
      </c>
      <c r="D592" s="67">
        <f>9.0556 * CHOOSE(CONTROL!$C$22, $C$13, 100%, $E$13)</f>
        <v>9.0556000000000001</v>
      </c>
      <c r="E592" s="68">
        <f>10.5115 * CHOOSE(CONTROL!$C$22, $C$13, 100%, $E$13)</f>
        <v>10.5115</v>
      </c>
      <c r="F592" s="68">
        <f>10.5115 * CHOOSE(CONTROL!$C$22, $C$13, 100%, $E$13)</f>
        <v>10.5115</v>
      </c>
      <c r="G592" s="68">
        <f>10.5128 * CHOOSE(CONTROL!$C$22, $C$13, 100%, $E$13)</f>
        <v>10.5128</v>
      </c>
      <c r="H592" s="68">
        <f>17.277* CHOOSE(CONTROL!$C$22, $C$13, 100%, $E$13)</f>
        <v>17.277000000000001</v>
      </c>
      <c r="I592" s="68">
        <f>17.2783 * CHOOSE(CONTROL!$C$22, $C$13, 100%, $E$13)</f>
        <v>17.278300000000002</v>
      </c>
      <c r="J592" s="68">
        <f>10.5115 * CHOOSE(CONTROL!$C$22, $C$13, 100%, $E$13)</f>
        <v>10.5115</v>
      </c>
      <c r="K592" s="68">
        <f>10.5128 * CHOOSE(CONTROL!$C$22, $C$13, 100%, $E$13)</f>
        <v>10.5128</v>
      </c>
    </row>
    <row r="593" spans="1:11" ht="15">
      <c r="A593" s="13">
        <v>59172</v>
      </c>
      <c r="B593" s="67">
        <f>9.1318 * CHOOSE(CONTROL!$C$22, $C$13, 100%, $E$13)</f>
        <v>9.1318000000000001</v>
      </c>
      <c r="C593" s="67">
        <f>9.1318 * CHOOSE(CONTROL!$C$22, $C$13, 100%, $E$13)</f>
        <v>9.1318000000000001</v>
      </c>
      <c r="D593" s="67">
        <f>9.1327 * CHOOSE(CONTROL!$C$22, $C$13, 100%, $E$13)</f>
        <v>9.1326999999999998</v>
      </c>
      <c r="E593" s="68">
        <f>10.6637 * CHOOSE(CONTROL!$C$22, $C$13, 100%, $E$13)</f>
        <v>10.6637</v>
      </c>
      <c r="F593" s="68">
        <f>10.6637 * CHOOSE(CONTROL!$C$22, $C$13, 100%, $E$13)</f>
        <v>10.6637</v>
      </c>
      <c r="G593" s="68">
        <f>10.665 * CHOOSE(CONTROL!$C$22, $C$13, 100%, $E$13)</f>
        <v>10.664999999999999</v>
      </c>
      <c r="H593" s="68">
        <f>17.313* CHOOSE(CONTROL!$C$22, $C$13, 100%, $E$13)</f>
        <v>17.312999999999999</v>
      </c>
      <c r="I593" s="68">
        <f>17.3143 * CHOOSE(CONTROL!$C$22, $C$13, 100%, $E$13)</f>
        <v>17.314299999999999</v>
      </c>
      <c r="J593" s="68">
        <f>10.6637 * CHOOSE(CONTROL!$C$22, $C$13, 100%, $E$13)</f>
        <v>10.6637</v>
      </c>
      <c r="K593" s="68">
        <f>10.665 * CHOOSE(CONTROL!$C$22, $C$13, 100%, $E$13)</f>
        <v>10.664999999999999</v>
      </c>
    </row>
    <row r="594" spans="1:11" ht="15">
      <c r="A594" s="13">
        <v>59203</v>
      </c>
      <c r="B594" s="67">
        <f>9.1287 * CHOOSE(CONTROL!$C$22, $C$13, 100%, $E$13)</f>
        <v>9.1287000000000003</v>
      </c>
      <c r="C594" s="67">
        <f>9.1287 * CHOOSE(CONTROL!$C$22, $C$13, 100%, $E$13)</f>
        <v>9.1287000000000003</v>
      </c>
      <c r="D594" s="67">
        <f>9.1297 * CHOOSE(CONTROL!$C$22, $C$13, 100%, $E$13)</f>
        <v>9.1296999999999997</v>
      </c>
      <c r="E594" s="68">
        <f>10.4807 * CHOOSE(CONTROL!$C$22, $C$13, 100%, $E$13)</f>
        <v>10.480700000000001</v>
      </c>
      <c r="F594" s="68">
        <f>10.4807 * CHOOSE(CONTROL!$C$22, $C$13, 100%, $E$13)</f>
        <v>10.480700000000001</v>
      </c>
      <c r="G594" s="68">
        <f>10.482 * CHOOSE(CONTROL!$C$22, $C$13, 100%, $E$13)</f>
        <v>10.481999999999999</v>
      </c>
      <c r="H594" s="68">
        <f>17.3491* CHOOSE(CONTROL!$C$22, $C$13, 100%, $E$13)</f>
        <v>17.3491</v>
      </c>
      <c r="I594" s="68">
        <f>17.3504 * CHOOSE(CONTROL!$C$22, $C$13, 100%, $E$13)</f>
        <v>17.3504</v>
      </c>
      <c r="J594" s="68">
        <f>10.4807 * CHOOSE(CONTROL!$C$22, $C$13, 100%, $E$13)</f>
        <v>10.480700000000001</v>
      </c>
      <c r="K594" s="68">
        <f>10.482 * CHOOSE(CONTROL!$C$22, $C$13, 100%, $E$13)</f>
        <v>10.481999999999999</v>
      </c>
    </row>
    <row r="595" spans="1:11" ht="15">
      <c r="A595" s="13">
        <v>59231</v>
      </c>
      <c r="B595" s="67">
        <f>9.1257 * CHOOSE(CONTROL!$C$22, $C$13, 100%, $E$13)</f>
        <v>9.1257000000000001</v>
      </c>
      <c r="C595" s="67">
        <f>9.1257 * CHOOSE(CONTROL!$C$22, $C$13, 100%, $E$13)</f>
        <v>9.1257000000000001</v>
      </c>
      <c r="D595" s="67">
        <f>9.1267 * CHOOSE(CONTROL!$C$22, $C$13, 100%, $E$13)</f>
        <v>9.1266999999999996</v>
      </c>
      <c r="E595" s="68">
        <f>10.6212 * CHOOSE(CONTROL!$C$22, $C$13, 100%, $E$13)</f>
        <v>10.6212</v>
      </c>
      <c r="F595" s="68">
        <f>10.6212 * CHOOSE(CONTROL!$C$22, $C$13, 100%, $E$13)</f>
        <v>10.6212</v>
      </c>
      <c r="G595" s="68">
        <f>10.6225 * CHOOSE(CONTROL!$C$22, $C$13, 100%, $E$13)</f>
        <v>10.6225</v>
      </c>
      <c r="H595" s="68">
        <f>17.3852* CHOOSE(CONTROL!$C$22, $C$13, 100%, $E$13)</f>
        <v>17.385200000000001</v>
      </c>
      <c r="I595" s="68">
        <f>17.3865 * CHOOSE(CONTROL!$C$22, $C$13, 100%, $E$13)</f>
        <v>17.386500000000002</v>
      </c>
      <c r="J595" s="68">
        <f>10.6212 * CHOOSE(CONTROL!$C$22, $C$13, 100%, $E$13)</f>
        <v>10.6212</v>
      </c>
      <c r="K595" s="68">
        <f>10.6225 * CHOOSE(CONTROL!$C$22, $C$13, 100%, $E$13)</f>
        <v>10.6225</v>
      </c>
    </row>
    <row r="596" spans="1:11" ht="15">
      <c r="A596" s="13">
        <v>59262</v>
      </c>
      <c r="B596" s="67">
        <f>9.1277 * CHOOSE(CONTROL!$C$22, $C$13, 100%, $E$13)</f>
        <v>9.1277000000000008</v>
      </c>
      <c r="C596" s="67">
        <f>9.1277 * CHOOSE(CONTROL!$C$22, $C$13, 100%, $E$13)</f>
        <v>9.1277000000000008</v>
      </c>
      <c r="D596" s="67">
        <f>9.1287 * CHOOSE(CONTROL!$C$22, $C$13, 100%, $E$13)</f>
        <v>9.1287000000000003</v>
      </c>
      <c r="E596" s="68">
        <f>10.7701 * CHOOSE(CONTROL!$C$22, $C$13, 100%, $E$13)</f>
        <v>10.770099999999999</v>
      </c>
      <c r="F596" s="68">
        <f>10.7701 * CHOOSE(CONTROL!$C$22, $C$13, 100%, $E$13)</f>
        <v>10.770099999999999</v>
      </c>
      <c r="G596" s="68">
        <f>10.7714 * CHOOSE(CONTROL!$C$22, $C$13, 100%, $E$13)</f>
        <v>10.7714</v>
      </c>
      <c r="H596" s="68">
        <f>17.4215* CHOOSE(CONTROL!$C$22, $C$13, 100%, $E$13)</f>
        <v>17.421500000000002</v>
      </c>
      <c r="I596" s="68">
        <f>17.4227 * CHOOSE(CONTROL!$C$22, $C$13, 100%, $E$13)</f>
        <v>17.422699999999999</v>
      </c>
      <c r="J596" s="68">
        <f>10.7701 * CHOOSE(CONTROL!$C$22, $C$13, 100%, $E$13)</f>
        <v>10.770099999999999</v>
      </c>
      <c r="K596" s="68">
        <f>10.7714 * CHOOSE(CONTROL!$C$22, $C$13, 100%, $E$13)</f>
        <v>10.7714</v>
      </c>
    </row>
    <row r="597" spans="1:11" ht="15">
      <c r="A597" s="13">
        <v>59292</v>
      </c>
      <c r="B597" s="67">
        <f>9.1277 * CHOOSE(CONTROL!$C$22, $C$13, 100%, $E$13)</f>
        <v>9.1277000000000008</v>
      </c>
      <c r="C597" s="67">
        <f>9.1277 * CHOOSE(CONTROL!$C$22, $C$13, 100%, $E$13)</f>
        <v>9.1277000000000008</v>
      </c>
      <c r="D597" s="67">
        <f>9.1303 * CHOOSE(CONTROL!$C$22, $C$13, 100%, $E$13)</f>
        <v>9.1303000000000001</v>
      </c>
      <c r="E597" s="68">
        <f>10.8276 * CHOOSE(CONTROL!$C$22, $C$13, 100%, $E$13)</f>
        <v>10.8276</v>
      </c>
      <c r="F597" s="68">
        <f>10.8276 * CHOOSE(CONTROL!$C$22, $C$13, 100%, $E$13)</f>
        <v>10.8276</v>
      </c>
      <c r="G597" s="68">
        <f>10.8308 * CHOOSE(CONTROL!$C$22, $C$13, 100%, $E$13)</f>
        <v>10.8308</v>
      </c>
      <c r="H597" s="68">
        <f>17.4578* CHOOSE(CONTROL!$C$22, $C$13, 100%, $E$13)</f>
        <v>17.457799999999999</v>
      </c>
      <c r="I597" s="68">
        <f>17.461 * CHOOSE(CONTROL!$C$22, $C$13, 100%, $E$13)</f>
        <v>17.460999999999999</v>
      </c>
      <c r="J597" s="68">
        <f>10.8276 * CHOOSE(CONTROL!$C$22, $C$13, 100%, $E$13)</f>
        <v>10.8276</v>
      </c>
      <c r="K597" s="68">
        <f>10.8308 * CHOOSE(CONTROL!$C$22, $C$13, 100%, $E$13)</f>
        <v>10.8308</v>
      </c>
    </row>
    <row r="598" spans="1:11" ht="15">
      <c r="A598" s="13">
        <v>59323</v>
      </c>
      <c r="B598" s="67">
        <f>9.1337 * CHOOSE(CONTROL!$C$22, $C$13, 100%, $E$13)</f>
        <v>9.1336999999999993</v>
      </c>
      <c r="C598" s="67">
        <f>9.1337 * CHOOSE(CONTROL!$C$22, $C$13, 100%, $E$13)</f>
        <v>9.1336999999999993</v>
      </c>
      <c r="D598" s="67">
        <f>9.1364 * CHOOSE(CONTROL!$C$22, $C$13, 100%, $E$13)</f>
        <v>9.1364000000000001</v>
      </c>
      <c r="E598" s="68">
        <f>10.7744 * CHOOSE(CONTROL!$C$22, $C$13, 100%, $E$13)</f>
        <v>10.7744</v>
      </c>
      <c r="F598" s="68">
        <f>10.7744 * CHOOSE(CONTROL!$C$22, $C$13, 100%, $E$13)</f>
        <v>10.7744</v>
      </c>
      <c r="G598" s="68">
        <f>10.7776 * CHOOSE(CONTROL!$C$22, $C$13, 100%, $E$13)</f>
        <v>10.7776</v>
      </c>
      <c r="H598" s="68">
        <f>17.4941* CHOOSE(CONTROL!$C$22, $C$13, 100%, $E$13)</f>
        <v>17.4941</v>
      </c>
      <c r="I598" s="68">
        <f>17.4974 * CHOOSE(CONTROL!$C$22, $C$13, 100%, $E$13)</f>
        <v>17.497399999999999</v>
      </c>
      <c r="J598" s="68">
        <f>10.7744 * CHOOSE(CONTROL!$C$22, $C$13, 100%, $E$13)</f>
        <v>10.7744</v>
      </c>
      <c r="K598" s="68">
        <f>10.7776 * CHOOSE(CONTROL!$C$22, $C$13, 100%, $E$13)</f>
        <v>10.7776</v>
      </c>
    </row>
    <row r="599" spans="1:11" ht="15">
      <c r="A599" s="13">
        <v>59353</v>
      </c>
      <c r="B599" s="67">
        <f>9.2757 * CHOOSE(CONTROL!$C$22, $C$13, 100%, $E$13)</f>
        <v>9.2757000000000005</v>
      </c>
      <c r="C599" s="67">
        <f>9.2757 * CHOOSE(CONTROL!$C$22, $C$13, 100%, $E$13)</f>
        <v>9.2757000000000005</v>
      </c>
      <c r="D599" s="67">
        <f>9.2783 * CHOOSE(CONTROL!$C$22, $C$13, 100%, $E$13)</f>
        <v>9.2782999999999998</v>
      </c>
      <c r="E599" s="68">
        <f>10.9496 * CHOOSE(CONTROL!$C$22, $C$13, 100%, $E$13)</f>
        <v>10.9496</v>
      </c>
      <c r="F599" s="68">
        <f>10.9496 * CHOOSE(CONTROL!$C$22, $C$13, 100%, $E$13)</f>
        <v>10.9496</v>
      </c>
      <c r="G599" s="68">
        <f>10.9529 * CHOOSE(CONTROL!$C$22, $C$13, 100%, $E$13)</f>
        <v>10.9529</v>
      </c>
      <c r="H599" s="68">
        <f>17.5306* CHOOSE(CONTROL!$C$22, $C$13, 100%, $E$13)</f>
        <v>17.5306</v>
      </c>
      <c r="I599" s="68">
        <f>17.5338 * CHOOSE(CONTROL!$C$22, $C$13, 100%, $E$13)</f>
        <v>17.533799999999999</v>
      </c>
      <c r="J599" s="68">
        <f>10.9496 * CHOOSE(CONTROL!$C$22, $C$13, 100%, $E$13)</f>
        <v>10.9496</v>
      </c>
      <c r="K599" s="68">
        <f>10.9529 * CHOOSE(CONTROL!$C$22, $C$13, 100%, $E$13)</f>
        <v>10.9529</v>
      </c>
    </row>
    <row r="600" spans="1:11" ht="15">
      <c r="A600" s="13">
        <v>59384</v>
      </c>
      <c r="B600" s="67">
        <f>9.2823 * CHOOSE(CONTROL!$C$22, $C$13, 100%, $E$13)</f>
        <v>9.2822999999999993</v>
      </c>
      <c r="C600" s="67">
        <f>9.2823 * CHOOSE(CONTROL!$C$22, $C$13, 100%, $E$13)</f>
        <v>9.2822999999999993</v>
      </c>
      <c r="D600" s="67">
        <f>9.285 * CHOOSE(CONTROL!$C$22, $C$13, 100%, $E$13)</f>
        <v>9.2850000000000001</v>
      </c>
      <c r="E600" s="68">
        <f>10.782 * CHOOSE(CONTROL!$C$22, $C$13, 100%, $E$13)</f>
        <v>10.782</v>
      </c>
      <c r="F600" s="68">
        <f>10.782 * CHOOSE(CONTROL!$C$22, $C$13, 100%, $E$13)</f>
        <v>10.782</v>
      </c>
      <c r="G600" s="68">
        <f>10.7853 * CHOOSE(CONTROL!$C$22, $C$13, 100%, $E$13)</f>
        <v>10.785299999999999</v>
      </c>
      <c r="H600" s="68">
        <f>17.5671* CHOOSE(CONTROL!$C$22, $C$13, 100%, $E$13)</f>
        <v>17.5671</v>
      </c>
      <c r="I600" s="68">
        <f>17.5703 * CHOOSE(CONTROL!$C$22, $C$13, 100%, $E$13)</f>
        <v>17.5703</v>
      </c>
      <c r="J600" s="68">
        <f>10.782 * CHOOSE(CONTROL!$C$22, $C$13, 100%, $E$13)</f>
        <v>10.782</v>
      </c>
      <c r="K600" s="68">
        <f>10.7853 * CHOOSE(CONTROL!$C$22, $C$13, 100%, $E$13)</f>
        <v>10.785299999999999</v>
      </c>
    </row>
    <row r="601" spans="1:11" ht="15">
      <c r="A601" s="13">
        <v>59415</v>
      </c>
      <c r="B601" s="67">
        <f>9.2793 * CHOOSE(CONTROL!$C$22, $C$13, 100%, $E$13)</f>
        <v>9.2792999999999992</v>
      </c>
      <c r="C601" s="67">
        <f>9.2793 * CHOOSE(CONTROL!$C$22, $C$13, 100%, $E$13)</f>
        <v>9.2792999999999992</v>
      </c>
      <c r="D601" s="67">
        <f>9.2819 * CHOOSE(CONTROL!$C$22, $C$13, 100%, $E$13)</f>
        <v>9.2819000000000003</v>
      </c>
      <c r="E601" s="68">
        <f>10.7607 * CHOOSE(CONTROL!$C$22, $C$13, 100%, $E$13)</f>
        <v>10.7607</v>
      </c>
      <c r="F601" s="68">
        <f>10.7607 * CHOOSE(CONTROL!$C$22, $C$13, 100%, $E$13)</f>
        <v>10.7607</v>
      </c>
      <c r="G601" s="68">
        <f>10.764 * CHOOSE(CONTROL!$C$22, $C$13, 100%, $E$13)</f>
        <v>10.763999999999999</v>
      </c>
      <c r="H601" s="68">
        <f>17.6037* CHOOSE(CONTROL!$C$22, $C$13, 100%, $E$13)</f>
        <v>17.6037</v>
      </c>
      <c r="I601" s="68">
        <f>17.6069 * CHOOSE(CONTROL!$C$22, $C$13, 100%, $E$13)</f>
        <v>17.6069</v>
      </c>
      <c r="J601" s="68">
        <f>10.7607 * CHOOSE(CONTROL!$C$22, $C$13, 100%, $E$13)</f>
        <v>10.7607</v>
      </c>
      <c r="K601" s="68">
        <f>10.764 * CHOOSE(CONTROL!$C$22, $C$13, 100%, $E$13)</f>
        <v>10.763999999999999</v>
      </c>
    </row>
    <row r="602" spans="1:11" ht="15">
      <c r="A602" s="13">
        <v>59445</v>
      </c>
      <c r="B602" s="67">
        <f>9.2916 * CHOOSE(CONTROL!$C$22, $C$13, 100%, $E$13)</f>
        <v>9.2916000000000007</v>
      </c>
      <c r="C602" s="67">
        <f>9.2916 * CHOOSE(CONTROL!$C$22, $C$13, 100%, $E$13)</f>
        <v>9.2916000000000007</v>
      </c>
      <c r="D602" s="67">
        <f>9.2925 * CHOOSE(CONTROL!$C$22, $C$13, 100%, $E$13)</f>
        <v>9.2925000000000004</v>
      </c>
      <c r="E602" s="68">
        <f>10.8239 * CHOOSE(CONTROL!$C$22, $C$13, 100%, $E$13)</f>
        <v>10.8239</v>
      </c>
      <c r="F602" s="68">
        <f>10.8239 * CHOOSE(CONTROL!$C$22, $C$13, 100%, $E$13)</f>
        <v>10.8239</v>
      </c>
      <c r="G602" s="68">
        <f>10.8252 * CHOOSE(CONTROL!$C$22, $C$13, 100%, $E$13)</f>
        <v>10.825200000000001</v>
      </c>
      <c r="H602" s="68">
        <f>17.6404* CHOOSE(CONTROL!$C$22, $C$13, 100%, $E$13)</f>
        <v>17.6404</v>
      </c>
      <c r="I602" s="68">
        <f>17.6416 * CHOOSE(CONTROL!$C$22, $C$13, 100%, $E$13)</f>
        <v>17.6416</v>
      </c>
      <c r="J602" s="68">
        <f>10.8239 * CHOOSE(CONTROL!$C$22, $C$13, 100%, $E$13)</f>
        <v>10.8239</v>
      </c>
      <c r="K602" s="68">
        <f>10.8252 * CHOOSE(CONTROL!$C$22, $C$13, 100%, $E$13)</f>
        <v>10.825200000000001</v>
      </c>
    </row>
    <row r="603" spans="1:11" ht="15">
      <c r="A603" s="13">
        <v>59476</v>
      </c>
      <c r="B603" s="67">
        <f>9.2946 * CHOOSE(CONTROL!$C$22, $C$13, 100%, $E$13)</f>
        <v>9.2946000000000009</v>
      </c>
      <c r="C603" s="67">
        <f>9.2946 * CHOOSE(CONTROL!$C$22, $C$13, 100%, $E$13)</f>
        <v>9.2946000000000009</v>
      </c>
      <c r="D603" s="67">
        <f>9.2956 * CHOOSE(CONTROL!$C$22, $C$13, 100%, $E$13)</f>
        <v>9.2956000000000003</v>
      </c>
      <c r="E603" s="68">
        <f>10.8643 * CHOOSE(CONTROL!$C$22, $C$13, 100%, $E$13)</f>
        <v>10.8643</v>
      </c>
      <c r="F603" s="68">
        <f>10.8643 * CHOOSE(CONTROL!$C$22, $C$13, 100%, $E$13)</f>
        <v>10.8643</v>
      </c>
      <c r="G603" s="68">
        <f>10.8656 * CHOOSE(CONTROL!$C$22, $C$13, 100%, $E$13)</f>
        <v>10.865600000000001</v>
      </c>
      <c r="H603" s="68">
        <f>17.6771* CHOOSE(CONTROL!$C$22, $C$13, 100%, $E$13)</f>
        <v>17.677099999999999</v>
      </c>
      <c r="I603" s="68">
        <f>17.6784 * CHOOSE(CONTROL!$C$22, $C$13, 100%, $E$13)</f>
        <v>17.6784</v>
      </c>
      <c r="J603" s="68">
        <f>10.8643 * CHOOSE(CONTROL!$C$22, $C$13, 100%, $E$13)</f>
        <v>10.8643</v>
      </c>
      <c r="K603" s="68">
        <f>10.8656 * CHOOSE(CONTROL!$C$22, $C$13, 100%, $E$13)</f>
        <v>10.865600000000001</v>
      </c>
    </row>
    <row r="604" spans="1:11" ht="15">
      <c r="A604" s="13">
        <v>59506</v>
      </c>
      <c r="B604" s="67">
        <f>9.2946 * CHOOSE(CONTROL!$C$22, $C$13, 100%, $E$13)</f>
        <v>9.2946000000000009</v>
      </c>
      <c r="C604" s="67">
        <f>9.2946 * CHOOSE(CONTROL!$C$22, $C$13, 100%, $E$13)</f>
        <v>9.2946000000000009</v>
      </c>
      <c r="D604" s="67">
        <f>9.2956 * CHOOSE(CONTROL!$C$22, $C$13, 100%, $E$13)</f>
        <v>9.2956000000000003</v>
      </c>
      <c r="E604" s="68">
        <f>10.7686 * CHOOSE(CONTROL!$C$22, $C$13, 100%, $E$13)</f>
        <v>10.768599999999999</v>
      </c>
      <c r="F604" s="68">
        <f>10.7686 * CHOOSE(CONTROL!$C$22, $C$13, 100%, $E$13)</f>
        <v>10.768599999999999</v>
      </c>
      <c r="G604" s="68">
        <f>10.7699 * CHOOSE(CONTROL!$C$22, $C$13, 100%, $E$13)</f>
        <v>10.7699</v>
      </c>
      <c r="H604" s="68">
        <f>17.7139* CHOOSE(CONTROL!$C$22, $C$13, 100%, $E$13)</f>
        <v>17.713899999999999</v>
      </c>
      <c r="I604" s="68">
        <f>17.7152 * CHOOSE(CONTROL!$C$22, $C$13, 100%, $E$13)</f>
        <v>17.715199999999999</v>
      </c>
      <c r="J604" s="68">
        <f>10.7686 * CHOOSE(CONTROL!$C$22, $C$13, 100%, $E$13)</f>
        <v>10.768599999999999</v>
      </c>
      <c r="K604" s="68">
        <f>10.7699 * CHOOSE(CONTROL!$C$22, $C$13, 100%, $E$13)</f>
        <v>10.7699</v>
      </c>
    </row>
    <row r="605" spans="1:11" ht="15">
      <c r="A605" s="13">
        <v>59537</v>
      </c>
      <c r="B605" s="67">
        <f>9.3673 * CHOOSE(CONTROL!$C$22, $C$13, 100%, $E$13)</f>
        <v>9.3673000000000002</v>
      </c>
      <c r="C605" s="67">
        <f>9.3673 * CHOOSE(CONTROL!$C$22, $C$13, 100%, $E$13)</f>
        <v>9.3673000000000002</v>
      </c>
      <c r="D605" s="67">
        <f>9.3683 * CHOOSE(CONTROL!$C$22, $C$13, 100%, $E$13)</f>
        <v>9.3682999999999996</v>
      </c>
      <c r="E605" s="68">
        <f>10.9185 * CHOOSE(CONTROL!$C$22, $C$13, 100%, $E$13)</f>
        <v>10.9185</v>
      </c>
      <c r="F605" s="68">
        <f>10.9185 * CHOOSE(CONTROL!$C$22, $C$13, 100%, $E$13)</f>
        <v>10.9185</v>
      </c>
      <c r="G605" s="68">
        <f>10.9198 * CHOOSE(CONTROL!$C$22, $C$13, 100%, $E$13)</f>
        <v>10.9198</v>
      </c>
      <c r="H605" s="68">
        <f>17.74* CHOOSE(CONTROL!$C$22, $C$13, 100%, $E$13)</f>
        <v>17.739999999999998</v>
      </c>
      <c r="I605" s="68">
        <f>17.7413 * CHOOSE(CONTROL!$C$22, $C$13, 100%, $E$13)</f>
        <v>17.741299999999999</v>
      </c>
      <c r="J605" s="68">
        <f>10.9185 * CHOOSE(CONTROL!$C$22, $C$13, 100%, $E$13)</f>
        <v>10.9185</v>
      </c>
      <c r="K605" s="68">
        <f>10.9198 * CHOOSE(CONTROL!$C$22, $C$13, 100%, $E$13)</f>
        <v>10.9198</v>
      </c>
    </row>
    <row r="606" spans="1:11" ht="15">
      <c r="A606" s="13">
        <v>59568</v>
      </c>
      <c r="B606" s="67">
        <f>9.3643 * CHOOSE(CONTROL!$C$22, $C$13, 100%, $E$13)</f>
        <v>9.3643000000000001</v>
      </c>
      <c r="C606" s="67">
        <f>9.3643 * CHOOSE(CONTROL!$C$22, $C$13, 100%, $E$13)</f>
        <v>9.3643000000000001</v>
      </c>
      <c r="D606" s="67">
        <f>9.3653 * CHOOSE(CONTROL!$C$22, $C$13, 100%, $E$13)</f>
        <v>9.3652999999999995</v>
      </c>
      <c r="E606" s="68">
        <f>10.7305 * CHOOSE(CONTROL!$C$22, $C$13, 100%, $E$13)</f>
        <v>10.730499999999999</v>
      </c>
      <c r="F606" s="68">
        <f>10.7305 * CHOOSE(CONTROL!$C$22, $C$13, 100%, $E$13)</f>
        <v>10.730499999999999</v>
      </c>
      <c r="G606" s="68">
        <f>10.7318 * CHOOSE(CONTROL!$C$22, $C$13, 100%, $E$13)</f>
        <v>10.7318</v>
      </c>
      <c r="H606" s="68">
        <f>17.777* CHOOSE(CONTROL!$C$22, $C$13, 100%, $E$13)</f>
        <v>17.777000000000001</v>
      </c>
      <c r="I606" s="68">
        <f>17.7783 * CHOOSE(CONTROL!$C$22, $C$13, 100%, $E$13)</f>
        <v>17.778300000000002</v>
      </c>
      <c r="J606" s="68">
        <f>10.7305 * CHOOSE(CONTROL!$C$22, $C$13, 100%, $E$13)</f>
        <v>10.730499999999999</v>
      </c>
      <c r="K606" s="68">
        <f>10.7318 * CHOOSE(CONTROL!$C$22, $C$13, 100%, $E$13)</f>
        <v>10.7318</v>
      </c>
    </row>
    <row r="607" spans="1:11" ht="15">
      <c r="A607" s="13">
        <v>59596</v>
      </c>
      <c r="B607" s="67">
        <f>9.3612 * CHOOSE(CONTROL!$C$22, $C$13, 100%, $E$13)</f>
        <v>9.3612000000000002</v>
      </c>
      <c r="C607" s="67">
        <f>9.3612 * CHOOSE(CONTROL!$C$22, $C$13, 100%, $E$13)</f>
        <v>9.3612000000000002</v>
      </c>
      <c r="D607" s="67">
        <f>9.3622 * CHOOSE(CONTROL!$C$22, $C$13, 100%, $E$13)</f>
        <v>9.3621999999999996</v>
      </c>
      <c r="E607" s="68">
        <f>10.8749 * CHOOSE(CONTROL!$C$22, $C$13, 100%, $E$13)</f>
        <v>10.8749</v>
      </c>
      <c r="F607" s="68">
        <f>10.8749 * CHOOSE(CONTROL!$C$22, $C$13, 100%, $E$13)</f>
        <v>10.8749</v>
      </c>
      <c r="G607" s="68">
        <f>10.8762 * CHOOSE(CONTROL!$C$22, $C$13, 100%, $E$13)</f>
        <v>10.876200000000001</v>
      </c>
      <c r="H607" s="68">
        <f>17.814* CHOOSE(CONTROL!$C$22, $C$13, 100%, $E$13)</f>
        <v>17.814</v>
      </c>
      <c r="I607" s="68">
        <f>17.8153 * CHOOSE(CONTROL!$C$22, $C$13, 100%, $E$13)</f>
        <v>17.815300000000001</v>
      </c>
      <c r="J607" s="68">
        <f>10.8749 * CHOOSE(CONTROL!$C$22, $C$13, 100%, $E$13)</f>
        <v>10.8749</v>
      </c>
      <c r="K607" s="68">
        <f>10.8762 * CHOOSE(CONTROL!$C$22, $C$13, 100%, $E$13)</f>
        <v>10.876200000000001</v>
      </c>
    </row>
    <row r="608" spans="1:11" ht="15">
      <c r="A608" s="13">
        <v>59627</v>
      </c>
      <c r="B608" s="67">
        <f>9.3634 * CHOOSE(CONTROL!$C$22, $C$13, 100%, $E$13)</f>
        <v>9.3634000000000004</v>
      </c>
      <c r="C608" s="67">
        <f>9.3634 * CHOOSE(CONTROL!$C$22, $C$13, 100%, $E$13)</f>
        <v>9.3634000000000004</v>
      </c>
      <c r="D608" s="67">
        <f>9.3644 * CHOOSE(CONTROL!$C$22, $C$13, 100%, $E$13)</f>
        <v>9.3643999999999998</v>
      </c>
      <c r="E608" s="68">
        <f>11.028 * CHOOSE(CONTROL!$C$22, $C$13, 100%, $E$13)</f>
        <v>11.028</v>
      </c>
      <c r="F608" s="68">
        <f>11.028 * CHOOSE(CONTROL!$C$22, $C$13, 100%, $E$13)</f>
        <v>11.028</v>
      </c>
      <c r="G608" s="68">
        <f>11.0293 * CHOOSE(CONTROL!$C$22, $C$13, 100%, $E$13)</f>
        <v>11.029299999999999</v>
      </c>
      <c r="H608" s="68">
        <f>17.8512* CHOOSE(CONTROL!$C$22, $C$13, 100%, $E$13)</f>
        <v>17.851199999999999</v>
      </c>
      <c r="I608" s="68">
        <f>17.8524 * CHOOSE(CONTROL!$C$22, $C$13, 100%, $E$13)</f>
        <v>17.852399999999999</v>
      </c>
      <c r="J608" s="68">
        <f>11.028 * CHOOSE(CONTROL!$C$22, $C$13, 100%, $E$13)</f>
        <v>11.028</v>
      </c>
      <c r="K608" s="68">
        <f>11.0293 * CHOOSE(CONTROL!$C$22, $C$13, 100%, $E$13)</f>
        <v>11.029299999999999</v>
      </c>
    </row>
    <row r="609" spans="1:11" ht="15">
      <c r="A609" s="13">
        <v>59657</v>
      </c>
      <c r="B609" s="67">
        <f>9.3634 * CHOOSE(CONTROL!$C$22, $C$13, 100%, $E$13)</f>
        <v>9.3634000000000004</v>
      </c>
      <c r="C609" s="67">
        <f>9.3634 * CHOOSE(CONTROL!$C$22, $C$13, 100%, $E$13)</f>
        <v>9.3634000000000004</v>
      </c>
      <c r="D609" s="67">
        <f>9.3661 * CHOOSE(CONTROL!$C$22, $C$13, 100%, $E$13)</f>
        <v>9.3660999999999994</v>
      </c>
      <c r="E609" s="68">
        <f>11.087 * CHOOSE(CONTROL!$C$22, $C$13, 100%, $E$13)</f>
        <v>11.087</v>
      </c>
      <c r="F609" s="68">
        <f>11.087 * CHOOSE(CONTROL!$C$22, $C$13, 100%, $E$13)</f>
        <v>11.087</v>
      </c>
      <c r="G609" s="68">
        <f>11.0903 * CHOOSE(CONTROL!$C$22, $C$13, 100%, $E$13)</f>
        <v>11.090299999999999</v>
      </c>
      <c r="H609" s="68">
        <f>17.8883* CHOOSE(CONTROL!$C$22, $C$13, 100%, $E$13)</f>
        <v>17.888300000000001</v>
      </c>
      <c r="I609" s="68">
        <f>17.8916 * CHOOSE(CONTROL!$C$22, $C$13, 100%, $E$13)</f>
        <v>17.8916</v>
      </c>
      <c r="J609" s="68">
        <f>11.087 * CHOOSE(CONTROL!$C$22, $C$13, 100%, $E$13)</f>
        <v>11.087</v>
      </c>
      <c r="K609" s="68">
        <f>11.0903 * CHOOSE(CONTROL!$C$22, $C$13, 100%, $E$13)</f>
        <v>11.090299999999999</v>
      </c>
    </row>
    <row r="610" spans="1:11" ht="15">
      <c r="A610" s="13">
        <v>59688</v>
      </c>
      <c r="B610" s="67">
        <f>9.3695 * CHOOSE(CONTROL!$C$22, $C$13, 100%, $E$13)</f>
        <v>9.3695000000000004</v>
      </c>
      <c r="C610" s="67">
        <f>9.3695 * CHOOSE(CONTROL!$C$22, $C$13, 100%, $E$13)</f>
        <v>9.3695000000000004</v>
      </c>
      <c r="D610" s="67">
        <f>9.3721 * CHOOSE(CONTROL!$C$22, $C$13, 100%, $E$13)</f>
        <v>9.3720999999999997</v>
      </c>
      <c r="E610" s="68">
        <f>11.0322 * CHOOSE(CONTROL!$C$22, $C$13, 100%, $E$13)</f>
        <v>11.0322</v>
      </c>
      <c r="F610" s="68">
        <f>11.0322 * CHOOSE(CONTROL!$C$22, $C$13, 100%, $E$13)</f>
        <v>11.0322</v>
      </c>
      <c r="G610" s="68">
        <f>11.0355 * CHOOSE(CONTROL!$C$22, $C$13, 100%, $E$13)</f>
        <v>11.035500000000001</v>
      </c>
      <c r="H610" s="68">
        <f>17.9256* CHOOSE(CONTROL!$C$22, $C$13, 100%, $E$13)</f>
        <v>17.925599999999999</v>
      </c>
      <c r="I610" s="68">
        <f>17.9289 * CHOOSE(CONTROL!$C$22, $C$13, 100%, $E$13)</f>
        <v>17.928899999999999</v>
      </c>
      <c r="J610" s="68">
        <f>11.0322 * CHOOSE(CONTROL!$C$22, $C$13, 100%, $E$13)</f>
        <v>11.0322</v>
      </c>
      <c r="K610" s="68">
        <f>11.0355 * CHOOSE(CONTROL!$C$22, $C$13, 100%, $E$13)</f>
        <v>11.035500000000001</v>
      </c>
    </row>
    <row r="611" spans="1:11" ht="15">
      <c r="A611" s="13">
        <v>59718</v>
      </c>
      <c r="B611" s="67">
        <f>9.5148 * CHOOSE(CONTROL!$C$22, $C$13, 100%, $E$13)</f>
        <v>9.5147999999999993</v>
      </c>
      <c r="C611" s="67">
        <f>9.5148 * CHOOSE(CONTROL!$C$22, $C$13, 100%, $E$13)</f>
        <v>9.5147999999999993</v>
      </c>
      <c r="D611" s="67">
        <f>9.5175 * CHOOSE(CONTROL!$C$22, $C$13, 100%, $E$13)</f>
        <v>9.5175000000000001</v>
      </c>
      <c r="E611" s="68">
        <f>11.2114 * CHOOSE(CONTROL!$C$22, $C$13, 100%, $E$13)</f>
        <v>11.211399999999999</v>
      </c>
      <c r="F611" s="68">
        <f>11.2114 * CHOOSE(CONTROL!$C$22, $C$13, 100%, $E$13)</f>
        <v>11.211399999999999</v>
      </c>
      <c r="G611" s="68">
        <f>11.2147 * CHOOSE(CONTROL!$C$22, $C$13, 100%, $E$13)</f>
        <v>11.214700000000001</v>
      </c>
      <c r="H611" s="68">
        <f>17.963* CHOOSE(CONTROL!$C$22, $C$13, 100%, $E$13)</f>
        <v>17.963000000000001</v>
      </c>
      <c r="I611" s="68">
        <f>17.9662 * CHOOSE(CONTROL!$C$22, $C$13, 100%, $E$13)</f>
        <v>17.966200000000001</v>
      </c>
      <c r="J611" s="68">
        <f>11.2114 * CHOOSE(CONTROL!$C$22, $C$13, 100%, $E$13)</f>
        <v>11.211399999999999</v>
      </c>
      <c r="K611" s="68">
        <f>11.2147 * CHOOSE(CONTROL!$C$22, $C$13, 100%, $E$13)</f>
        <v>11.214700000000001</v>
      </c>
    </row>
    <row r="612" spans="1:11" ht="15">
      <c r="A612" s="13">
        <v>59749</v>
      </c>
      <c r="B612" s="67">
        <f>9.5215 * CHOOSE(CONTROL!$C$22, $C$13, 100%, $E$13)</f>
        <v>9.5214999999999996</v>
      </c>
      <c r="C612" s="67">
        <f>9.5215 * CHOOSE(CONTROL!$C$22, $C$13, 100%, $E$13)</f>
        <v>9.5214999999999996</v>
      </c>
      <c r="D612" s="67">
        <f>9.5241 * CHOOSE(CONTROL!$C$22, $C$13, 100%, $E$13)</f>
        <v>9.5241000000000007</v>
      </c>
      <c r="E612" s="68">
        <f>11.0391 * CHOOSE(CONTROL!$C$22, $C$13, 100%, $E$13)</f>
        <v>11.039099999999999</v>
      </c>
      <c r="F612" s="68">
        <f>11.0391 * CHOOSE(CONTROL!$C$22, $C$13, 100%, $E$13)</f>
        <v>11.039099999999999</v>
      </c>
      <c r="G612" s="68">
        <f>11.0423 * CHOOSE(CONTROL!$C$22, $C$13, 100%, $E$13)</f>
        <v>11.042299999999999</v>
      </c>
      <c r="H612" s="68">
        <f>18.0004* CHOOSE(CONTROL!$C$22, $C$13, 100%, $E$13)</f>
        <v>18.000399999999999</v>
      </c>
      <c r="I612" s="68">
        <f>18.0036 * CHOOSE(CONTROL!$C$22, $C$13, 100%, $E$13)</f>
        <v>18.003599999999999</v>
      </c>
      <c r="J612" s="68">
        <f>11.0391 * CHOOSE(CONTROL!$C$22, $C$13, 100%, $E$13)</f>
        <v>11.039099999999999</v>
      </c>
      <c r="K612" s="68">
        <f>11.0423 * CHOOSE(CONTROL!$C$22, $C$13, 100%, $E$13)</f>
        <v>11.042299999999999</v>
      </c>
    </row>
    <row r="613" spans="1:11" ht="15">
      <c r="A613" s="13">
        <v>59780</v>
      </c>
      <c r="B613" s="67">
        <f>9.5185 * CHOOSE(CONTROL!$C$22, $C$13, 100%, $E$13)</f>
        <v>9.5184999999999995</v>
      </c>
      <c r="C613" s="67">
        <f>9.5185 * CHOOSE(CONTROL!$C$22, $C$13, 100%, $E$13)</f>
        <v>9.5184999999999995</v>
      </c>
      <c r="D613" s="67">
        <f>9.5211 * CHOOSE(CONTROL!$C$22, $C$13, 100%, $E$13)</f>
        <v>9.5211000000000006</v>
      </c>
      <c r="E613" s="68">
        <f>11.0173 * CHOOSE(CONTROL!$C$22, $C$13, 100%, $E$13)</f>
        <v>11.017300000000001</v>
      </c>
      <c r="F613" s="68">
        <f>11.0173 * CHOOSE(CONTROL!$C$22, $C$13, 100%, $E$13)</f>
        <v>11.017300000000001</v>
      </c>
      <c r="G613" s="68">
        <f>11.0205 * CHOOSE(CONTROL!$C$22, $C$13, 100%, $E$13)</f>
        <v>11.0205</v>
      </c>
      <c r="H613" s="68">
        <f>18.0379* CHOOSE(CONTROL!$C$22, $C$13, 100%, $E$13)</f>
        <v>18.0379</v>
      </c>
      <c r="I613" s="68">
        <f>18.0411 * CHOOSE(CONTROL!$C$22, $C$13, 100%, $E$13)</f>
        <v>18.0411</v>
      </c>
      <c r="J613" s="68">
        <f>11.0173 * CHOOSE(CONTROL!$C$22, $C$13, 100%, $E$13)</f>
        <v>11.017300000000001</v>
      </c>
      <c r="K613" s="68">
        <f>11.0205 * CHOOSE(CONTROL!$C$22, $C$13, 100%, $E$13)</f>
        <v>11.0205</v>
      </c>
    </row>
    <row r="614" spans="1:11" ht="15">
      <c r="A614" s="13">
        <v>59810</v>
      </c>
      <c r="B614" s="67">
        <f>9.5315 * CHOOSE(CONTROL!$C$22, $C$13, 100%, $E$13)</f>
        <v>9.5314999999999994</v>
      </c>
      <c r="C614" s="67">
        <f>9.5315 * CHOOSE(CONTROL!$C$22, $C$13, 100%, $E$13)</f>
        <v>9.5314999999999994</v>
      </c>
      <c r="D614" s="67">
        <f>9.5325 * CHOOSE(CONTROL!$C$22, $C$13, 100%, $E$13)</f>
        <v>9.5325000000000006</v>
      </c>
      <c r="E614" s="68">
        <f>11.0825 * CHOOSE(CONTROL!$C$22, $C$13, 100%, $E$13)</f>
        <v>11.0825</v>
      </c>
      <c r="F614" s="68">
        <f>11.0825 * CHOOSE(CONTROL!$C$22, $C$13, 100%, $E$13)</f>
        <v>11.0825</v>
      </c>
      <c r="G614" s="68">
        <f>11.0838 * CHOOSE(CONTROL!$C$22, $C$13, 100%, $E$13)</f>
        <v>11.0838</v>
      </c>
      <c r="H614" s="68">
        <f>18.0755* CHOOSE(CONTROL!$C$22, $C$13, 100%, $E$13)</f>
        <v>18.075500000000002</v>
      </c>
      <c r="I614" s="68">
        <f>18.0767 * CHOOSE(CONTROL!$C$22, $C$13, 100%, $E$13)</f>
        <v>18.076699999999999</v>
      </c>
      <c r="J614" s="68">
        <f>11.0825 * CHOOSE(CONTROL!$C$22, $C$13, 100%, $E$13)</f>
        <v>11.0825</v>
      </c>
      <c r="K614" s="68">
        <f>11.0838 * CHOOSE(CONTROL!$C$22, $C$13, 100%, $E$13)</f>
        <v>11.0838</v>
      </c>
    </row>
    <row r="615" spans="1:11" ht="15">
      <c r="A615" s="13">
        <v>59841</v>
      </c>
      <c r="B615" s="67">
        <f>9.5345 * CHOOSE(CONTROL!$C$22, $C$13, 100%, $E$13)</f>
        <v>9.5344999999999995</v>
      </c>
      <c r="C615" s="67">
        <f>9.5345 * CHOOSE(CONTROL!$C$22, $C$13, 100%, $E$13)</f>
        <v>9.5344999999999995</v>
      </c>
      <c r="D615" s="67">
        <f>9.5355 * CHOOSE(CONTROL!$C$22, $C$13, 100%, $E$13)</f>
        <v>9.5355000000000008</v>
      </c>
      <c r="E615" s="68">
        <f>11.124 * CHOOSE(CONTROL!$C$22, $C$13, 100%, $E$13)</f>
        <v>11.124000000000001</v>
      </c>
      <c r="F615" s="68">
        <f>11.124 * CHOOSE(CONTROL!$C$22, $C$13, 100%, $E$13)</f>
        <v>11.124000000000001</v>
      </c>
      <c r="G615" s="68">
        <f>11.1253 * CHOOSE(CONTROL!$C$22, $C$13, 100%, $E$13)</f>
        <v>11.125299999999999</v>
      </c>
      <c r="H615" s="68">
        <f>18.1131* CHOOSE(CONTROL!$C$22, $C$13, 100%, $E$13)</f>
        <v>18.113099999999999</v>
      </c>
      <c r="I615" s="68">
        <f>18.1144 * CHOOSE(CONTROL!$C$22, $C$13, 100%, $E$13)</f>
        <v>18.1144</v>
      </c>
      <c r="J615" s="68">
        <f>11.124 * CHOOSE(CONTROL!$C$22, $C$13, 100%, $E$13)</f>
        <v>11.124000000000001</v>
      </c>
      <c r="K615" s="68">
        <f>11.1253 * CHOOSE(CONTROL!$C$22, $C$13, 100%, $E$13)</f>
        <v>11.125299999999999</v>
      </c>
    </row>
    <row r="616" spans="1:11" ht="15">
      <c r="A616" s="13">
        <v>59871</v>
      </c>
      <c r="B616" s="67">
        <f>9.5345 * CHOOSE(CONTROL!$C$22, $C$13, 100%, $E$13)</f>
        <v>9.5344999999999995</v>
      </c>
      <c r="C616" s="67">
        <f>9.5345 * CHOOSE(CONTROL!$C$22, $C$13, 100%, $E$13)</f>
        <v>9.5344999999999995</v>
      </c>
      <c r="D616" s="67">
        <f>9.5355 * CHOOSE(CONTROL!$C$22, $C$13, 100%, $E$13)</f>
        <v>9.5355000000000008</v>
      </c>
      <c r="E616" s="68">
        <f>11.0257 * CHOOSE(CONTROL!$C$22, $C$13, 100%, $E$13)</f>
        <v>11.025700000000001</v>
      </c>
      <c r="F616" s="68">
        <f>11.0257 * CHOOSE(CONTROL!$C$22, $C$13, 100%, $E$13)</f>
        <v>11.025700000000001</v>
      </c>
      <c r="G616" s="68">
        <f>11.0269 * CHOOSE(CONTROL!$C$22, $C$13, 100%, $E$13)</f>
        <v>11.026899999999999</v>
      </c>
      <c r="H616" s="68">
        <f>18.1508* CHOOSE(CONTROL!$C$22, $C$13, 100%, $E$13)</f>
        <v>18.1508</v>
      </c>
      <c r="I616" s="68">
        <f>18.1521 * CHOOSE(CONTROL!$C$22, $C$13, 100%, $E$13)</f>
        <v>18.152100000000001</v>
      </c>
      <c r="J616" s="68">
        <f>11.0257 * CHOOSE(CONTROL!$C$22, $C$13, 100%, $E$13)</f>
        <v>11.025700000000001</v>
      </c>
      <c r="K616" s="68">
        <f>11.0269 * CHOOSE(CONTROL!$C$22, $C$13, 100%, $E$13)</f>
        <v>11.026899999999999</v>
      </c>
    </row>
    <row r="617" spans="1:11" ht="15">
      <c r="A617" s="13">
        <v>59902</v>
      </c>
      <c r="B617" s="67">
        <f>9.6029 * CHOOSE(CONTROL!$C$22, $C$13, 100%, $E$13)</f>
        <v>9.6029</v>
      </c>
      <c r="C617" s="67">
        <f>9.6029 * CHOOSE(CONTROL!$C$22, $C$13, 100%, $E$13)</f>
        <v>9.6029</v>
      </c>
      <c r="D617" s="67">
        <f>9.6039 * CHOOSE(CONTROL!$C$22, $C$13, 100%, $E$13)</f>
        <v>9.6038999999999994</v>
      </c>
      <c r="E617" s="68">
        <f>11.1732 * CHOOSE(CONTROL!$C$22, $C$13, 100%, $E$13)</f>
        <v>11.1732</v>
      </c>
      <c r="F617" s="68">
        <f>11.1732 * CHOOSE(CONTROL!$C$22, $C$13, 100%, $E$13)</f>
        <v>11.1732</v>
      </c>
      <c r="G617" s="68">
        <f>11.1745 * CHOOSE(CONTROL!$C$22, $C$13, 100%, $E$13)</f>
        <v>11.1745</v>
      </c>
      <c r="H617" s="68">
        <f>18.1671* CHOOSE(CONTROL!$C$22, $C$13, 100%, $E$13)</f>
        <v>18.167100000000001</v>
      </c>
      <c r="I617" s="68">
        <f>18.1683 * CHOOSE(CONTROL!$C$22, $C$13, 100%, $E$13)</f>
        <v>18.168299999999999</v>
      </c>
      <c r="J617" s="68">
        <f>11.1732 * CHOOSE(CONTROL!$C$22, $C$13, 100%, $E$13)</f>
        <v>11.1732</v>
      </c>
      <c r="K617" s="68">
        <f>11.1745 * CHOOSE(CONTROL!$C$22, $C$13, 100%, $E$13)</f>
        <v>11.1745</v>
      </c>
    </row>
    <row r="618" spans="1:11" ht="15">
      <c r="A618" s="13">
        <v>59933</v>
      </c>
      <c r="B618" s="67">
        <f>9.5999 * CHOOSE(CONTROL!$C$22, $C$13, 100%, $E$13)</f>
        <v>9.5998999999999999</v>
      </c>
      <c r="C618" s="67">
        <f>9.5999 * CHOOSE(CONTROL!$C$22, $C$13, 100%, $E$13)</f>
        <v>9.5998999999999999</v>
      </c>
      <c r="D618" s="67">
        <f>9.6008 * CHOOSE(CONTROL!$C$22, $C$13, 100%, $E$13)</f>
        <v>9.6007999999999996</v>
      </c>
      <c r="E618" s="68">
        <f>10.9803 * CHOOSE(CONTROL!$C$22, $C$13, 100%, $E$13)</f>
        <v>10.9803</v>
      </c>
      <c r="F618" s="68">
        <f>10.9803 * CHOOSE(CONTROL!$C$22, $C$13, 100%, $E$13)</f>
        <v>10.9803</v>
      </c>
      <c r="G618" s="68">
        <f>10.9816 * CHOOSE(CONTROL!$C$22, $C$13, 100%, $E$13)</f>
        <v>10.9816</v>
      </c>
      <c r="H618" s="68">
        <f>18.2049* CHOOSE(CONTROL!$C$22, $C$13, 100%, $E$13)</f>
        <v>18.204899999999999</v>
      </c>
      <c r="I618" s="68">
        <f>18.2062 * CHOOSE(CONTROL!$C$22, $C$13, 100%, $E$13)</f>
        <v>18.206199999999999</v>
      </c>
      <c r="J618" s="68">
        <f>10.9803 * CHOOSE(CONTROL!$C$22, $C$13, 100%, $E$13)</f>
        <v>10.9803</v>
      </c>
      <c r="K618" s="68">
        <f>10.9816 * CHOOSE(CONTROL!$C$22, $C$13, 100%, $E$13)</f>
        <v>10.9816</v>
      </c>
    </row>
    <row r="619" spans="1:11" ht="15">
      <c r="A619" s="13">
        <v>59962</v>
      </c>
      <c r="B619" s="67">
        <f>9.5968 * CHOOSE(CONTROL!$C$22, $C$13, 100%, $E$13)</f>
        <v>9.5968</v>
      </c>
      <c r="C619" s="67">
        <f>9.5968 * CHOOSE(CONTROL!$C$22, $C$13, 100%, $E$13)</f>
        <v>9.5968</v>
      </c>
      <c r="D619" s="67">
        <f>9.5978 * CHOOSE(CONTROL!$C$22, $C$13, 100%, $E$13)</f>
        <v>9.5977999999999994</v>
      </c>
      <c r="E619" s="68">
        <f>11.1286 * CHOOSE(CONTROL!$C$22, $C$13, 100%, $E$13)</f>
        <v>11.1286</v>
      </c>
      <c r="F619" s="68">
        <f>11.1286 * CHOOSE(CONTROL!$C$22, $C$13, 100%, $E$13)</f>
        <v>11.1286</v>
      </c>
      <c r="G619" s="68">
        <f>11.1299 * CHOOSE(CONTROL!$C$22, $C$13, 100%, $E$13)</f>
        <v>11.129899999999999</v>
      </c>
      <c r="H619" s="68">
        <f>18.2428* CHOOSE(CONTROL!$C$22, $C$13, 100%, $E$13)</f>
        <v>18.242799999999999</v>
      </c>
      <c r="I619" s="68">
        <f>18.2441 * CHOOSE(CONTROL!$C$22, $C$13, 100%, $E$13)</f>
        <v>18.2441</v>
      </c>
      <c r="J619" s="68">
        <f>11.1286 * CHOOSE(CONTROL!$C$22, $C$13, 100%, $E$13)</f>
        <v>11.1286</v>
      </c>
      <c r="K619" s="68">
        <f>11.1299 * CHOOSE(CONTROL!$C$22, $C$13, 100%, $E$13)</f>
        <v>11.129899999999999</v>
      </c>
    </row>
    <row r="620" spans="1:11" ht="15">
      <c r="A620" s="13">
        <v>59993</v>
      </c>
      <c r="B620" s="67">
        <f>9.5992 * CHOOSE(CONTROL!$C$22, $C$13, 100%, $E$13)</f>
        <v>9.5991999999999997</v>
      </c>
      <c r="C620" s="67">
        <f>9.5992 * CHOOSE(CONTROL!$C$22, $C$13, 100%, $E$13)</f>
        <v>9.5991999999999997</v>
      </c>
      <c r="D620" s="67">
        <f>9.6002 * CHOOSE(CONTROL!$C$22, $C$13, 100%, $E$13)</f>
        <v>9.6001999999999992</v>
      </c>
      <c r="E620" s="68">
        <f>11.2859 * CHOOSE(CONTROL!$C$22, $C$13, 100%, $E$13)</f>
        <v>11.2859</v>
      </c>
      <c r="F620" s="68">
        <f>11.2859 * CHOOSE(CONTROL!$C$22, $C$13, 100%, $E$13)</f>
        <v>11.2859</v>
      </c>
      <c r="G620" s="68">
        <f>11.2871 * CHOOSE(CONTROL!$C$22, $C$13, 100%, $E$13)</f>
        <v>11.287100000000001</v>
      </c>
      <c r="H620" s="68">
        <f>18.2808* CHOOSE(CONTROL!$C$22, $C$13, 100%, $E$13)</f>
        <v>18.280799999999999</v>
      </c>
      <c r="I620" s="68">
        <f>18.2821 * CHOOSE(CONTROL!$C$22, $C$13, 100%, $E$13)</f>
        <v>18.2821</v>
      </c>
      <c r="J620" s="68">
        <f>11.2859 * CHOOSE(CONTROL!$C$22, $C$13, 100%, $E$13)</f>
        <v>11.2859</v>
      </c>
      <c r="K620" s="68">
        <f>11.2871 * CHOOSE(CONTROL!$C$22, $C$13, 100%, $E$13)</f>
        <v>11.287100000000001</v>
      </c>
    </row>
    <row r="621" spans="1:11" ht="15">
      <c r="A621" s="13">
        <v>60023</v>
      </c>
      <c r="B621" s="67">
        <f>9.5992 * CHOOSE(CONTROL!$C$22, $C$13, 100%, $E$13)</f>
        <v>9.5991999999999997</v>
      </c>
      <c r="C621" s="67">
        <f>9.5992 * CHOOSE(CONTROL!$C$22, $C$13, 100%, $E$13)</f>
        <v>9.5991999999999997</v>
      </c>
      <c r="D621" s="67">
        <f>9.6018 * CHOOSE(CONTROL!$C$22, $C$13, 100%, $E$13)</f>
        <v>9.6018000000000008</v>
      </c>
      <c r="E621" s="68">
        <f>11.3464 * CHOOSE(CONTROL!$C$22, $C$13, 100%, $E$13)</f>
        <v>11.346399999999999</v>
      </c>
      <c r="F621" s="68">
        <f>11.3464 * CHOOSE(CONTROL!$C$22, $C$13, 100%, $E$13)</f>
        <v>11.346399999999999</v>
      </c>
      <c r="G621" s="68">
        <f>11.3497 * CHOOSE(CONTROL!$C$22, $C$13, 100%, $E$13)</f>
        <v>11.3497</v>
      </c>
      <c r="H621" s="68">
        <f>18.3189* CHOOSE(CONTROL!$C$22, $C$13, 100%, $E$13)</f>
        <v>18.318899999999999</v>
      </c>
      <c r="I621" s="68">
        <f>18.3222 * CHOOSE(CONTROL!$C$22, $C$13, 100%, $E$13)</f>
        <v>18.322199999999999</v>
      </c>
      <c r="J621" s="68">
        <f>11.3464 * CHOOSE(CONTROL!$C$22, $C$13, 100%, $E$13)</f>
        <v>11.346399999999999</v>
      </c>
      <c r="K621" s="68">
        <f>11.3497 * CHOOSE(CONTROL!$C$22, $C$13, 100%, $E$13)</f>
        <v>11.3497</v>
      </c>
    </row>
    <row r="622" spans="1:11" ht="15">
      <c r="A622" s="13">
        <v>60054</v>
      </c>
      <c r="B622" s="67">
        <f>9.6053 * CHOOSE(CONTROL!$C$22, $C$13, 100%, $E$13)</f>
        <v>9.6052999999999997</v>
      </c>
      <c r="C622" s="67">
        <f>9.6053 * CHOOSE(CONTROL!$C$22, $C$13, 100%, $E$13)</f>
        <v>9.6052999999999997</v>
      </c>
      <c r="D622" s="67">
        <f>9.6079 * CHOOSE(CONTROL!$C$22, $C$13, 100%, $E$13)</f>
        <v>9.6079000000000008</v>
      </c>
      <c r="E622" s="68">
        <f>11.2901 * CHOOSE(CONTROL!$C$22, $C$13, 100%, $E$13)</f>
        <v>11.290100000000001</v>
      </c>
      <c r="F622" s="68">
        <f>11.2901 * CHOOSE(CONTROL!$C$22, $C$13, 100%, $E$13)</f>
        <v>11.290100000000001</v>
      </c>
      <c r="G622" s="68">
        <f>11.2933 * CHOOSE(CONTROL!$C$22, $C$13, 100%, $E$13)</f>
        <v>11.2933</v>
      </c>
      <c r="H622" s="68">
        <f>18.3571* CHOOSE(CONTROL!$C$22, $C$13, 100%, $E$13)</f>
        <v>18.357099999999999</v>
      </c>
      <c r="I622" s="68">
        <f>18.3603 * CHOOSE(CONTROL!$C$22, $C$13, 100%, $E$13)</f>
        <v>18.360299999999999</v>
      </c>
      <c r="J622" s="68">
        <f>11.2901 * CHOOSE(CONTROL!$C$22, $C$13, 100%, $E$13)</f>
        <v>11.290100000000001</v>
      </c>
      <c r="K622" s="68">
        <f>11.2933 * CHOOSE(CONTROL!$C$22, $C$13, 100%, $E$13)</f>
        <v>11.2933</v>
      </c>
    </row>
    <row r="623" spans="1:11" ht="15">
      <c r="A623" s="13">
        <v>60084</v>
      </c>
      <c r="B623" s="67">
        <f>9.754 * CHOOSE(CONTROL!$C$22, $C$13, 100%, $E$13)</f>
        <v>9.7539999999999996</v>
      </c>
      <c r="C623" s="67">
        <f>9.754 * CHOOSE(CONTROL!$C$22, $C$13, 100%, $E$13)</f>
        <v>9.7539999999999996</v>
      </c>
      <c r="D623" s="67">
        <f>9.7566 * CHOOSE(CONTROL!$C$22, $C$13, 100%, $E$13)</f>
        <v>9.7566000000000006</v>
      </c>
      <c r="E623" s="68">
        <f>11.4732 * CHOOSE(CONTROL!$C$22, $C$13, 100%, $E$13)</f>
        <v>11.4732</v>
      </c>
      <c r="F623" s="68">
        <f>11.4732 * CHOOSE(CONTROL!$C$22, $C$13, 100%, $E$13)</f>
        <v>11.4732</v>
      </c>
      <c r="G623" s="68">
        <f>11.4764 * CHOOSE(CONTROL!$C$22, $C$13, 100%, $E$13)</f>
        <v>11.4764</v>
      </c>
      <c r="H623" s="68">
        <f>18.3953* CHOOSE(CONTROL!$C$22, $C$13, 100%, $E$13)</f>
        <v>18.395299999999999</v>
      </c>
      <c r="I623" s="68">
        <f>18.3986 * CHOOSE(CONTROL!$C$22, $C$13, 100%, $E$13)</f>
        <v>18.398599999999998</v>
      </c>
      <c r="J623" s="68">
        <f>11.4732 * CHOOSE(CONTROL!$C$22, $C$13, 100%, $E$13)</f>
        <v>11.4732</v>
      </c>
      <c r="K623" s="68">
        <f>11.4764 * CHOOSE(CONTROL!$C$22, $C$13, 100%, $E$13)</f>
        <v>11.4764</v>
      </c>
    </row>
    <row r="624" spans="1:11" ht="15">
      <c r="A624" s="13">
        <v>60115</v>
      </c>
      <c r="B624" s="67">
        <f>9.7607 * CHOOSE(CONTROL!$C$22, $C$13, 100%, $E$13)</f>
        <v>9.7606999999999999</v>
      </c>
      <c r="C624" s="67">
        <f>9.7607 * CHOOSE(CONTROL!$C$22, $C$13, 100%, $E$13)</f>
        <v>9.7606999999999999</v>
      </c>
      <c r="D624" s="67">
        <f>9.7633 * CHOOSE(CONTROL!$C$22, $C$13, 100%, $E$13)</f>
        <v>9.7632999999999992</v>
      </c>
      <c r="E624" s="68">
        <f>11.2961 * CHOOSE(CONTROL!$C$22, $C$13, 100%, $E$13)</f>
        <v>11.296099999999999</v>
      </c>
      <c r="F624" s="68">
        <f>11.2961 * CHOOSE(CONTROL!$C$22, $C$13, 100%, $E$13)</f>
        <v>11.296099999999999</v>
      </c>
      <c r="G624" s="68">
        <f>11.2994 * CHOOSE(CONTROL!$C$22, $C$13, 100%, $E$13)</f>
        <v>11.2994</v>
      </c>
      <c r="H624" s="68">
        <f>18.4337* CHOOSE(CONTROL!$C$22, $C$13, 100%, $E$13)</f>
        <v>18.433700000000002</v>
      </c>
      <c r="I624" s="68">
        <f>18.4369 * CHOOSE(CONTROL!$C$22, $C$13, 100%, $E$13)</f>
        <v>18.436900000000001</v>
      </c>
      <c r="J624" s="68">
        <f>11.2961 * CHOOSE(CONTROL!$C$22, $C$13, 100%, $E$13)</f>
        <v>11.296099999999999</v>
      </c>
      <c r="K624" s="68">
        <f>11.2994 * CHOOSE(CONTROL!$C$22, $C$13, 100%, $E$13)</f>
        <v>11.2994</v>
      </c>
    </row>
    <row r="625" spans="1:11" ht="15">
      <c r="A625" s="13">
        <v>60146</v>
      </c>
      <c r="B625" s="67">
        <f>9.7577 * CHOOSE(CONTROL!$C$22, $C$13, 100%, $E$13)</f>
        <v>9.7576999999999998</v>
      </c>
      <c r="C625" s="67">
        <f>9.7577 * CHOOSE(CONTROL!$C$22, $C$13, 100%, $E$13)</f>
        <v>9.7576999999999998</v>
      </c>
      <c r="D625" s="67">
        <f>9.7603 * CHOOSE(CONTROL!$C$22, $C$13, 100%, $E$13)</f>
        <v>9.7603000000000009</v>
      </c>
      <c r="E625" s="68">
        <f>11.2738 * CHOOSE(CONTROL!$C$22, $C$13, 100%, $E$13)</f>
        <v>11.2738</v>
      </c>
      <c r="F625" s="68">
        <f>11.2738 * CHOOSE(CONTROL!$C$22, $C$13, 100%, $E$13)</f>
        <v>11.2738</v>
      </c>
      <c r="G625" s="68">
        <f>11.2771 * CHOOSE(CONTROL!$C$22, $C$13, 100%, $E$13)</f>
        <v>11.277100000000001</v>
      </c>
      <c r="H625" s="68">
        <f>18.4721* CHOOSE(CONTROL!$C$22, $C$13, 100%, $E$13)</f>
        <v>18.472100000000001</v>
      </c>
      <c r="I625" s="68">
        <f>18.4753 * CHOOSE(CONTROL!$C$22, $C$13, 100%, $E$13)</f>
        <v>18.475300000000001</v>
      </c>
      <c r="J625" s="68">
        <f>11.2738 * CHOOSE(CONTROL!$C$22, $C$13, 100%, $E$13)</f>
        <v>11.2738</v>
      </c>
      <c r="K625" s="68">
        <f>11.2771 * CHOOSE(CONTROL!$C$22, $C$13, 100%, $E$13)</f>
        <v>11.277100000000001</v>
      </c>
    </row>
    <row r="626" spans="1:11" ht="15">
      <c r="A626" s="13">
        <v>60176</v>
      </c>
      <c r="B626" s="67">
        <f>9.7714 * CHOOSE(CONTROL!$C$22, $C$13, 100%, $E$13)</f>
        <v>9.7713999999999999</v>
      </c>
      <c r="C626" s="67">
        <f>9.7714 * CHOOSE(CONTROL!$C$22, $C$13, 100%, $E$13)</f>
        <v>9.7713999999999999</v>
      </c>
      <c r="D626" s="67">
        <f>9.7724 * CHOOSE(CONTROL!$C$22, $C$13, 100%, $E$13)</f>
        <v>9.7723999999999993</v>
      </c>
      <c r="E626" s="68">
        <f>11.3412 * CHOOSE(CONTROL!$C$22, $C$13, 100%, $E$13)</f>
        <v>11.341200000000001</v>
      </c>
      <c r="F626" s="68">
        <f>11.3412 * CHOOSE(CONTROL!$C$22, $C$13, 100%, $E$13)</f>
        <v>11.341200000000001</v>
      </c>
      <c r="G626" s="68">
        <f>11.3425 * CHOOSE(CONTROL!$C$22, $C$13, 100%, $E$13)</f>
        <v>11.342499999999999</v>
      </c>
      <c r="H626" s="68">
        <f>18.5106* CHOOSE(CONTROL!$C$22, $C$13, 100%, $E$13)</f>
        <v>18.5106</v>
      </c>
      <c r="I626" s="68">
        <f>18.5118 * CHOOSE(CONTROL!$C$22, $C$13, 100%, $E$13)</f>
        <v>18.511800000000001</v>
      </c>
      <c r="J626" s="68">
        <f>11.3412 * CHOOSE(CONTROL!$C$22, $C$13, 100%, $E$13)</f>
        <v>11.341200000000001</v>
      </c>
      <c r="K626" s="68">
        <f>11.3425 * CHOOSE(CONTROL!$C$22, $C$13, 100%, $E$13)</f>
        <v>11.342499999999999</v>
      </c>
    </row>
    <row r="627" spans="1:11" ht="15">
      <c r="A627" s="13">
        <v>60207</v>
      </c>
      <c r="B627" s="67">
        <f>9.7745 * CHOOSE(CONTROL!$C$22, $C$13, 100%, $E$13)</f>
        <v>9.7744999999999997</v>
      </c>
      <c r="C627" s="67">
        <f>9.7745 * CHOOSE(CONTROL!$C$22, $C$13, 100%, $E$13)</f>
        <v>9.7744999999999997</v>
      </c>
      <c r="D627" s="67">
        <f>9.7755 * CHOOSE(CONTROL!$C$22, $C$13, 100%, $E$13)</f>
        <v>9.7754999999999992</v>
      </c>
      <c r="E627" s="68">
        <f>11.3837 * CHOOSE(CONTROL!$C$22, $C$13, 100%, $E$13)</f>
        <v>11.383699999999999</v>
      </c>
      <c r="F627" s="68">
        <f>11.3837 * CHOOSE(CONTROL!$C$22, $C$13, 100%, $E$13)</f>
        <v>11.383699999999999</v>
      </c>
      <c r="G627" s="68">
        <f>11.385 * CHOOSE(CONTROL!$C$22, $C$13, 100%, $E$13)</f>
        <v>11.385</v>
      </c>
      <c r="H627" s="68">
        <f>18.5491* CHOOSE(CONTROL!$C$22, $C$13, 100%, $E$13)</f>
        <v>18.549099999999999</v>
      </c>
      <c r="I627" s="68">
        <f>18.5504 * CHOOSE(CONTROL!$C$22, $C$13, 100%, $E$13)</f>
        <v>18.5504</v>
      </c>
      <c r="J627" s="68">
        <f>11.3837 * CHOOSE(CONTROL!$C$22, $C$13, 100%, $E$13)</f>
        <v>11.383699999999999</v>
      </c>
      <c r="K627" s="68">
        <f>11.385 * CHOOSE(CONTROL!$C$22, $C$13, 100%, $E$13)</f>
        <v>11.385</v>
      </c>
    </row>
    <row r="628" spans="1:11" ht="15">
      <c r="A628" s="13">
        <v>60237</v>
      </c>
      <c r="B628" s="67">
        <f>9.7745 * CHOOSE(CONTROL!$C$22, $C$13, 100%, $E$13)</f>
        <v>9.7744999999999997</v>
      </c>
      <c r="C628" s="67">
        <f>9.7745 * CHOOSE(CONTROL!$C$22, $C$13, 100%, $E$13)</f>
        <v>9.7744999999999997</v>
      </c>
      <c r="D628" s="67">
        <f>9.7755 * CHOOSE(CONTROL!$C$22, $C$13, 100%, $E$13)</f>
        <v>9.7754999999999992</v>
      </c>
      <c r="E628" s="68">
        <f>11.2827 * CHOOSE(CONTROL!$C$22, $C$13, 100%, $E$13)</f>
        <v>11.2827</v>
      </c>
      <c r="F628" s="68">
        <f>11.2827 * CHOOSE(CONTROL!$C$22, $C$13, 100%, $E$13)</f>
        <v>11.2827</v>
      </c>
      <c r="G628" s="68">
        <f>11.284 * CHOOSE(CONTROL!$C$22, $C$13, 100%, $E$13)</f>
        <v>11.284000000000001</v>
      </c>
      <c r="H628" s="68">
        <f>18.5878* CHOOSE(CONTROL!$C$22, $C$13, 100%, $E$13)</f>
        <v>18.587800000000001</v>
      </c>
      <c r="I628" s="68">
        <f>18.589 * CHOOSE(CONTROL!$C$22, $C$13, 100%, $E$13)</f>
        <v>18.588999999999999</v>
      </c>
      <c r="J628" s="68">
        <f>11.2827 * CHOOSE(CONTROL!$C$22, $C$13, 100%, $E$13)</f>
        <v>11.2827</v>
      </c>
      <c r="K628" s="68">
        <f>11.284 * CHOOSE(CONTROL!$C$22, $C$13, 100%, $E$13)</f>
        <v>11.284000000000001</v>
      </c>
    </row>
    <row r="629" spans="1:11" ht="15">
      <c r="A629" s="13">
        <v>60268</v>
      </c>
      <c r="B629" s="67">
        <f>9.8385 * CHOOSE(CONTROL!$C$22, $C$13, 100%, $E$13)</f>
        <v>9.8384999999999998</v>
      </c>
      <c r="C629" s="67">
        <f>9.8385 * CHOOSE(CONTROL!$C$22, $C$13, 100%, $E$13)</f>
        <v>9.8384999999999998</v>
      </c>
      <c r="D629" s="67">
        <f>9.8394 * CHOOSE(CONTROL!$C$22, $C$13, 100%, $E$13)</f>
        <v>9.8393999999999995</v>
      </c>
      <c r="E629" s="68">
        <f>11.4279 * CHOOSE(CONTROL!$C$22, $C$13, 100%, $E$13)</f>
        <v>11.427899999999999</v>
      </c>
      <c r="F629" s="68">
        <f>11.4279 * CHOOSE(CONTROL!$C$22, $C$13, 100%, $E$13)</f>
        <v>11.427899999999999</v>
      </c>
      <c r="G629" s="68">
        <f>11.4292 * CHOOSE(CONTROL!$C$22, $C$13, 100%, $E$13)</f>
        <v>11.4292</v>
      </c>
      <c r="H629" s="68">
        <f>18.5941* CHOOSE(CONTROL!$C$22, $C$13, 100%, $E$13)</f>
        <v>18.594100000000001</v>
      </c>
      <c r="I629" s="68">
        <f>18.5954 * CHOOSE(CONTROL!$C$22, $C$13, 100%, $E$13)</f>
        <v>18.595400000000001</v>
      </c>
      <c r="J629" s="68">
        <f>11.4279 * CHOOSE(CONTROL!$C$22, $C$13, 100%, $E$13)</f>
        <v>11.427899999999999</v>
      </c>
      <c r="K629" s="68">
        <f>11.4292 * CHOOSE(CONTROL!$C$22, $C$13, 100%, $E$13)</f>
        <v>11.4292</v>
      </c>
    </row>
    <row r="630" spans="1:11" ht="15">
      <c r="A630" s="13">
        <v>60299</v>
      </c>
      <c r="B630" s="67">
        <f>9.8354 * CHOOSE(CONTROL!$C$22, $C$13, 100%, $E$13)</f>
        <v>9.8353999999999999</v>
      </c>
      <c r="C630" s="67">
        <f>9.8354 * CHOOSE(CONTROL!$C$22, $C$13, 100%, $E$13)</f>
        <v>9.8353999999999999</v>
      </c>
      <c r="D630" s="67">
        <f>9.8364 * CHOOSE(CONTROL!$C$22, $C$13, 100%, $E$13)</f>
        <v>9.8363999999999994</v>
      </c>
      <c r="E630" s="68">
        <f>11.2301 * CHOOSE(CONTROL!$C$22, $C$13, 100%, $E$13)</f>
        <v>11.2301</v>
      </c>
      <c r="F630" s="68">
        <f>11.2301 * CHOOSE(CONTROL!$C$22, $C$13, 100%, $E$13)</f>
        <v>11.2301</v>
      </c>
      <c r="G630" s="68">
        <f>11.2314 * CHOOSE(CONTROL!$C$22, $C$13, 100%, $E$13)</f>
        <v>11.231400000000001</v>
      </c>
      <c r="H630" s="68">
        <f>18.6328* CHOOSE(CONTROL!$C$22, $C$13, 100%, $E$13)</f>
        <v>18.6328</v>
      </c>
      <c r="I630" s="68">
        <f>18.6341 * CHOOSE(CONTROL!$C$22, $C$13, 100%, $E$13)</f>
        <v>18.6341</v>
      </c>
      <c r="J630" s="68">
        <f>11.2301 * CHOOSE(CONTROL!$C$22, $C$13, 100%, $E$13)</f>
        <v>11.2301</v>
      </c>
      <c r="K630" s="68">
        <f>11.2314 * CHOOSE(CONTROL!$C$22, $C$13, 100%, $E$13)</f>
        <v>11.231400000000001</v>
      </c>
    </row>
    <row r="631" spans="1:11" ht="15">
      <c r="A631" s="13">
        <v>60327</v>
      </c>
      <c r="B631" s="67">
        <f>9.8324 * CHOOSE(CONTROL!$C$22, $C$13, 100%, $E$13)</f>
        <v>9.8323999999999998</v>
      </c>
      <c r="C631" s="67">
        <f>9.8324 * CHOOSE(CONTROL!$C$22, $C$13, 100%, $E$13)</f>
        <v>9.8323999999999998</v>
      </c>
      <c r="D631" s="67">
        <f>9.8334 * CHOOSE(CONTROL!$C$22, $C$13, 100%, $E$13)</f>
        <v>9.8333999999999993</v>
      </c>
      <c r="E631" s="68">
        <f>11.3823 * CHOOSE(CONTROL!$C$22, $C$13, 100%, $E$13)</f>
        <v>11.382300000000001</v>
      </c>
      <c r="F631" s="68">
        <f>11.3823 * CHOOSE(CONTROL!$C$22, $C$13, 100%, $E$13)</f>
        <v>11.382300000000001</v>
      </c>
      <c r="G631" s="68">
        <f>11.3835 * CHOOSE(CONTROL!$C$22, $C$13, 100%, $E$13)</f>
        <v>11.3835</v>
      </c>
      <c r="H631" s="68">
        <f>18.6716* CHOOSE(CONTROL!$C$22, $C$13, 100%, $E$13)</f>
        <v>18.671600000000002</v>
      </c>
      <c r="I631" s="68">
        <f>18.6729 * CHOOSE(CONTROL!$C$22, $C$13, 100%, $E$13)</f>
        <v>18.672899999999998</v>
      </c>
      <c r="J631" s="68">
        <f>11.3823 * CHOOSE(CONTROL!$C$22, $C$13, 100%, $E$13)</f>
        <v>11.382300000000001</v>
      </c>
      <c r="K631" s="68">
        <f>11.3835 * CHOOSE(CONTROL!$C$22, $C$13, 100%, $E$13)</f>
        <v>11.3835</v>
      </c>
    </row>
    <row r="632" spans="1:11" ht="15">
      <c r="A632" s="13">
        <v>60358</v>
      </c>
      <c r="B632" s="67">
        <f>9.835 * CHOOSE(CONTROL!$C$22, $C$13, 100%, $E$13)</f>
        <v>9.8350000000000009</v>
      </c>
      <c r="C632" s="67">
        <f>9.835 * CHOOSE(CONTROL!$C$22, $C$13, 100%, $E$13)</f>
        <v>9.8350000000000009</v>
      </c>
      <c r="D632" s="67">
        <f>9.8359 * CHOOSE(CONTROL!$C$22, $C$13, 100%, $E$13)</f>
        <v>9.8359000000000005</v>
      </c>
      <c r="E632" s="68">
        <f>11.5437 * CHOOSE(CONTROL!$C$22, $C$13, 100%, $E$13)</f>
        <v>11.543699999999999</v>
      </c>
      <c r="F632" s="68">
        <f>11.5437 * CHOOSE(CONTROL!$C$22, $C$13, 100%, $E$13)</f>
        <v>11.543699999999999</v>
      </c>
      <c r="G632" s="68">
        <f>11.545 * CHOOSE(CONTROL!$C$22, $C$13, 100%, $E$13)</f>
        <v>11.545</v>
      </c>
      <c r="H632" s="68">
        <f>18.7105* CHOOSE(CONTROL!$C$22, $C$13, 100%, $E$13)</f>
        <v>18.7105</v>
      </c>
      <c r="I632" s="68">
        <f>18.7118 * CHOOSE(CONTROL!$C$22, $C$13, 100%, $E$13)</f>
        <v>18.7118</v>
      </c>
      <c r="J632" s="68">
        <f>11.5437 * CHOOSE(CONTROL!$C$22, $C$13, 100%, $E$13)</f>
        <v>11.543699999999999</v>
      </c>
      <c r="K632" s="68">
        <f>11.545 * CHOOSE(CONTROL!$C$22, $C$13, 100%, $E$13)</f>
        <v>11.545</v>
      </c>
    </row>
    <row r="633" spans="1:11" ht="15">
      <c r="A633" s="13">
        <v>60388</v>
      </c>
      <c r="B633" s="67">
        <f>9.835 * CHOOSE(CONTROL!$C$22, $C$13, 100%, $E$13)</f>
        <v>9.8350000000000009</v>
      </c>
      <c r="C633" s="67">
        <f>9.835 * CHOOSE(CONTROL!$C$22, $C$13, 100%, $E$13)</f>
        <v>9.8350000000000009</v>
      </c>
      <c r="D633" s="67">
        <f>9.8376 * CHOOSE(CONTROL!$C$22, $C$13, 100%, $E$13)</f>
        <v>9.8376000000000001</v>
      </c>
      <c r="E633" s="68">
        <f>11.6059 * CHOOSE(CONTROL!$C$22, $C$13, 100%, $E$13)</f>
        <v>11.6059</v>
      </c>
      <c r="F633" s="68">
        <f>11.6059 * CHOOSE(CONTROL!$C$22, $C$13, 100%, $E$13)</f>
        <v>11.6059</v>
      </c>
      <c r="G633" s="68">
        <f>11.6091 * CHOOSE(CONTROL!$C$22, $C$13, 100%, $E$13)</f>
        <v>11.6091</v>
      </c>
      <c r="H633" s="68">
        <f>18.7495* CHOOSE(CONTROL!$C$22, $C$13, 100%, $E$13)</f>
        <v>18.749500000000001</v>
      </c>
      <c r="I633" s="68">
        <f>18.7528 * CHOOSE(CONTROL!$C$22, $C$13, 100%, $E$13)</f>
        <v>18.752800000000001</v>
      </c>
      <c r="J633" s="68">
        <f>11.6059 * CHOOSE(CONTROL!$C$22, $C$13, 100%, $E$13)</f>
        <v>11.6059</v>
      </c>
      <c r="K633" s="68">
        <f>11.6091 * CHOOSE(CONTROL!$C$22, $C$13, 100%, $E$13)</f>
        <v>11.6091</v>
      </c>
    </row>
    <row r="634" spans="1:11" ht="15">
      <c r="A634" s="13">
        <v>60419</v>
      </c>
      <c r="B634" s="67">
        <f>9.841 * CHOOSE(CONTROL!$C$22, $C$13, 100%, $E$13)</f>
        <v>9.8409999999999993</v>
      </c>
      <c r="C634" s="67">
        <f>9.841 * CHOOSE(CONTROL!$C$22, $C$13, 100%, $E$13)</f>
        <v>9.8409999999999993</v>
      </c>
      <c r="D634" s="67">
        <f>9.8437 * CHOOSE(CONTROL!$C$22, $C$13, 100%, $E$13)</f>
        <v>9.8437000000000001</v>
      </c>
      <c r="E634" s="68">
        <f>11.548 * CHOOSE(CONTROL!$C$22, $C$13, 100%, $E$13)</f>
        <v>11.548</v>
      </c>
      <c r="F634" s="68">
        <f>11.548 * CHOOSE(CONTROL!$C$22, $C$13, 100%, $E$13)</f>
        <v>11.548</v>
      </c>
      <c r="G634" s="68">
        <f>11.5512 * CHOOSE(CONTROL!$C$22, $C$13, 100%, $E$13)</f>
        <v>11.5512</v>
      </c>
      <c r="H634" s="68">
        <f>18.7886* CHOOSE(CONTROL!$C$22, $C$13, 100%, $E$13)</f>
        <v>18.788599999999999</v>
      </c>
      <c r="I634" s="68">
        <f>18.7918 * CHOOSE(CONTROL!$C$22, $C$13, 100%, $E$13)</f>
        <v>18.791799999999999</v>
      </c>
      <c r="J634" s="68">
        <f>11.548 * CHOOSE(CONTROL!$C$22, $C$13, 100%, $E$13)</f>
        <v>11.548</v>
      </c>
      <c r="K634" s="68">
        <f>11.5512 * CHOOSE(CONTROL!$C$22, $C$13, 100%, $E$13)</f>
        <v>11.5512</v>
      </c>
    </row>
    <row r="635" spans="1:11" ht="15">
      <c r="A635" s="13">
        <v>60449</v>
      </c>
      <c r="B635" s="67">
        <f>9.9932 * CHOOSE(CONTROL!$C$22, $C$13, 100%, $E$13)</f>
        <v>9.9931999999999999</v>
      </c>
      <c r="C635" s="67">
        <f>9.9932 * CHOOSE(CONTROL!$C$22, $C$13, 100%, $E$13)</f>
        <v>9.9931999999999999</v>
      </c>
      <c r="D635" s="67">
        <f>9.9958 * CHOOSE(CONTROL!$C$22, $C$13, 100%, $E$13)</f>
        <v>9.9957999999999991</v>
      </c>
      <c r="E635" s="68">
        <f>11.735 * CHOOSE(CONTROL!$C$22, $C$13, 100%, $E$13)</f>
        <v>11.734999999999999</v>
      </c>
      <c r="F635" s="68">
        <f>11.735 * CHOOSE(CONTROL!$C$22, $C$13, 100%, $E$13)</f>
        <v>11.734999999999999</v>
      </c>
      <c r="G635" s="68">
        <f>11.7382 * CHOOSE(CONTROL!$C$22, $C$13, 100%, $E$13)</f>
        <v>11.738200000000001</v>
      </c>
      <c r="H635" s="68">
        <f>18.8277* CHOOSE(CONTROL!$C$22, $C$13, 100%, $E$13)</f>
        <v>18.8277</v>
      </c>
      <c r="I635" s="68">
        <f>18.831 * CHOOSE(CONTROL!$C$22, $C$13, 100%, $E$13)</f>
        <v>18.831</v>
      </c>
      <c r="J635" s="68">
        <f>11.735 * CHOOSE(CONTROL!$C$22, $C$13, 100%, $E$13)</f>
        <v>11.734999999999999</v>
      </c>
      <c r="K635" s="68">
        <f>11.7382 * CHOOSE(CONTROL!$C$22, $C$13, 100%, $E$13)</f>
        <v>11.738200000000001</v>
      </c>
    </row>
    <row r="636" spans="1:11" ht="15">
      <c r="A636" s="13">
        <v>60480</v>
      </c>
      <c r="B636" s="67">
        <f>9.9999 * CHOOSE(CONTROL!$C$22, $C$13, 100%, $E$13)</f>
        <v>9.9999000000000002</v>
      </c>
      <c r="C636" s="67">
        <f>9.9999 * CHOOSE(CONTROL!$C$22, $C$13, 100%, $E$13)</f>
        <v>9.9999000000000002</v>
      </c>
      <c r="D636" s="67">
        <f>10.0025 * CHOOSE(CONTROL!$C$22, $C$13, 100%, $E$13)</f>
        <v>10.0025</v>
      </c>
      <c r="E636" s="68">
        <f>11.5532 * CHOOSE(CONTROL!$C$22, $C$13, 100%, $E$13)</f>
        <v>11.5532</v>
      </c>
      <c r="F636" s="68">
        <f>11.5532 * CHOOSE(CONTROL!$C$22, $C$13, 100%, $E$13)</f>
        <v>11.5532</v>
      </c>
      <c r="G636" s="68">
        <f>11.5565 * CHOOSE(CONTROL!$C$22, $C$13, 100%, $E$13)</f>
        <v>11.5565</v>
      </c>
      <c r="H636" s="68">
        <f>18.867* CHOOSE(CONTROL!$C$22, $C$13, 100%, $E$13)</f>
        <v>18.867000000000001</v>
      </c>
      <c r="I636" s="68">
        <f>18.8702 * CHOOSE(CONTROL!$C$22, $C$13, 100%, $E$13)</f>
        <v>18.870200000000001</v>
      </c>
      <c r="J636" s="68">
        <f>11.5532 * CHOOSE(CONTROL!$C$22, $C$13, 100%, $E$13)</f>
        <v>11.5532</v>
      </c>
      <c r="K636" s="68">
        <f>11.5565 * CHOOSE(CONTROL!$C$22, $C$13, 100%, $E$13)</f>
        <v>11.5565</v>
      </c>
    </row>
    <row r="637" spans="1:11" ht="15">
      <c r="A637" s="13">
        <v>60511</v>
      </c>
      <c r="B637" s="67">
        <f>9.9968 * CHOOSE(CONTROL!$C$22, $C$13, 100%, $E$13)</f>
        <v>9.9968000000000004</v>
      </c>
      <c r="C637" s="67">
        <f>9.9968 * CHOOSE(CONTROL!$C$22, $C$13, 100%, $E$13)</f>
        <v>9.9968000000000004</v>
      </c>
      <c r="D637" s="67">
        <f>9.9995 * CHOOSE(CONTROL!$C$22, $C$13, 100%, $E$13)</f>
        <v>9.9994999999999994</v>
      </c>
      <c r="E637" s="68">
        <f>11.5304 * CHOOSE(CONTROL!$C$22, $C$13, 100%, $E$13)</f>
        <v>11.5304</v>
      </c>
      <c r="F637" s="68">
        <f>11.5304 * CHOOSE(CONTROL!$C$22, $C$13, 100%, $E$13)</f>
        <v>11.5304</v>
      </c>
      <c r="G637" s="68">
        <f>11.5336 * CHOOSE(CONTROL!$C$22, $C$13, 100%, $E$13)</f>
        <v>11.5336</v>
      </c>
      <c r="H637" s="68">
        <f>18.9063* CHOOSE(CONTROL!$C$22, $C$13, 100%, $E$13)</f>
        <v>18.906300000000002</v>
      </c>
      <c r="I637" s="68">
        <f>18.9095 * CHOOSE(CONTROL!$C$22, $C$13, 100%, $E$13)</f>
        <v>18.909500000000001</v>
      </c>
      <c r="J637" s="68">
        <f>11.5304 * CHOOSE(CONTROL!$C$22, $C$13, 100%, $E$13)</f>
        <v>11.5304</v>
      </c>
      <c r="K637" s="68">
        <f>11.5336 * CHOOSE(CONTROL!$C$22, $C$13, 100%, $E$13)</f>
        <v>11.5336</v>
      </c>
    </row>
    <row r="638" spans="1:11" ht="15">
      <c r="A638" s="13">
        <v>60541</v>
      </c>
      <c r="B638" s="67">
        <f>10.0114 * CHOOSE(CONTROL!$C$22, $C$13, 100%, $E$13)</f>
        <v>10.0114</v>
      </c>
      <c r="C638" s="67">
        <f>10.0114 * CHOOSE(CONTROL!$C$22, $C$13, 100%, $E$13)</f>
        <v>10.0114</v>
      </c>
      <c r="D638" s="67">
        <f>10.0124 * CHOOSE(CONTROL!$C$22, $C$13, 100%, $E$13)</f>
        <v>10.0124</v>
      </c>
      <c r="E638" s="68">
        <f>11.5998 * CHOOSE(CONTROL!$C$22, $C$13, 100%, $E$13)</f>
        <v>11.5998</v>
      </c>
      <c r="F638" s="68">
        <f>11.5998 * CHOOSE(CONTROL!$C$22, $C$13, 100%, $E$13)</f>
        <v>11.5998</v>
      </c>
      <c r="G638" s="68">
        <f>11.6011 * CHOOSE(CONTROL!$C$22, $C$13, 100%, $E$13)</f>
        <v>11.601100000000001</v>
      </c>
      <c r="H638" s="68">
        <f>18.9456* CHOOSE(CONTROL!$C$22, $C$13, 100%, $E$13)</f>
        <v>18.945599999999999</v>
      </c>
      <c r="I638" s="68">
        <f>18.9469 * CHOOSE(CONTROL!$C$22, $C$13, 100%, $E$13)</f>
        <v>18.946899999999999</v>
      </c>
      <c r="J638" s="68">
        <f>11.5998 * CHOOSE(CONTROL!$C$22, $C$13, 100%, $E$13)</f>
        <v>11.5998</v>
      </c>
      <c r="K638" s="68">
        <f>11.6011 * CHOOSE(CONTROL!$C$22, $C$13, 100%, $E$13)</f>
        <v>11.601100000000001</v>
      </c>
    </row>
    <row r="639" spans="1:11" ht="15">
      <c r="A639" s="13">
        <v>60572</v>
      </c>
      <c r="B639" s="67">
        <f>10.0144 * CHOOSE(CONTROL!$C$22, $C$13, 100%, $E$13)</f>
        <v>10.0144</v>
      </c>
      <c r="C639" s="67">
        <f>10.0144 * CHOOSE(CONTROL!$C$22, $C$13, 100%, $E$13)</f>
        <v>10.0144</v>
      </c>
      <c r="D639" s="67">
        <f>10.0154 * CHOOSE(CONTROL!$C$22, $C$13, 100%, $E$13)</f>
        <v>10.0154</v>
      </c>
      <c r="E639" s="68">
        <f>11.6434 * CHOOSE(CONTROL!$C$22, $C$13, 100%, $E$13)</f>
        <v>11.6434</v>
      </c>
      <c r="F639" s="68">
        <f>11.6434 * CHOOSE(CONTROL!$C$22, $C$13, 100%, $E$13)</f>
        <v>11.6434</v>
      </c>
      <c r="G639" s="68">
        <f>11.6446 * CHOOSE(CONTROL!$C$22, $C$13, 100%, $E$13)</f>
        <v>11.644600000000001</v>
      </c>
      <c r="H639" s="68">
        <f>18.9851* CHOOSE(CONTROL!$C$22, $C$13, 100%, $E$13)</f>
        <v>18.985099999999999</v>
      </c>
      <c r="I639" s="68">
        <f>18.9864 * CHOOSE(CONTROL!$C$22, $C$13, 100%, $E$13)</f>
        <v>18.9864</v>
      </c>
      <c r="J639" s="68">
        <f>11.6434 * CHOOSE(CONTROL!$C$22, $C$13, 100%, $E$13)</f>
        <v>11.6434</v>
      </c>
      <c r="K639" s="68">
        <f>11.6446 * CHOOSE(CONTROL!$C$22, $C$13, 100%, $E$13)</f>
        <v>11.644600000000001</v>
      </c>
    </row>
    <row r="640" spans="1:11" ht="15">
      <c r="A640" s="13">
        <v>60602</v>
      </c>
      <c r="B640" s="67">
        <f>10.0144 * CHOOSE(CONTROL!$C$22, $C$13, 100%, $E$13)</f>
        <v>10.0144</v>
      </c>
      <c r="C640" s="67">
        <f>10.0144 * CHOOSE(CONTROL!$C$22, $C$13, 100%, $E$13)</f>
        <v>10.0144</v>
      </c>
      <c r="D640" s="67">
        <f>10.0154 * CHOOSE(CONTROL!$C$22, $C$13, 100%, $E$13)</f>
        <v>10.0154</v>
      </c>
      <c r="E640" s="68">
        <f>11.5398 * CHOOSE(CONTROL!$C$22, $C$13, 100%, $E$13)</f>
        <v>11.5398</v>
      </c>
      <c r="F640" s="68">
        <f>11.5398 * CHOOSE(CONTROL!$C$22, $C$13, 100%, $E$13)</f>
        <v>11.5398</v>
      </c>
      <c r="G640" s="68">
        <f>11.5411 * CHOOSE(CONTROL!$C$22, $C$13, 100%, $E$13)</f>
        <v>11.5411</v>
      </c>
      <c r="H640" s="68">
        <f>19.0247* CHOOSE(CONTROL!$C$22, $C$13, 100%, $E$13)</f>
        <v>19.024699999999999</v>
      </c>
      <c r="I640" s="68">
        <f>19.026 * CHOOSE(CONTROL!$C$22, $C$13, 100%, $E$13)</f>
        <v>19.026</v>
      </c>
      <c r="J640" s="68">
        <f>11.5398 * CHOOSE(CONTROL!$C$22, $C$13, 100%, $E$13)</f>
        <v>11.5398</v>
      </c>
      <c r="K640" s="68">
        <f>11.5411 * CHOOSE(CONTROL!$C$22, $C$13, 100%, $E$13)</f>
        <v>11.5411</v>
      </c>
    </row>
    <row r="641" spans="1:11" ht="15">
      <c r="A641" s="13">
        <v>60633</v>
      </c>
      <c r="B641" s="67">
        <f>10.074 * CHOOSE(CONTROL!$C$22, $C$13, 100%, $E$13)</f>
        <v>10.074</v>
      </c>
      <c r="C641" s="67">
        <f>10.074 * CHOOSE(CONTROL!$C$22, $C$13, 100%, $E$13)</f>
        <v>10.074</v>
      </c>
      <c r="D641" s="67">
        <f>10.075 * CHOOSE(CONTROL!$C$22, $C$13, 100%, $E$13)</f>
        <v>10.074999999999999</v>
      </c>
      <c r="E641" s="68">
        <f>11.6826 * CHOOSE(CONTROL!$C$22, $C$13, 100%, $E$13)</f>
        <v>11.682600000000001</v>
      </c>
      <c r="F641" s="68">
        <f>11.6826 * CHOOSE(CONTROL!$C$22, $C$13, 100%, $E$13)</f>
        <v>11.682600000000001</v>
      </c>
      <c r="G641" s="68">
        <f>11.6839 * CHOOSE(CONTROL!$C$22, $C$13, 100%, $E$13)</f>
        <v>11.6839</v>
      </c>
      <c r="H641" s="68">
        <f>19.0211* CHOOSE(CONTROL!$C$22, $C$13, 100%, $E$13)</f>
        <v>19.021100000000001</v>
      </c>
      <c r="I641" s="68">
        <f>19.0224 * CHOOSE(CONTROL!$C$22, $C$13, 100%, $E$13)</f>
        <v>19.022400000000001</v>
      </c>
      <c r="J641" s="68">
        <f>11.6826 * CHOOSE(CONTROL!$C$22, $C$13, 100%, $E$13)</f>
        <v>11.682600000000001</v>
      </c>
      <c r="K641" s="68">
        <f>11.6839 * CHOOSE(CONTROL!$C$22, $C$13, 100%, $E$13)</f>
        <v>11.6839</v>
      </c>
    </row>
    <row r="642" spans="1:11" ht="15">
      <c r="A642" s="13">
        <v>60664</v>
      </c>
      <c r="B642" s="67">
        <f>10.071 * CHOOSE(CONTROL!$C$22, $C$13, 100%, $E$13)</f>
        <v>10.071</v>
      </c>
      <c r="C642" s="67">
        <f>10.071 * CHOOSE(CONTROL!$C$22, $C$13, 100%, $E$13)</f>
        <v>10.071</v>
      </c>
      <c r="D642" s="67">
        <f>10.072 * CHOOSE(CONTROL!$C$22, $C$13, 100%, $E$13)</f>
        <v>10.071999999999999</v>
      </c>
      <c r="E642" s="68">
        <f>11.4799 * CHOOSE(CONTROL!$C$22, $C$13, 100%, $E$13)</f>
        <v>11.479900000000001</v>
      </c>
      <c r="F642" s="68">
        <f>11.4799 * CHOOSE(CONTROL!$C$22, $C$13, 100%, $E$13)</f>
        <v>11.479900000000001</v>
      </c>
      <c r="G642" s="68">
        <f>11.4812 * CHOOSE(CONTROL!$C$22, $C$13, 100%, $E$13)</f>
        <v>11.481199999999999</v>
      </c>
      <c r="H642" s="68">
        <f>19.0607* CHOOSE(CONTROL!$C$22, $C$13, 100%, $E$13)</f>
        <v>19.060700000000001</v>
      </c>
      <c r="I642" s="68">
        <f>19.062 * CHOOSE(CONTROL!$C$22, $C$13, 100%, $E$13)</f>
        <v>19.062000000000001</v>
      </c>
      <c r="J642" s="68">
        <f>11.4799 * CHOOSE(CONTROL!$C$22, $C$13, 100%, $E$13)</f>
        <v>11.479900000000001</v>
      </c>
      <c r="K642" s="68">
        <f>11.4812 * CHOOSE(CONTROL!$C$22, $C$13, 100%, $E$13)</f>
        <v>11.481199999999999</v>
      </c>
    </row>
    <row r="643" spans="1:11" ht="15">
      <c r="A643" s="13">
        <v>60692</v>
      </c>
      <c r="B643" s="67">
        <f>10.068 * CHOOSE(CONTROL!$C$22, $C$13, 100%, $E$13)</f>
        <v>10.068</v>
      </c>
      <c r="C643" s="67">
        <f>10.068 * CHOOSE(CONTROL!$C$22, $C$13, 100%, $E$13)</f>
        <v>10.068</v>
      </c>
      <c r="D643" s="67">
        <f>10.0689 * CHOOSE(CONTROL!$C$22, $C$13, 100%, $E$13)</f>
        <v>10.068899999999999</v>
      </c>
      <c r="E643" s="68">
        <f>11.6359 * CHOOSE(CONTROL!$C$22, $C$13, 100%, $E$13)</f>
        <v>11.635899999999999</v>
      </c>
      <c r="F643" s="68">
        <f>11.6359 * CHOOSE(CONTROL!$C$22, $C$13, 100%, $E$13)</f>
        <v>11.635899999999999</v>
      </c>
      <c r="G643" s="68">
        <f>11.6372 * CHOOSE(CONTROL!$C$22, $C$13, 100%, $E$13)</f>
        <v>11.6372</v>
      </c>
      <c r="H643" s="68">
        <f>19.1004* CHOOSE(CONTROL!$C$22, $C$13, 100%, $E$13)</f>
        <v>19.1004</v>
      </c>
      <c r="I643" s="68">
        <f>19.1017 * CHOOSE(CONTROL!$C$22, $C$13, 100%, $E$13)</f>
        <v>19.101700000000001</v>
      </c>
      <c r="J643" s="68">
        <f>11.6359 * CHOOSE(CONTROL!$C$22, $C$13, 100%, $E$13)</f>
        <v>11.635899999999999</v>
      </c>
      <c r="K643" s="68">
        <f>11.6372 * CHOOSE(CONTROL!$C$22, $C$13, 100%, $E$13)</f>
        <v>11.6372</v>
      </c>
    </row>
    <row r="644" spans="1:11" ht="15">
      <c r="A644" s="13">
        <v>60723</v>
      </c>
      <c r="B644" s="67">
        <f>10.0707 * CHOOSE(CONTROL!$C$22, $C$13, 100%, $E$13)</f>
        <v>10.0707</v>
      </c>
      <c r="C644" s="67">
        <f>10.0707 * CHOOSE(CONTROL!$C$22, $C$13, 100%, $E$13)</f>
        <v>10.0707</v>
      </c>
      <c r="D644" s="67">
        <f>10.0717 * CHOOSE(CONTROL!$C$22, $C$13, 100%, $E$13)</f>
        <v>10.0717</v>
      </c>
      <c r="E644" s="68">
        <f>11.8016 * CHOOSE(CONTROL!$C$22, $C$13, 100%, $E$13)</f>
        <v>11.801600000000001</v>
      </c>
      <c r="F644" s="68">
        <f>11.8016 * CHOOSE(CONTROL!$C$22, $C$13, 100%, $E$13)</f>
        <v>11.801600000000001</v>
      </c>
      <c r="G644" s="68">
        <f>11.8029 * CHOOSE(CONTROL!$C$22, $C$13, 100%, $E$13)</f>
        <v>11.802899999999999</v>
      </c>
      <c r="H644" s="68">
        <f>19.1402* CHOOSE(CONTROL!$C$22, $C$13, 100%, $E$13)</f>
        <v>19.1402</v>
      </c>
      <c r="I644" s="68">
        <f>19.1415 * CHOOSE(CONTROL!$C$22, $C$13, 100%, $E$13)</f>
        <v>19.141500000000001</v>
      </c>
      <c r="J644" s="68">
        <f>11.8016 * CHOOSE(CONTROL!$C$22, $C$13, 100%, $E$13)</f>
        <v>11.801600000000001</v>
      </c>
      <c r="K644" s="68">
        <f>11.8029 * CHOOSE(CONTROL!$C$22, $C$13, 100%, $E$13)</f>
        <v>11.802899999999999</v>
      </c>
    </row>
    <row r="645" spans="1:11" ht="15">
      <c r="A645" s="13">
        <v>60753</v>
      </c>
      <c r="B645" s="67">
        <f>10.0707 * CHOOSE(CONTROL!$C$22, $C$13, 100%, $E$13)</f>
        <v>10.0707</v>
      </c>
      <c r="C645" s="67">
        <f>10.0707 * CHOOSE(CONTROL!$C$22, $C$13, 100%, $E$13)</f>
        <v>10.0707</v>
      </c>
      <c r="D645" s="67">
        <f>10.0734 * CHOOSE(CONTROL!$C$22, $C$13, 100%, $E$13)</f>
        <v>10.073399999999999</v>
      </c>
      <c r="E645" s="68">
        <f>11.8653 * CHOOSE(CONTROL!$C$22, $C$13, 100%, $E$13)</f>
        <v>11.8653</v>
      </c>
      <c r="F645" s="68">
        <f>11.8653 * CHOOSE(CONTROL!$C$22, $C$13, 100%, $E$13)</f>
        <v>11.8653</v>
      </c>
      <c r="G645" s="68">
        <f>11.8685 * CHOOSE(CONTROL!$C$22, $C$13, 100%, $E$13)</f>
        <v>11.868499999999999</v>
      </c>
      <c r="H645" s="68">
        <f>19.1801* CHOOSE(CONTROL!$C$22, $C$13, 100%, $E$13)</f>
        <v>19.180099999999999</v>
      </c>
      <c r="I645" s="68">
        <f>19.1834 * CHOOSE(CONTROL!$C$22, $C$13, 100%, $E$13)</f>
        <v>19.183399999999999</v>
      </c>
      <c r="J645" s="68">
        <f>11.8653 * CHOOSE(CONTROL!$C$22, $C$13, 100%, $E$13)</f>
        <v>11.8653</v>
      </c>
      <c r="K645" s="68">
        <f>11.8685 * CHOOSE(CONTROL!$C$22, $C$13, 100%, $E$13)</f>
        <v>11.868499999999999</v>
      </c>
    </row>
    <row r="646" spans="1:11" ht="15">
      <c r="A646" s="13">
        <v>60784</v>
      </c>
      <c r="B646" s="67">
        <f>10.0768 * CHOOSE(CONTROL!$C$22, $C$13, 100%, $E$13)</f>
        <v>10.0768</v>
      </c>
      <c r="C646" s="67">
        <f>10.0768 * CHOOSE(CONTROL!$C$22, $C$13, 100%, $E$13)</f>
        <v>10.0768</v>
      </c>
      <c r="D646" s="67">
        <f>10.0794 * CHOOSE(CONTROL!$C$22, $C$13, 100%, $E$13)</f>
        <v>10.0794</v>
      </c>
      <c r="E646" s="68">
        <f>11.8058 * CHOOSE(CONTROL!$C$22, $C$13, 100%, $E$13)</f>
        <v>11.8058</v>
      </c>
      <c r="F646" s="68">
        <f>11.8058 * CHOOSE(CONTROL!$C$22, $C$13, 100%, $E$13)</f>
        <v>11.8058</v>
      </c>
      <c r="G646" s="68">
        <f>11.8091 * CHOOSE(CONTROL!$C$22, $C$13, 100%, $E$13)</f>
        <v>11.809100000000001</v>
      </c>
      <c r="H646" s="68">
        <f>19.2201* CHOOSE(CONTROL!$C$22, $C$13, 100%, $E$13)</f>
        <v>19.220099999999999</v>
      </c>
      <c r="I646" s="68">
        <f>19.2233 * CHOOSE(CONTROL!$C$22, $C$13, 100%, $E$13)</f>
        <v>19.223299999999998</v>
      </c>
      <c r="J646" s="68">
        <f>11.8058 * CHOOSE(CONTROL!$C$22, $C$13, 100%, $E$13)</f>
        <v>11.8058</v>
      </c>
      <c r="K646" s="68">
        <f>11.8091 * CHOOSE(CONTROL!$C$22, $C$13, 100%, $E$13)</f>
        <v>11.809100000000001</v>
      </c>
    </row>
    <row r="647" spans="1:11" ht="15">
      <c r="A647" s="13">
        <v>60814</v>
      </c>
      <c r="B647" s="67">
        <f>10.2324 * CHOOSE(CONTROL!$C$22, $C$13, 100%, $E$13)</f>
        <v>10.2324</v>
      </c>
      <c r="C647" s="67">
        <f>10.2324 * CHOOSE(CONTROL!$C$22, $C$13, 100%, $E$13)</f>
        <v>10.2324</v>
      </c>
      <c r="D647" s="67">
        <f>10.235 * CHOOSE(CONTROL!$C$22, $C$13, 100%, $E$13)</f>
        <v>10.234999999999999</v>
      </c>
      <c r="E647" s="68">
        <f>11.9967 * CHOOSE(CONTROL!$C$22, $C$13, 100%, $E$13)</f>
        <v>11.996700000000001</v>
      </c>
      <c r="F647" s="68">
        <f>11.9967 * CHOOSE(CONTROL!$C$22, $C$13, 100%, $E$13)</f>
        <v>11.996700000000001</v>
      </c>
      <c r="G647" s="68">
        <f>12 * CHOOSE(CONTROL!$C$22, $C$13, 100%, $E$13)</f>
        <v>12</v>
      </c>
      <c r="H647" s="68">
        <f>19.2601* CHOOSE(CONTROL!$C$22, $C$13, 100%, $E$13)</f>
        <v>19.260100000000001</v>
      </c>
      <c r="I647" s="68">
        <f>19.2634 * CHOOSE(CONTROL!$C$22, $C$13, 100%, $E$13)</f>
        <v>19.263400000000001</v>
      </c>
      <c r="J647" s="68">
        <f>11.9967 * CHOOSE(CONTROL!$C$22, $C$13, 100%, $E$13)</f>
        <v>11.996700000000001</v>
      </c>
      <c r="K647" s="68">
        <f>12 * CHOOSE(CONTROL!$C$22, $C$13, 100%, $E$13)</f>
        <v>12</v>
      </c>
    </row>
    <row r="648" spans="1:11" ht="15">
      <c r="A648" s="13">
        <v>60845</v>
      </c>
      <c r="B648" s="67">
        <f>10.2391 * CHOOSE(CONTROL!$C$22, $C$13, 100%, $E$13)</f>
        <v>10.239100000000001</v>
      </c>
      <c r="C648" s="67">
        <f>10.2391 * CHOOSE(CONTROL!$C$22, $C$13, 100%, $E$13)</f>
        <v>10.239100000000001</v>
      </c>
      <c r="D648" s="67">
        <f>10.2417 * CHOOSE(CONTROL!$C$22, $C$13, 100%, $E$13)</f>
        <v>10.2417</v>
      </c>
      <c r="E648" s="68">
        <f>11.8103 * CHOOSE(CONTROL!$C$22, $C$13, 100%, $E$13)</f>
        <v>11.8103</v>
      </c>
      <c r="F648" s="68">
        <f>11.8103 * CHOOSE(CONTROL!$C$22, $C$13, 100%, $E$13)</f>
        <v>11.8103</v>
      </c>
      <c r="G648" s="68">
        <f>11.8135 * CHOOSE(CONTROL!$C$22, $C$13, 100%, $E$13)</f>
        <v>11.813499999999999</v>
      </c>
      <c r="H648" s="68">
        <f>19.3002* CHOOSE(CONTROL!$C$22, $C$13, 100%, $E$13)</f>
        <v>19.3002</v>
      </c>
      <c r="I648" s="68">
        <f>19.3035 * CHOOSE(CONTROL!$C$22, $C$13, 100%, $E$13)</f>
        <v>19.3035</v>
      </c>
      <c r="J648" s="68">
        <f>11.8103 * CHOOSE(CONTROL!$C$22, $C$13, 100%, $E$13)</f>
        <v>11.8103</v>
      </c>
      <c r="K648" s="68">
        <f>11.8135 * CHOOSE(CONTROL!$C$22, $C$13, 100%, $E$13)</f>
        <v>11.813499999999999</v>
      </c>
    </row>
    <row r="649" spans="1:11" ht="15">
      <c r="A649" s="13">
        <v>60876</v>
      </c>
      <c r="B649" s="67">
        <f>10.236 * CHOOSE(CONTROL!$C$22, $C$13, 100%, $E$13)</f>
        <v>10.236000000000001</v>
      </c>
      <c r="C649" s="67">
        <f>10.236 * CHOOSE(CONTROL!$C$22, $C$13, 100%, $E$13)</f>
        <v>10.236000000000001</v>
      </c>
      <c r="D649" s="67">
        <f>10.2386 * CHOOSE(CONTROL!$C$22, $C$13, 100%, $E$13)</f>
        <v>10.2386</v>
      </c>
      <c r="E649" s="68">
        <f>11.7869 * CHOOSE(CONTROL!$C$22, $C$13, 100%, $E$13)</f>
        <v>11.786899999999999</v>
      </c>
      <c r="F649" s="68">
        <f>11.7869 * CHOOSE(CONTROL!$C$22, $C$13, 100%, $E$13)</f>
        <v>11.786899999999999</v>
      </c>
      <c r="G649" s="68">
        <f>11.7902 * CHOOSE(CONTROL!$C$22, $C$13, 100%, $E$13)</f>
        <v>11.7902</v>
      </c>
      <c r="H649" s="68">
        <f>19.3404* CHOOSE(CONTROL!$C$22, $C$13, 100%, $E$13)</f>
        <v>19.340399999999999</v>
      </c>
      <c r="I649" s="68">
        <f>19.3437 * CHOOSE(CONTROL!$C$22, $C$13, 100%, $E$13)</f>
        <v>19.343699999999998</v>
      </c>
      <c r="J649" s="68">
        <f>11.7869 * CHOOSE(CONTROL!$C$22, $C$13, 100%, $E$13)</f>
        <v>11.786899999999999</v>
      </c>
      <c r="K649" s="68">
        <f>11.7902 * CHOOSE(CONTROL!$C$22, $C$13, 100%, $E$13)</f>
        <v>11.7902</v>
      </c>
    </row>
    <row r="650" spans="1:11" ht="15">
      <c r="A650" s="13">
        <v>60906</v>
      </c>
      <c r="B650" s="67">
        <f>10.2513 * CHOOSE(CONTROL!$C$22, $C$13, 100%, $E$13)</f>
        <v>10.251300000000001</v>
      </c>
      <c r="C650" s="67">
        <f>10.2513 * CHOOSE(CONTROL!$C$22, $C$13, 100%, $E$13)</f>
        <v>10.251300000000001</v>
      </c>
      <c r="D650" s="67">
        <f>10.2523 * CHOOSE(CONTROL!$C$22, $C$13, 100%, $E$13)</f>
        <v>10.2523</v>
      </c>
      <c r="E650" s="68">
        <f>11.8585 * CHOOSE(CONTROL!$C$22, $C$13, 100%, $E$13)</f>
        <v>11.858499999999999</v>
      </c>
      <c r="F650" s="68">
        <f>11.8585 * CHOOSE(CONTROL!$C$22, $C$13, 100%, $E$13)</f>
        <v>11.858499999999999</v>
      </c>
      <c r="G650" s="68">
        <f>11.8597 * CHOOSE(CONTROL!$C$22, $C$13, 100%, $E$13)</f>
        <v>11.8597</v>
      </c>
      <c r="H650" s="68">
        <f>19.3807* CHOOSE(CONTROL!$C$22, $C$13, 100%, $E$13)</f>
        <v>19.380700000000001</v>
      </c>
      <c r="I650" s="68">
        <f>19.382 * CHOOSE(CONTROL!$C$22, $C$13, 100%, $E$13)</f>
        <v>19.382000000000001</v>
      </c>
      <c r="J650" s="68">
        <f>11.8585 * CHOOSE(CONTROL!$C$22, $C$13, 100%, $E$13)</f>
        <v>11.858499999999999</v>
      </c>
      <c r="K650" s="68">
        <f>11.8597 * CHOOSE(CONTROL!$C$22, $C$13, 100%, $E$13)</f>
        <v>11.8597</v>
      </c>
    </row>
    <row r="651" spans="1:11" ht="15">
      <c r="A651" s="13">
        <v>60937</v>
      </c>
      <c r="B651" s="67">
        <f>10.2544 * CHOOSE(CONTROL!$C$22, $C$13, 100%, $E$13)</f>
        <v>10.2544</v>
      </c>
      <c r="C651" s="67">
        <f>10.2544 * CHOOSE(CONTROL!$C$22, $C$13, 100%, $E$13)</f>
        <v>10.2544</v>
      </c>
      <c r="D651" s="67">
        <f>10.2553 * CHOOSE(CONTROL!$C$22, $C$13, 100%, $E$13)</f>
        <v>10.2553</v>
      </c>
      <c r="E651" s="68">
        <f>11.903 * CHOOSE(CONTROL!$C$22, $C$13, 100%, $E$13)</f>
        <v>11.903</v>
      </c>
      <c r="F651" s="68">
        <f>11.903 * CHOOSE(CONTROL!$C$22, $C$13, 100%, $E$13)</f>
        <v>11.903</v>
      </c>
      <c r="G651" s="68">
        <f>11.9043 * CHOOSE(CONTROL!$C$22, $C$13, 100%, $E$13)</f>
        <v>11.904299999999999</v>
      </c>
      <c r="H651" s="68">
        <f>19.4211* CHOOSE(CONTROL!$C$22, $C$13, 100%, $E$13)</f>
        <v>19.421099999999999</v>
      </c>
      <c r="I651" s="68">
        <f>19.4224 * CHOOSE(CONTROL!$C$22, $C$13, 100%, $E$13)</f>
        <v>19.4224</v>
      </c>
      <c r="J651" s="68">
        <f>11.903 * CHOOSE(CONTROL!$C$22, $C$13, 100%, $E$13)</f>
        <v>11.903</v>
      </c>
      <c r="K651" s="68">
        <f>11.9043 * CHOOSE(CONTROL!$C$22, $C$13, 100%, $E$13)</f>
        <v>11.904299999999999</v>
      </c>
    </row>
    <row r="652" spans="1:11" ht="15">
      <c r="A652" s="13">
        <v>60967</v>
      </c>
      <c r="B652" s="67">
        <f>10.2544 * CHOOSE(CONTROL!$C$22, $C$13, 100%, $E$13)</f>
        <v>10.2544</v>
      </c>
      <c r="C652" s="67">
        <f>10.2544 * CHOOSE(CONTROL!$C$22, $C$13, 100%, $E$13)</f>
        <v>10.2544</v>
      </c>
      <c r="D652" s="67">
        <f>10.2553 * CHOOSE(CONTROL!$C$22, $C$13, 100%, $E$13)</f>
        <v>10.2553</v>
      </c>
      <c r="E652" s="68">
        <f>11.7969 * CHOOSE(CONTROL!$C$22, $C$13, 100%, $E$13)</f>
        <v>11.796900000000001</v>
      </c>
      <c r="F652" s="68">
        <f>11.7969 * CHOOSE(CONTROL!$C$22, $C$13, 100%, $E$13)</f>
        <v>11.796900000000001</v>
      </c>
      <c r="G652" s="68">
        <f>11.7982 * CHOOSE(CONTROL!$C$22, $C$13, 100%, $E$13)</f>
        <v>11.7982</v>
      </c>
      <c r="H652" s="68">
        <f>19.4616* CHOOSE(CONTROL!$C$22, $C$13, 100%, $E$13)</f>
        <v>19.461600000000001</v>
      </c>
      <c r="I652" s="68">
        <f>19.4629 * CHOOSE(CONTROL!$C$22, $C$13, 100%, $E$13)</f>
        <v>19.462900000000001</v>
      </c>
      <c r="J652" s="68">
        <f>11.7969 * CHOOSE(CONTROL!$C$22, $C$13, 100%, $E$13)</f>
        <v>11.796900000000001</v>
      </c>
      <c r="K652" s="68">
        <f>11.7982 * CHOOSE(CONTROL!$C$22, $C$13, 100%, $E$13)</f>
        <v>11.7982</v>
      </c>
    </row>
    <row r="653" spans="1:11" ht="15">
      <c r="A653" s="13">
        <v>60998</v>
      </c>
      <c r="B653" s="67">
        <f>10.3096 * CHOOSE(CONTROL!$C$22, $C$13, 100%, $E$13)</f>
        <v>10.3096</v>
      </c>
      <c r="C653" s="67">
        <f>10.3096 * CHOOSE(CONTROL!$C$22, $C$13, 100%, $E$13)</f>
        <v>10.3096</v>
      </c>
      <c r="D653" s="67">
        <f>10.3106 * CHOOSE(CONTROL!$C$22, $C$13, 100%, $E$13)</f>
        <v>10.310600000000001</v>
      </c>
      <c r="E653" s="68">
        <f>11.9374 * CHOOSE(CONTROL!$C$22, $C$13, 100%, $E$13)</f>
        <v>11.9374</v>
      </c>
      <c r="F653" s="68">
        <f>11.9374 * CHOOSE(CONTROL!$C$22, $C$13, 100%, $E$13)</f>
        <v>11.9374</v>
      </c>
      <c r="G653" s="68">
        <f>11.9387 * CHOOSE(CONTROL!$C$22, $C$13, 100%, $E$13)</f>
        <v>11.938700000000001</v>
      </c>
      <c r="H653" s="68">
        <f>19.4481* CHOOSE(CONTROL!$C$22, $C$13, 100%, $E$13)</f>
        <v>19.4481</v>
      </c>
      <c r="I653" s="68">
        <f>19.4494 * CHOOSE(CONTROL!$C$22, $C$13, 100%, $E$13)</f>
        <v>19.449400000000001</v>
      </c>
      <c r="J653" s="68">
        <f>11.9374 * CHOOSE(CONTROL!$C$22, $C$13, 100%, $E$13)</f>
        <v>11.9374</v>
      </c>
      <c r="K653" s="68">
        <f>11.9387 * CHOOSE(CONTROL!$C$22, $C$13, 100%, $E$13)</f>
        <v>11.938700000000001</v>
      </c>
    </row>
    <row r="654" spans="1:11" ht="15">
      <c r="A654" s="13">
        <v>61029</v>
      </c>
      <c r="B654" s="67">
        <f>10.3066 * CHOOSE(CONTROL!$C$22, $C$13, 100%, $E$13)</f>
        <v>10.3066</v>
      </c>
      <c r="C654" s="67">
        <f>10.3066 * CHOOSE(CONTROL!$C$22, $C$13, 100%, $E$13)</f>
        <v>10.3066</v>
      </c>
      <c r="D654" s="67">
        <f>10.3075 * CHOOSE(CONTROL!$C$22, $C$13, 100%, $E$13)</f>
        <v>10.307499999999999</v>
      </c>
      <c r="E654" s="68">
        <f>11.7297 * CHOOSE(CONTROL!$C$22, $C$13, 100%, $E$13)</f>
        <v>11.729699999999999</v>
      </c>
      <c r="F654" s="68">
        <f>11.7297 * CHOOSE(CONTROL!$C$22, $C$13, 100%, $E$13)</f>
        <v>11.729699999999999</v>
      </c>
      <c r="G654" s="68">
        <f>11.7309 * CHOOSE(CONTROL!$C$22, $C$13, 100%, $E$13)</f>
        <v>11.7309</v>
      </c>
      <c r="H654" s="68">
        <f>19.4886* CHOOSE(CONTROL!$C$22, $C$13, 100%, $E$13)</f>
        <v>19.488600000000002</v>
      </c>
      <c r="I654" s="68">
        <f>19.4899 * CHOOSE(CONTROL!$C$22, $C$13, 100%, $E$13)</f>
        <v>19.489899999999999</v>
      </c>
      <c r="J654" s="68">
        <f>11.7297 * CHOOSE(CONTROL!$C$22, $C$13, 100%, $E$13)</f>
        <v>11.729699999999999</v>
      </c>
      <c r="K654" s="68">
        <f>11.7309 * CHOOSE(CONTROL!$C$22, $C$13, 100%, $E$13)</f>
        <v>11.7309</v>
      </c>
    </row>
    <row r="655" spans="1:11" ht="15">
      <c r="A655" s="13">
        <v>61057</v>
      </c>
      <c r="B655" s="67">
        <f>10.3035 * CHOOSE(CONTROL!$C$22, $C$13, 100%, $E$13)</f>
        <v>10.3035</v>
      </c>
      <c r="C655" s="67">
        <f>10.3035 * CHOOSE(CONTROL!$C$22, $C$13, 100%, $E$13)</f>
        <v>10.3035</v>
      </c>
      <c r="D655" s="67">
        <f>10.3045 * CHOOSE(CONTROL!$C$22, $C$13, 100%, $E$13)</f>
        <v>10.304500000000001</v>
      </c>
      <c r="E655" s="68">
        <f>11.8896 * CHOOSE(CONTROL!$C$22, $C$13, 100%, $E$13)</f>
        <v>11.8896</v>
      </c>
      <c r="F655" s="68">
        <f>11.8896 * CHOOSE(CONTROL!$C$22, $C$13, 100%, $E$13)</f>
        <v>11.8896</v>
      </c>
      <c r="G655" s="68">
        <f>11.8909 * CHOOSE(CONTROL!$C$22, $C$13, 100%, $E$13)</f>
        <v>11.8909</v>
      </c>
      <c r="H655" s="68">
        <f>19.5292* CHOOSE(CONTROL!$C$22, $C$13, 100%, $E$13)</f>
        <v>19.529199999999999</v>
      </c>
      <c r="I655" s="68">
        <f>19.5305 * CHOOSE(CONTROL!$C$22, $C$13, 100%, $E$13)</f>
        <v>19.5305</v>
      </c>
      <c r="J655" s="68">
        <f>11.8896 * CHOOSE(CONTROL!$C$22, $C$13, 100%, $E$13)</f>
        <v>11.8896</v>
      </c>
      <c r="K655" s="68">
        <f>11.8909 * CHOOSE(CONTROL!$C$22, $C$13, 100%, $E$13)</f>
        <v>11.8909</v>
      </c>
    </row>
    <row r="656" spans="1:11" ht="15">
      <c r="A656" s="13">
        <v>61088</v>
      </c>
      <c r="B656" s="67">
        <f>10.3065 * CHOOSE(CONTROL!$C$22, $C$13, 100%, $E$13)</f>
        <v>10.3065</v>
      </c>
      <c r="C656" s="67">
        <f>10.3065 * CHOOSE(CONTROL!$C$22, $C$13, 100%, $E$13)</f>
        <v>10.3065</v>
      </c>
      <c r="D656" s="67">
        <f>10.3075 * CHOOSE(CONTROL!$C$22, $C$13, 100%, $E$13)</f>
        <v>10.307499999999999</v>
      </c>
      <c r="E656" s="68">
        <f>12.0594 * CHOOSE(CONTROL!$C$22, $C$13, 100%, $E$13)</f>
        <v>12.0594</v>
      </c>
      <c r="F656" s="68">
        <f>12.0594 * CHOOSE(CONTROL!$C$22, $C$13, 100%, $E$13)</f>
        <v>12.0594</v>
      </c>
      <c r="G656" s="68">
        <f>12.0607 * CHOOSE(CONTROL!$C$22, $C$13, 100%, $E$13)</f>
        <v>12.060700000000001</v>
      </c>
      <c r="H656" s="68">
        <f>19.5699* CHOOSE(CONTROL!$C$22, $C$13, 100%, $E$13)</f>
        <v>19.569900000000001</v>
      </c>
      <c r="I656" s="68">
        <f>19.5712 * CHOOSE(CONTROL!$C$22, $C$13, 100%, $E$13)</f>
        <v>19.571200000000001</v>
      </c>
      <c r="J656" s="68">
        <f>12.0594 * CHOOSE(CONTROL!$C$22, $C$13, 100%, $E$13)</f>
        <v>12.0594</v>
      </c>
      <c r="K656" s="68">
        <f>12.0607 * CHOOSE(CONTROL!$C$22, $C$13, 100%, $E$13)</f>
        <v>12.060700000000001</v>
      </c>
    </row>
    <row r="657" spans="1:11" ht="15">
      <c r="A657" s="13">
        <v>61118</v>
      </c>
      <c r="B657" s="67">
        <f>10.3065 * CHOOSE(CONTROL!$C$22, $C$13, 100%, $E$13)</f>
        <v>10.3065</v>
      </c>
      <c r="C657" s="67">
        <f>10.3065 * CHOOSE(CONTROL!$C$22, $C$13, 100%, $E$13)</f>
        <v>10.3065</v>
      </c>
      <c r="D657" s="67">
        <f>10.3091 * CHOOSE(CONTROL!$C$22, $C$13, 100%, $E$13)</f>
        <v>10.309100000000001</v>
      </c>
      <c r="E657" s="68">
        <f>12.1247 * CHOOSE(CONTROL!$C$22, $C$13, 100%, $E$13)</f>
        <v>12.124700000000001</v>
      </c>
      <c r="F657" s="68">
        <f>12.1247 * CHOOSE(CONTROL!$C$22, $C$13, 100%, $E$13)</f>
        <v>12.124700000000001</v>
      </c>
      <c r="G657" s="68">
        <f>12.128 * CHOOSE(CONTROL!$C$22, $C$13, 100%, $E$13)</f>
        <v>12.128</v>
      </c>
      <c r="H657" s="68">
        <f>19.6107* CHOOSE(CONTROL!$C$22, $C$13, 100%, $E$13)</f>
        <v>19.610700000000001</v>
      </c>
      <c r="I657" s="68">
        <f>19.614 * CHOOSE(CONTROL!$C$22, $C$13, 100%, $E$13)</f>
        <v>19.614000000000001</v>
      </c>
      <c r="J657" s="68">
        <f>12.1247 * CHOOSE(CONTROL!$C$22, $C$13, 100%, $E$13)</f>
        <v>12.124700000000001</v>
      </c>
      <c r="K657" s="68">
        <f>12.128 * CHOOSE(CONTROL!$C$22, $C$13, 100%, $E$13)</f>
        <v>12.128</v>
      </c>
    </row>
    <row r="658" spans="1:11" ht="15">
      <c r="A658" s="13">
        <v>61149</v>
      </c>
      <c r="B658" s="67">
        <f>10.3126 * CHOOSE(CONTROL!$C$22, $C$13, 100%, $E$13)</f>
        <v>10.3126</v>
      </c>
      <c r="C658" s="67">
        <f>10.3126 * CHOOSE(CONTROL!$C$22, $C$13, 100%, $E$13)</f>
        <v>10.3126</v>
      </c>
      <c r="D658" s="67">
        <f>10.3152 * CHOOSE(CONTROL!$C$22, $C$13, 100%, $E$13)</f>
        <v>10.315200000000001</v>
      </c>
      <c r="E658" s="68">
        <f>12.0637 * CHOOSE(CONTROL!$C$22, $C$13, 100%, $E$13)</f>
        <v>12.063700000000001</v>
      </c>
      <c r="F658" s="68">
        <f>12.0637 * CHOOSE(CONTROL!$C$22, $C$13, 100%, $E$13)</f>
        <v>12.063700000000001</v>
      </c>
      <c r="G658" s="68">
        <f>12.0669 * CHOOSE(CONTROL!$C$22, $C$13, 100%, $E$13)</f>
        <v>12.0669</v>
      </c>
      <c r="H658" s="68">
        <f>19.6516* CHOOSE(CONTROL!$C$22, $C$13, 100%, $E$13)</f>
        <v>19.651599999999998</v>
      </c>
      <c r="I658" s="68">
        <f>19.6548 * CHOOSE(CONTROL!$C$22, $C$13, 100%, $E$13)</f>
        <v>19.654800000000002</v>
      </c>
      <c r="J658" s="68">
        <f>12.0637 * CHOOSE(CONTROL!$C$22, $C$13, 100%, $E$13)</f>
        <v>12.063700000000001</v>
      </c>
      <c r="K658" s="68">
        <f>12.0669 * CHOOSE(CONTROL!$C$22, $C$13, 100%, $E$13)</f>
        <v>12.0669</v>
      </c>
    </row>
    <row r="659" spans="1:11" ht="15">
      <c r="A659" s="13">
        <v>61179</v>
      </c>
      <c r="B659" s="67">
        <f>10.4716 * CHOOSE(CONTROL!$C$22, $C$13, 100%, $E$13)</f>
        <v>10.4716</v>
      </c>
      <c r="C659" s="67">
        <f>10.4716 * CHOOSE(CONTROL!$C$22, $C$13, 100%, $E$13)</f>
        <v>10.4716</v>
      </c>
      <c r="D659" s="67">
        <f>10.4742 * CHOOSE(CONTROL!$C$22, $C$13, 100%, $E$13)</f>
        <v>10.4742</v>
      </c>
      <c r="E659" s="68">
        <f>12.2585 * CHOOSE(CONTROL!$C$22, $C$13, 100%, $E$13)</f>
        <v>12.2585</v>
      </c>
      <c r="F659" s="68">
        <f>12.2585 * CHOOSE(CONTROL!$C$22, $C$13, 100%, $E$13)</f>
        <v>12.2585</v>
      </c>
      <c r="G659" s="68">
        <f>12.2618 * CHOOSE(CONTROL!$C$22, $C$13, 100%, $E$13)</f>
        <v>12.261799999999999</v>
      </c>
      <c r="H659" s="68">
        <f>19.6925* CHOOSE(CONTROL!$C$22, $C$13, 100%, $E$13)</f>
        <v>19.692499999999999</v>
      </c>
      <c r="I659" s="68">
        <f>19.6958 * CHOOSE(CONTROL!$C$22, $C$13, 100%, $E$13)</f>
        <v>19.695799999999998</v>
      </c>
      <c r="J659" s="68">
        <f>12.2585 * CHOOSE(CONTROL!$C$22, $C$13, 100%, $E$13)</f>
        <v>12.2585</v>
      </c>
      <c r="K659" s="68">
        <f>12.2618 * CHOOSE(CONTROL!$C$22, $C$13, 100%, $E$13)</f>
        <v>12.261799999999999</v>
      </c>
    </row>
    <row r="660" spans="1:11" ht="15">
      <c r="A660" s="13">
        <v>61210</v>
      </c>
      <c r="B660" s="67">
        <f>10.4782 * CHOOSE(CONTROL!$C$22, $C$13, 100%, $E$13)</f>
        <v>10.478199999999999</v>
      </c>
      <c r="C660" s="67">
        <f>10.4782 * CHOOSE(CONTROL!$C$22, $C$13, 100%, $E$13)</f>
        <v>10.478199999999999</v>
      </c>
      <c r="D660" s="67">
        <f>10.4809 * CHOOSE(CONTROL!$C$22, $C$13, 100%, $E$13)</f>
        <v>10.4809</v>
      </c>
      <c r="E660" s="68">
        <f>12.0674 * CHOOSE(CONTROL!$C$22, $C$13, 100%, $E$13)</f>
        <v>12.067399999999999</v>
      </c>
      <c r="F660" s="68">
        <f>12.0674 * CHOOSE(CONTROL!$C$22, $C$13, 100%, $E$13)</f>
        <v>12.067399999999999</v>
      </c>
      <c r="G660" s="68">
        <f>12.0706 * CHOOSE(CONTROL!$C$22, $C$13, 100%, $E$13)</f>
        <v>12.070600000000001</v>
      </c>
      <c r="H660" s="68">
        <f>19.7335* CHOOSE(CONTROL!$C$22, $C$13, 100%, $E$13)</f>
        <v>19.733499999999999</v>
      </c>
      <c r="I660" s="68">
        <f>19.7368 * CHOOSE(CONTROL!$C$22, $C$13, 100%, $E$13)</f>
        <v>19.736799999999999</v>
      </c>
      <c r="J660" s="68">
        <f>12.0674 * CHOOSE(CONTROL!$C$22, $C$13, 100%, $E$13)</f>
        <v>12.067399999999999</v>
      </c>
      <c r="K660" s="68">
        <f>12.0706 * CHOOSE(CONTROL!$C$22, $C$13, 100%, $E$13)</f>
        <v>12.070600000000001</v>
      </c>
    </row>
    <row r="661" spans="1:11" ht="15">
      <c r="A661" s="13">
        <v>61241</v>
      </c>
      <c r="B661" s="67">
        <f>10.4752 * CHOOSE(CONTROL!$C$22, $C$13, 100%, $E$13)</f>
        <v>10.475199999999999</v>
      </c>
      <c r="C661" s="67">
        <f>10.4752 * CHOOSE(CONTROL!$C$22, $C$13, 100%, $E$13)</f>
        <v>10.475199999999999</v>
      </c>
      <c r="D661" s="67">
        <f>10.4778 * CHOOSE(CONTROL!$C$22, $C$13, 100%, $E$13)</f>
        <v>10.4778</v>
      </c>
      <c r="E661" s="68">
        <f>12.0435 * CHOOSE(CONTROL!$C$22, $C$13, 100%, $E$13)</f>
        <v>12.0435</v>
      </c>
      <c r="F661" s="68">
        <f>12.0435 * CHOOSE(CONTROL!$C$22, $C$13, 100%, $E$13)</f>
        <v>12.0435</v>
      </c>
      <c r="G661" s="68">
        <f>12.0467 * CHOOSE(CONTROL!$C$22, $C$13, 100%, $E$13)</f>
        <v>12.0467</v>
      </c>
      <c r="H661" s="68">
        <f>19.7746* CHOOSE(CONTROL!$C$22, $C$13, 100%, $E$13)</f>
        <v>19.7746</v>
      </c>
      <c r="I661" s="68">
        <f>19.7779 * CHOOSE(CONTROL!$C$22, $C$13, 100%, $E$13)</f>
        <v>19.777899999999999</v>
      </c>
      <c r="J661" s="68">
        <f>12.0435 * CHOOSE(CONTROL!$C$22, $C$13, 100%, $E$13)</f>
        <v>12.0435</v>
      </c>
      <c r="K661" s="68">
        <f>12.0467 * CHOOSE(CONTROL!$C$22, $C$13, 100%, $E$13)</f>
        <v>12.0467</v>
      </c>
    </row>
    <row r="662" spans="1:11" ht="15">
      <c r="A662" s="13">
        <v>61271</v>
      </c>
      <c r="B662" s="67">
        <f>10.4913 * CHOOSE(CONTROL!$C$22, $C$13, 100%, $E$13)</f>
        <v>10.491300000000001</v>
      </c>
      <c r="C662" s="67">
        <f>10.4913 * CHOOSE(CONTROL!$C$22, $C$13, 100%, $E$13)</f>
        <v>10.491300000000001</v>
      </c>
      <c r="D662" s="67">
        <f>10.4922 * CHOOSE(CONTROL!$C$22, $C$13, 100%, $E$13)</f>
        <v>10.4922</v>
      </c>
      <c r="E662" s="68">
        <f>12.1171 * CHOOSE(CONTROL!$C$22, $C$13, 100%, $E$13)</f>
        <v>12.117100000000001</v>
      </c>
      <c r="F662" s="68">
        <f>12.1171 * CHOOSE(CONTROL!$C$22, $C$13, 100%, $E$13)</f>
        <v>12.117100000000001</v>
      </c>
      <c r="G662" s="68">
        <f>12.1184 * CHOOSE(CONTROL!$C$22, $C$13, 100%, $E$13)</f>
        <v>12.118399999999999</v>
      </c>
      <c r="H662" s="68">
        <f>19.8158* CHOOSE(CONTROL!$C$22, $C$13, 100%, $E$13)</f>
        <v>19.815799999999999</v>
      </c>
      <c r="I662" s="68">
        <f>19.8171 * CHOOSE(CONTROL!$C$22, $C$13, 100%, $E$13)</f>
        <v>19.8171</v>
      </c>
      <c r="J662" s="68">
        <f>12.1171 * CHOOSE(CONTROL!$C$22, $C$13, 100%, $E$13)</f>
        <v>12.117100000000001</v>
      </c>
      <c r="K662" s="68">
        <f>12.1184 * CHOOSE(CONTROL!$C$22, $C$13, 100%, $E$13)</f>
        <v>12.118399999999999</v>
      </c>
    </row>
    <row r="663" spans="1:11" ht="15">
      <c r="A663" s="13">
        <v>61302</v>
      </c>
      <c r="B663" s="67">
        <f>10.4943 * CHOOSE(CONTROL!$C$22, $C$13, 100%, $E$13)</f>
        <v>10.494300000000001</v>
      </c>
      <c r="C663" s="67">
        <f>10.4943 * CHOOSE(CONTROL!$C$22, $C$13, 100%, $E$13)</f>
        <v>10.494300000000001</v>
      </c>
      <c r="D663" s="67">
        <f>10.4953 * CHOOSE(CONTROL!$C$22, $C$13, 100%, $E$13)</f>
        <v>10.4953</v>
      </c>
      <c r="E663" s="68">
        <f>12.1627 * CHOOSE(CONTROL!$C$22, $C$13, 100%, $E$13)</f>
        <v>12.162699999999999</v>
      </c>
      <c r="F663" s="68">
        <f>12.1627 * CHOOSE(CONTROL!$C$22, $C$13, 100%, $E$13)</f>
        <v>12.162699999999999</v>
      </c>
      <c r="G663" s="68">
        <f>12.164 * CHOOSE(CONTROL!$C$22, $C$13, 100%, $E$13)</f>
        <v>12.164</v>
      </c>
      <c r="H663" s="68">
        <f>19.8571* CHOOSE(CONTROL!$C$22, $C$13, 100%, $E$13)</f>
        <v>19.857099999999999</v>
      </c>
      <c r="I663" s="68">
        <f>19.8584 * CHOOSE(CONTROL!$C$22, $C$13, 100%, $E$13)</f>
        <v>19.8584</v>
      </c>
      <c r="J663" s="68">
        <f>12.1627 * CHOOSE(CONTROL!$C$22, $C$13, 100%, $E$13)</f>
        <v>12.162699999999999</v>
      </c>
      <c r="K663" s="68">
        <f>12.164 * CHOOSE(CONTROL!$C$22, $C$13, 100%, $E$13)</f>
        <v>12.164</v>
      </c>
    </row>
    <row r="664" spans="1:11" ht="15">
      <c r="A664" s="13">
        <v>61332</v>
      </c>
      <c r="B664" s="67">
        <f>10.4943 * CHOOSE(CONTROL!$C$22, $C$13, 100%, $E$13)</f>
        <v>10.494300000000001</v>
      </c>
      <c r="C664" s="67">
        <f>10.4943 * CHOOSE(CONTROL!$C$22, $C$13, 100%, $E$13)</f>
        <v>10.494300000000001</v>
      </c>
      <c r="D664" s="67">
        <f>10.4953 * CHOOSE(CONTROL!$C$22, $C$13, 100%, $E$13)</f>
        <v>10.4953</v>
      </c>
      <c r="E664" s="68">
        <f>12.0539 * CHOOSE(CONTROL!$C$22, $C$13, 100%, $E$13)</f>
        <v>12.053900000000001</v>
      </c>
      <c r="F664" s="68">
        <f>12.0539 * CHOOSE(CONTROL!$C$22, $C$13, 100%, $E$13)</f>
        <v>12.053900000000001</v>
      </c>
      <c r="G664" s="68">
        <f>12.0552 * CHOOSE(CONTROL!$C$22, $C$13, 100%, $E$13)</f>
        <v>12.055199999999999</v>
      </c>
      <c r="H664" s="68">
        <f>19.8985* CHOOSE(CONTROL!$C$22, $C$13, 100%, $E$13)</f>
        <v>19.898499999999999</v>
      </c>
      <c r="I664" s="68">
        <f>19.8998 * CHOOSE(CONTROL!$C$22, $C$13, 100%, $E$13)</f>
        <v>19.899799999999999</v>
      </c>
      <c r="J664" s="68">
        <f>12.0539 * CHOOSE(CONTROL!$C$22, $C$13, 100%, $E$13)</f>
        <v>12.053900000000001</v>
      </c>
      <c r="K664" s="68">
        <f>12.0552 * CHOOSE(CONTROL!$C$22, $C$13, 100%, $E$13)</f>
        <v>12.055199999999999</v>
      </c>
    </row>
    <row r="665" spans="1:11" ht="15">
      <c r="A665" s="13">
        <v>61363</v>
      </c>
      <c r="B665" s="67">
        <f>10.5452 * CHOOSE(CONTROL!$C$22, $C$13, 100%, $E$13)</f>
        <v>10.545199999999999</v>
      </c>
      <c r="C665" s="67">
        <f>10.5452 * CHOOSE(CONTROL!$C$22, $C$13, 100%, $E$13)</f>
        <v>10.545199999999999</v>
      </c>
      <c r="D665" s="67">
        <f>10.5462 * CHOOSE(CONTROL!$C$22, $C$13, 100%, $E$13)</f>
        <v>10.546200000000001</v>
      </c>
      <c r="E665" s="68">
        <f>12.1921 * CHOOSE(CONTROL!$C$22, $C$13, 100%, $E$13)</f>
        <v>12.1921</v>
      </c>
      <c r="F665" s="68">
        <f>12.1921 * CHOOSE(CONTROL!$C$22, $C$13, 100%, $E$13)</f>
        <v>12.1921</v>
      </c>
      <c r="G665" s="68">
        <f>12.1934 * CHOOSE(CONTROL!$C$22, $C$13, 100%, $E$13)</f>
        <v>12.1934</v>
      </c>
      <c r="H665" s="68">
        <f>19.8751* CHOOSE(CONTROL!$C$22, $C$13, 100%, $E$13)</f>
        <v>19.8751</v>
      </c>
      <c r="I665" s="68">
        <f>19.8764 * CHOOSE(CONTROL!$C$22, $C$13, 100%, $E$13)</f>
        <v>19.8764</v>
      </c>
      <c r="J665" s="68">
        <f>12.1921 * CHOOSE(CONTROL!$C$22, $C$13, 100%, $E$13)</f>
        <v>12.1921</v>
      </c>
      <c r="K665" s="68">
        <f>12.1934 * CHOOSE(CONTROL!$C$22, $C$13, 100%, $E$13)</f>
        <v>12.1934</v>
      </c>
    </row>
    <row r="666" spans="1:11" ht="15">
      <c r="A666" s="13">
        <v>61394</v>
      </c>
      <c r="B666" s="67">
        <f>10.5421 * CHOOSE(CONTROL!$C$22, $C$13, 100%, $E$13)</f>
        <v>10.5421</v>
      </c>
      <c r="C666" s="67">
        <f>10.5421 * CHOOSE(CONTROL!$C$22, $C$13, 100%, $E$13)</f>
        <v>10.5421</v>
      </c>
      <c r="D666" s="67">
        <f>10.5431 * CHOOSE(CONTROL!$C$22, $C$13, 100%, $E$13)</f>
        <v>10.543100000000001</v>
      </c>
      <c r="E666" s="68">
        <f>11.9794 * CHOOSE(CONTROL!$C$22, $C$13, 100%, $E$13)</f>
        <v>11.9794</v>
      </c>
      <c r="F666" s="68">
        <f>11.9794 * CHOOSE(CONTROL!$C$22, $C$13, 100%, $E$13)</f>
        <v>11.9794</v>
      </c>
      <c r="G666" s="68">
        <f>11.9807 * CHOOSE(CONTROL!$C$22, $C$13, 100%, $E$13)</f>
        <v>11.980700000000001</v>
      </c>
      <c r="H666" s="68">
        <f>19.9166* CHOOSE(CONTROL!$C$22, $C$13, 100%, $E$13)</f>
        <v>19.916599999999999</v>
      </c>
      <c r="I666" s="68">
        <f>19.9178 * CHOOSE(CONTROL!$C$22, $C$13, 100%, $E$13)</f>
        <v>19.9178</v>
      </c>
      <c r="J666" s="68">
        <f>11.9794 * CHOOSE(CONTROL!$C$22, $C$13, 100%, $E$13)</f>
        <v>11.9794</v>
      </c>
      <c r="K666" s="68">
        <f>11.9807 * CHOOSE(CONTROL!$C$22, $C$13, 100%, $E$13)</f>
        <v>11.980700000000001</v>
      </c>
    </row>
    <row r="667" spans="1:11" ht="15">
      <c r="A667" s="13">
        <v>61423</v>
      </c>
      <c r="B667" s="67">
        <f>10.5391 * CHOOSE(CONTROL!$C$22, $C$13, 100%, $E$13)</f>
        <v>10.539099999999999</v>
      </c>
      <c r="C667" s="67">
        <f>10.5391 * CHOOSE(CONTROL!$C$22, $C$13, 100%, $E$13)</f>
        <v>10.539099999999999</v>
      </c>
      <c r="D667" s="67">
        <f>10.5401 * CHOOSE(CONTROL!$C$22, $C$13, 100%, $E$13)</f>
        <v>10.540100000000001</v>
      </c>
      <c r="E667" s="68">
        <f>12.1433 * CHOOSE(CONTROL!$C$22, $C$13, 100%, $E$13)</f>
        <v>12.1433</v>
      </c>
      <c r="F667" s="68">
        <f>12.1433 * CHOOSE(CONTROL!$C$22, $C$13, 100%, $E$13)</f>
        <v>12.1433</v>
      </c>
      <c r="G667" s="68">
        <f>12.1446 * CHOOSE(CONTROL!$C$22, $C$13, 100%, $E$13)</f>
        <v>12.144600000000001</v>
      </c>
      <c r="H667" s="68">
        <f>19.958* CHOOSE(CONTROL!$C$22, $C$13, 100%, $E$13)</f>
        <v>19.957999999999998</v>
      </c>
      <c r="I667" s="68">
        <f>19.9593 * CHOOSE(CONTROL!$C$22, $C$13, 100%, $E$13)</f>
        <v>19.959299999999999</v>
      </c>
      <c r="J667" s="68">
        <f>12.1433 * CHOOSE(CONTROL!$C$22, $C$13, 100%, $E$13)</f>
        <v>12.1433</v>
      </c>
      <c r="K667" s="68">
        <f>12.1446 * CHOOSE(CONTROL!$C$22, $C$13, 100%, $E$13)</f>
        <v>12.144600000000001</v>
      </c>
    </row>
    <row r="668" spans="1:11" ht="15">
      <c r="A668" s="13">
        <v>61454</v>
      </c>
      <c r="B668" s="67">
        <f>10.5423 * CHOOSE(CONTROL!$C$22, $C$13, 100%, $E$13)</f>
        <v>10.542299999999999</v>
      </c>
      <c r="C668" s="67">
        <f>10.5423 * CHOOSE(CONTROL!$C$22, $C$13, 100%, $E$13)</f>
        <v>10.542299999999999</v>
      </c>
      <c r="D668" s="67">
        <f>10.5432 * CHOOSE(CONTROL!$C$22, $C$13, 100%, $E$13)</f>
        <v>10.543200000000001</v>
      </c>
      <c r="E668" s="68">
        <f>12.3173 * CHOOSE(CONTROL!$C$22, $C$13, 100%, $E$13)</f>
        <v>12.317299999999999</v>
      </c>
      <c r="F668" s="68">
        <f>12.3173 * CHOOSE(CONTROL!$C$22, $C$13, 100%, $E$13)</f>
        <v>12.317299999999999</v>
      </c>
      <c r="G668" s="68">
        <f>12.3186 * CHOOSE(CONTROL!$C$22, $C$13, 100%, $E$13)</f>
        <v>12.3186</v>
      </c>
      <c r="H668" s="68">
        <f>19.9996* CHOOSE(CONTROL!$C$22, $C$13, 100%, $E$13)</f>
        <v>19.999600000000001</v>
      </c>
      <c r="I668" s="68">
        <f>20.0009 * CHOOSE(CONTROL!$C$22, $C$13, 100%, $E$13)</f>
        <v>20.000900000000001</v>
      </c>
      <c r="J668" s="68">
        <f>12.3173 * CHOOSE(CONTROL!$C$22, $C$13, 100%, $E$13)</f>
        <v>12.317299999999999</v>
      </c>
      <c r="K668" s="68">
        <f>12.3186 * CHOOSE(CONTROL!$C$22, $C$13, 100%, $E$13)</f>
        <v>12.3186</v>
      </c>
    </row>
    <row r="669" spans="1:11" ht="15">
      <c r="A669" s="13">
        <v>61484</v>
      </c>
      <c r="B669" s="67">
        <f>10.5423 * CHOOSE(CONTROL!$C$22, $C$13, 100%, $E$13)</f>
        <v>10.542299999999999</v>
      </c>
      <c r="C669" s="67">
        <f>10.5423 * CHOOSE(CONTROL!$C$22, $C$13, 100%, $E$13)</f>
        <v>10.542299999999999</v>
      </c>
      <c r="D669" s="67">
        <f>10.5449 * CHOOSE(CONTROL!$C$22, $C$13, 100%, $E$13)</f>
        <v>10.5449</v>
      </c>
      <c r="E669" s="68">
        <f>12.3841 * CHOOSE(CONTROL!$C$22, $C$13, 100%, $E$13)</f>
        <v>12.3841</v>
      </c>
      <c r="F669" s="68">
        <f>12.3841 * CHOOSE(CONTROL!$C$22, $C$13, 100%, $E$13)</f>
        <v>12.3841</v>
      </c>
      <c r="G669" s="68">
        <f>12.3874 * CHOOSE(CONTROL!$C$22, $C$13, 100%, $E$13)</f>
        <v>12.3874</v>
      </c>
      <c r="H669" s="68">
        <f>20.0413* CHOOSE(CONTROL!$C$22, $C$13, 100%, $E$13)</f>
        <v>20.0413</v>
      </c>
      <c r="I669" s="68">
        <f>20.0445 * CHOOSE(CONTROL!$C$22, $C$13, 100%, $E$13)</f>
        <v>20.044499999999999</v>
      </c>
      <c r="J669" s="68">
        <f>12.3841 * CHOOSE(CONTROL!$C$22, $C$13, 100%, $E$13)</f>
        <v>12.3841</v>
      </c>
      <c r="K669" s="68">
        <f>12.3874 * CHOOSE(CONTROL!$C$22, $C$13, 100%, $E$13)</f>
        <v>12.3874</v>
      </c>
    </row>
    <row r="670" spans="1:11" ht="15">
      <c r="A670" s="13">
        <v>61515</v>
      </c>
      <c r="B670" s="67">
        <f>10.5483 * CHOOSE(CONTROL!$C$22, $C$13, 100%, $E$13)</f>
        <v>10.548299999999999</v>
      </c>
      <c r="C670" s="67">
        <f>10.5483 * CHOOSE(CONTROL!$C$22, $C$13, 100%, $E$13)</f>
        <v>10.548299999999999</v>
      </c>
      <c r="D670" s="67">
        <f>10.551 * CHOOSE(CONTROL!$C$22, $C$13, 100%, $E$13)</f>
        <v>10.551</v>
      </c>
      <c r="E670" s="68">
        <f>12.3215 * CHOOSE(CONTROL!$C$22, $C$13, 100%, $E$13)</f>
        <v>12.3215</v>
      </c>
      <c r="F670" s="68">
        <f>12.3215 * CHOOSE(CONTROL!$C$22, $C$13, 100%, $E$13)</f>
        <v>12.3215</v>
      </c>
      <c r="G670" s="68">
        <f>12.3248 * CHOOSE(CONTROL!$C$22, $C$13, 100%, $E$13)</f>
        <v>12.3248</v>
      </c>
      <c r="H670" s="68">
        <f>20.083* CHOOSE(CONTROL!$C$22, $C$13, 100%, $E$13)</f>
        <v>20.082999999999998</v>
      </c>
      <c r="I670" s="68">
        <f>20.0863 * CHOOSE(CONTROL!$C$22, $C$13, 100%, $E$13)</f>
        <v>20.086300000000001</v>
      </c>
      <c r="J670" s="68">
        <f>12.3215 * CHOOSE(CONTROL!$C$22, $C$13, 100%, $E$13)</f>
        <v>12.3215</v>
      </c>
      <c r="K670" s="68">
        <f>12.3248 * CHOOSE(CONTROL!$C$22, $C$13, 100%, $E$13)</f>
        <v>12.3248</v>
      </c>
    </row>
    <row r="671" spans="1:11" ht="15">
      <c r="A671" s="13">
        <v>61545</v>
      </c>
      <c r="B671" s="67">
        <f>10.7107 * CHOOSE(CONTROL!$C$22, $C$13, 100%, $E$13)</f>
        <v>10.710699999999999</v>
      </c>
      <c r="C671" s="67">
        <f>10.7107 * CHOOSE(CONTROL!$C$22, $C$13, 100%, $E$13)</f>
        <v>10.710699999999999</v>
      </c>
      <c r="D671" s="67">
        <f>10.7133 * CHOOSE(CONTROL!$C$22, $C$13, 100%, $E$13)</f>
        <v>10.7133</v>
      </c>
      <c r="E671" s="68">
        <f>12.5203 * CHOOSE(CONTROL!$C$22, $C$13, 100%, $E$13)</f>
        <v>12.520300000000001</v>
      </c>
      <c r="F671" s="68">
        <f>12.5203 * CHOOSE(CONTROL!$C$22, $C$13, 100%, $E$13)</f>
        <v>12.520300000000001</v>
      </c>
      <c r="G671" s="68">
        <f>12.5235 * CHOOSE(CONTROL!$C$22, $C$13, 100%, $E$13)</f>
        <v>12.5235</v>
      </c>
      <c r="H671" s="68">
        <f>20.1249* CHOOSE(CONTROL!$C$22, $C$13, 100%, $E$13)</f>
        <v>20.1249</v>
      </c>
      <c r="I671" s="68">
        <f>20.1281 * CHOOSE(CONTROL!$C$22, $C$13, 100%, $E$13)</f>
        <v>20.1281</v>
      </c>
      <c r="J671" s="68">
        <f>12.5203 * CHOOSE(CONTROL!$C$22, $C$13, 100%, $E$13)</f>
        <v>12.520300000000001</v>
      </c>
      <c r="K671" s="68">
        <f>12.5235 * CHOOSE(CONTROL!$C$22, $C$13, 100%, $E$13)</f>
        <v>12.5235</v>
      </c>
    </row>
    <row r="672" spans="1:11" ht="15">
      <c r="A672" s="13">
        <v>61576</v>
      </c>
      <c r="B672" s="67">
        <f>10.7174 * CHOOSE(CONTROL!$C$22, $C$13, 100%, $E$13)</f>
        <v>10.7174</v>
      </c>
      <c r="C672" s="67">
        <f>10.7174 * CHOOSE(CONTROL!$C$22, $C$13, 100%, $E$13)</f>
        <v>10.7174</v>
      </c>
      <c r="D672" s="67">
        <f>10.72 * CHOOSE(CONTROL!$C$22, $C$13, 100%, $E$13)</f>
        <v>10.72</v>
      </c>
      <c r="E672" s="68">
        <f>12.3244 * CHOOSE(CONTROL!$C$22, $C$13, 100%, $E$13)</f>
        <v>12.324400000000001</v>
      </c>
      <c r="F672" s="68">
        <f>12.3244 * CHOOSE(CONTROL!$C$22, $C$13, 100%, $E$13)</f>
        <v>12.324400000000001</v>
      </c>
      <c r="G672" s="68">
        <f>12.3277 * CHOOSE(CONTROL!$C$22, $C$13, 100%, $E$13)</f>
        <v>12.3277</v>
      </c>
      <c r="H672" s="68">
        <f>20.1668* CHOOSE(CONTROL!$C$22, $C$13, 100%, $E$13)</f>
        <v>20.166799999999999</v>
      </c>
      <c r="I672" s="68">
        <f>20.1701 * CHOOSE(CONTROL!$C$22, $C$13, 100%, $E$13)</f>
        <v>20.170100000000001</v>
      </c>
      <c r="J672" s="68">
        <f>12.3244 * CHOOSE(CONTROL!$C$22, $C$13, 100%, $E$13)</f>
        <v>12.324400000000001</v>
      </c>
      <c r="K672" s="68">
        <f>12.3277 * CHOOSE(CONTROL!$C$22, $C$13, 100%, $E$13)</f>
        <v>12.3277</v>
      </c>
    </row>
    <row r="673" spans="1:11" ht="15">
      <c r="A673" s="13">
        <v>61607</v>
      </c>
      <c r="B673" s="67">
        <f>10.7144 * CHOOSE(CONTROL!$C$22, $C$13, 100%, $E$13)</f>
        <v>10.714399999999999</v>
      </c>
      <c r="C673" s="67">
        <f>10.7144 * CHOOSE(CONTROL!$C$22, $C$13, 100%, $E$13)</f>
        <v>10.714399999999999</v>
      </c>
      <c r="D673" s="67">
        <f>10.717 * CHOOSE(CONTROL!$C$22, $C$13, 100%, $E$13)</f>
        <v>10.717000000000001</v>
      </c>
      <c r="E673" s="68">
        <f>12.3 * CHOOSE(CONTROL!$C$22, $C$13, 100%, $E$13)</f>
        <v>12.3</v>
      </c>
      <c r="F673" s="68">
        <f>12.3 * CHOOSE(CONTROL!$C$22, $C$13, 100%, $E$13)</f>
        <v>12.3</v>
      </c>
      <c r="G673" s="68">
        <f>12.3033 * CHOOSE(CONTROL!$C$22, $C$13, 100%, $E$13)</f>
        <v>12.3033</v>
      </c>
      <c r="H673" s="68">
        <f>20.2088* CHOOSE(CONTROL!$C$22, $C$13, 100%, $E$13)</f>
        <v>20.2088</v>
      </c>
      <c r="I673" s="68">
        <f>20.2121 * CHOOSE(CONTROL!$C$22, $C$13, 100%, $E$13)</f>
        <v>20.2121</v>
      </c>
      <c r="J673" s="68">
        <f>12.3 * CHOOSE(CONTROL!$C$22, $C$13, 100%, $E$13)</f>
        <v>12.3</v>
      </c>
      <c r="K673" s="68">
        <f>12.3033 * CHOOSE(CONTROL!$C$22, $C$13, 100%, $E$13)</f>
        <v>12.3033</v>
      </c>
    </row>
    <row r="674" spans="1:11" ht="15">
      <c r="A674" s="13">
        <v>61637</v>
      </c>
      <c r="B674" s="67">
        <f>10.7312 * CHOOSE(CONTROL!$C$22, $C$13, 100%, $E$13)</f>
        <v>10.731199999999999</v>
      </c>
      <c r="C674" s="67">
        <f>10.7312 * CHOOSE(CONTROL!$C$22, $C$13, 100%, $E$13)</f>
        <v>10.731199999999999</v>
      </c>
      <c r="D674" s="67">
        <f>10.7322 * CHOOSE(CONTROL!$C$22, $C$13, 100%, $E$13)</f>
        <v>10.732200000000001</v>
      </c>
      <c r="E674" s="68">
        <f>12.3757 * CHOOSE(CONTROL!$C$22, $C$13, 100%, $E$13)</f>
        <v>12.3757</v>
      </c>
      <c r="F674" s="68">
        <f>12.3757 * CHOOSE(CONTROL!$C$22, $C$13, 100%, $E$13)</f>
        <v>12.3757</v>
      </c>
      <c r="G674" s="68">
        <f>12.377 * CHOOSE(CONTROL!$C$22, $C$13, 100%, $E$13)</f>
        <v>12.377000000000001</v>
      </c>
      <c r="H674" s="68">
        <f>20.2509* CHOOSE(CONTROL!$C$22, $C$13, 100%, $E$13)</f>
        <v>20.250900000000001</v>
      </c>
      <c r="I674" s="68">
        <f>20.2522 * CHOOSE(CONTROL!$C$22, $C$13, 100%, $E$13)</f>
        <v>20.252199999999998</v>
      </c>
      <c r="J674" s="68">
        <f>12.3757 * CHOOSE(CONTROL!$C$22, $C$13, 100%, $E$13)</f>
        <v>12.3757</v>
      </c>
      <c r="K674" s="68">
        <f>12.377 * CHOOSE(CONTROL!$C$22, $C$13, 100%, $E$13)</f>
        <v>12.377000000000001</v>
      </c>
    </row>
    <row r="675" spans="1:11" ht="15">
      <c r="A675" s="13">
        <v>61668</v>
      </c>
      <c r="B675" s="67">
        <f>10.7342 * CHOOSE(CONTROL!$C$22, $C$13, 100%, $E$13)</f>
        <v>10.7342</v>
      </c>
      <c r="C675" s="67">
        <f>10.7342 * CHOOSE(CONTROL!$C$22, $C$13, 100%, $E$13)</f>
        <v>10.7342</v>
      </c>
      <c r="D675" s="67">
        <f>10.7352 * CHOOSE(CONTROL!$C$22, $C$13, 100%, $E$13)</f>
        <v>10.735200000000001</v>
      </c>
      <c r="E675" s="68">
        <f>12.4224 * CHOOSE(CONTROL!$C$22, $C$13, 100%, $E$13)</f>
        <v>12.4224</v>
      </c>
      <c r="F675" s="68">
        <f>12.4224 * CHOOSE(CONTROL!$C$22, $C$13, 100%, $E$13)</f>
        <v>12.4224</v>
      </c>
      <c r="G675" s="68">
        <f>12.4237 * CHOOSE(CONTROL!$C$22, $C$13, 100%, $E$13)</f>
        <v>12.4237</v>
      </c>
      <c r="H675" s="68">
        <f>20.2931* CHOOSE(CONTROL!$C$22, $C$13, 100%, $E$13)</f>
        <v>20.293099999999999</v>
      </c>
      <c r="I675" s="68">
        <f>20.2944 * CHOOSE(CONTROL!$C$22, $C$13, 100%, $E$13)</f>
        <v>20.2944</v>
      </c>
      <c r="J675" s="68">
        <f>12.4224 * CHOOSE(CONTROL!$C$22, $C$13, 100%, $E$13)</f>
        <v>12.4224</v>
      </c>
      <c r="K675" s="68">
        <f>12.4237 * CHOOSE(CONTROL!$C$22, $C$13, 100%, $E$13)</f>
        <v>12.4237</v>
      </c>
    </row>
    <row r="676" spans="1:11" ht="15">
      <c r="A676" s="13">
        <v>61698</v>
      </c>
      <c r="B676" s="67">
        <f>10.7342 * CHOOSE(CONTROL!$C$22, $C$13, 100%, $E$13)</f>
        <v>10.7342</v>
      </c>
      <c r="C676" s="67">
        <f>10.7342 * CHOOSE(CONTROL!$C$22, $C$13, 100%, $E$13)</f>
        <v>10.7342</v>
      </c>
      <c r="D676" s="67">
        <f>10.7352 * CHOOSE(CONTROL!$C$22, $C$13, 100%, $E$13)</f>
        <v>10.735200000000001</v>
      </c>
      <c r="E676" s="68">
        <f>12.311 * CHOOSE(CONTROL!$C$22, $C$13, 100%, $E$13)</f>
        <v>12.311</v>
      </c>
      <c r="F676" s="68">
        <f>12.311 * CHOOSE(CONTROL!$C$22, $C$13, 100%, $E$13)</f>
        <v>12.311</v>
      </c>
      <c r="G676" s="68">
        <f>12.3123 * CHOOSE(CONTROL!$C$22, $C$13, 100%, $E$13)</f>
        <v>12.3123</v>
      </c>
      <c r="H676" s="68">
        <f>20.3354* CHOOSE(CONTROL!$C$22, $C$13, 100%, $E$13)</f>
        <v>20.3354</v>
      </c>
      <c r="I676" s="68">
        <f>20.3367 * CHOOSE(CONTROL!$C$22, $C$13, 100%, $E$13)</f>
        <v>20.3367</v>
      </c>
      <c r="J676" s="68">
        <f>12.311 * CHOOSE(CONTROL!$C$22, $C$13, 100%, $E$13)</f>
        <v>12.311</v>
      </c>
      <c r="K676" s="68">
        <f>12.3123 * CHOOSE(CONTROL!$C$22, $C$13, 100%, $E$13)</f>
        <v>12.3123</v>
      </c>
    </row>
    <row r="677" spans="1:11" ht="15">
      <c r="A677" s="13">
        <v>61729</v>
      </c>
      <c r="B677" s="67">
        <f>10.7807 * CHOOSE(CONTROL!$C$22, $C$13, 100%, $E$13)</f>
        <v>10.7807</v>
      </c>
      <c r="C677" s="67">
        <f>10.7807 * CHOOSE(CONTROL!$C$22, $C$13, 100%, $E$13)</f>
        <v>10.7807</v>
      </c>
      <c r="D677" s="67">
        <f>10.7817 * CHOOSE(CONTROL!$C$22, $C$13, 100%, $E$13)</f>
        <v>10.781700000000001</v>
      </c>
      <c r="E677" s="68">
        <f>12.4468 * CHOOSE(CONTROL!$C$22, $C$13, 100%, $E$13)</f>
        <v>12.4468</v>
      </c>
      <c r="F677" s="68">
        <f>12.4468 * CHOOSE(CONTROL!$C$22, $C$13, 100%, $E$13)</f>
        <v>12.4468</v>
      </c>
      <c r="G677" s="68">
        <f>12.4481 * CHOOSE(CONTROL!$C$22, $C$13, 100%, $E$13)</f>
        <v>12.4481</v>
      </c>
      <c r="H677" s="68">
        <f>20.3022* CHOOSE(CONTROL!$C$22, $C$13, 100%, $E$13)</f>
        <v>20.302199999999999</v>
      </c>
      <c r="I677" s="68">
        <f>20.3035 * CHOOSE(CONTROL!$C$22, $C$13, 100%, $E$13)</f>
        <v>20.3035</v>
      </c>
      <c r="J677" s="68">
        <f>12.4468 * CHOOSE(CONTROL!$C$22, $C$13, 100%, $E$13)</f>
        <v>12.4468</v>
      </c>
      <c r="K677" s="68">
        <f>12.4481 * CHOOSE(CONTROL!$C$22, $C$13, 100%, $E$13)</f>
        <v>12.4481</v>
      </c>
    </row>
    <row r="678" spans="1:11" ht="15">
      <c r="A678" s="13">
        <v>61760</v>
      </c>
      <c r="B678" s="67">
        <f>10.7777 * CHOOSE(CONTROL!$C$22, $C$13, 100%, $E$13)</f>
        <v>10.777699999999999</v>
      </c>
      <c r="C678" s="67">
        <f>10.7777 * CHOOSE(CONTROL!$C$22, $C$13, 100%, $E$13)</f>
        <v>10.777699999999999</v>
      </c>
      <c r="D678" s="67">
        <f>10.7787 * CHOOSE(CONTROL!$C$22, $C$13, 100%, $E$13)</f>
        <v>10.778700000000001</v>
      </c>
      <c r="E678" s="68">
        <f>12.2292 * CHOOSE(CONTROL!$C$22, $C$13, 100%, $E$13)</f>
        <v>12.229200000000001</v>
      </c>
      <c r="F678" s="68">
        <f>12.2292 * CHOOSE(CONTROL!$C$22, $C$13, 100%, $E$13)</f>
        <v>12.229200000000001</v>
      </c>
      <c r="G678" s="68">
        <f>12.2305 * CHOOSE(CONTROL!$C$22, $C$13, 100%, $E$13)</f>
        <v>12.230499999999999</v>
      </c>
      <c r="H678" s="68">
        <f>20.3445* CHOOSE(CONTROL!$C$22, $C$13, 100%, $E$13)</f>
        <v>20.3445</v>
      </c>
      <c r="I678" s="68">
        <f>20.3458 * CHOOSE(CONTROL!$C$22, $C$13, 100%, $E$13)</f>
        <v>20.345800000000001</v>
      </c>
      <c r="J678" s="68">
        <f>12.2292 * CHOOSE(CONTROL!$C$22, $C$13, 100%, $E$13)</f>
        <v>12.229200000000001</v>
      </c>
      <c r="K678" s="68">
        <f>12.2305 * CHOOSE(CONTROL!$C$22, $C$13, 100%, $E$13)</f>
        <v>12.230499999999999</v>
      </c>
    </row>
    <row r="679" spans="1:11" ht="15">
      <c r="A679" s="13">
        <v>61788</v>
      </c>
      <c r="B679" s="67">
        <f>10.7747 * CHOOSE(CONTROL!$C$22, $C$13, 100%, $E$13)</f>
        <v>10.774699999999999</v>
      </c>
      <c r="C679" s="67">
        <f>10.7747 * CHOOSE(CONTROL!$C$22, $C$13, 100%, $E$13)</f>
        <v>10.774699999999999</v>
      </c>
      <c r="D679" s="67">
        <f>10.7756 * CHOOSE(CONTROL!$C$22, $C$13, 100%, $E$13)</f>
        <v>10.775600000000001</v>
      </c>
      <c r="E679" s="68">
        <f>12.397 * CHOOSE(CONTROL!$C$22, $C$13, 100%, $E$13)</f>
        <v>12.397</v>
      </c>
      <c r="F679" s="68">
        <f>12.397 * CHOOSE(CONTROL!$C$22, $C$13, 100%, $E$13)</f>
        <v>12.397</v>
      </c>
      <c r="G679" s="68">
        <f>12.3983 * CHOOSE(CONTROL!$C$22, $C$13, 100%, $E$13)</f>
        <v>12.398300000000001</v>
      </c>
      <c r="H679" s="68">
        <f>20.3869* CHOOSE(CONTROL!$C$22, $C$13, 100%, $E$13)</f>
        <v>20.386900000000001</v>
      </c>
      <c r="I679" s="68">
        <f>20.3881 * CHOOSE(CONTROL!$C$22, $C$13, 100%, $E$13)</f>
        <v>20.388100000000001</v>
      </c>
      <c r="J679" s="68">
        <f>12.397 * CHOOSE(CONTROL!$C$22, $C$13, 100%, $E$13)</f>
        <v>12.397</v>
      </c>
      <c r="K679" s="68">
        <f>12.3983 * CHOOSE(CONTROL!$C$22, $C$13, 100%, $E$13)</f>
        <v>12.398300000000001</v>
      </c>
    </row>
    <row r="680" spans="1:11" ht="15">
      <c r="A680" s="13">
        <v>61819</v>
      </c>
      <c r="B680" s="67">
        <f>10.778 * CHOOSE(CONTROL!$C$22, $C$13, 100%, $E$13)</f>
        <v>10.778</v>
      </c>
      <c r="C680" s="67">
        <f>10.778 * CHOOSE(CONTROL!$C$22, $C$13, 100%, $E$13)</f>
        <v>10.778</v>
      </c>
      <c r="D680" s="67">
        <f>10.779 * CHOOSE(CONTROL!$C$22, $C$13, 100%, $E$13)</f>
        <v>10.779</v>
      </c>
      <c r="E680" s="68">
        <f>12.5752 * CHOOSE(CONTROL!$C$22, $C$13, 100%, $E$13)</f>
        <v>12.575200000000001</v>
      </c>
      <c r="F680" s="68">
        <f>12.5752 * CHOOSE(CONTROL!$C$22, $C$13, 100%, $E$13)</f>
        <v>12.575200000000001</v>
      </c>
      <c r="G680" s="68">
        <f>12.5764 * CHOOSE(CONTROL!$C$22, $C$13, 100%, $E$13)</f>
        <v>12.5764</v>
      </c>
      <c r="H680" s="68">
        <f>20.4293* CHOOSE(CONTROL!$C$22, $C$13, 100%, $E$13)</f>
        <v>20.429300000000001</v>
      </c>
      <c r="I680" s="68">
        <f>20.4306 * CHOOSE(CONTROL!$C$22, $C$13, 100%, $E$13)</f>
        <v>20.430599999999998</v>
      </c>
      <c r="J680" s="68">
        <f>12.5752 * CHOOSE(CONTROL!$C$22, $C$13, 100%, $E$13)</f>
        <v>12.575200000000001</v>
      </c>
      <c r="K680" s="68">
        <f>12.5764 * CHOOSE(CONTROL!$C$22, $C$13, 100%, $E$13)</f>
        <v>12.5764</v>
      </c>
    </row>
    <row r="681" spans="1:11" ht="15">
      <c r="A681" s="13">
        <v>61849</v>
      </c>
      <c r="B681" s="67">
        <f>10.778 * CHOOSE(CONTROL!$C$22, $C$13, 100%, $E$13)</f>
        <v>10.778</v>
      </c>
      <c r="C681" s="67">
        <f>10.778 * CHOOSE(CONTROL!$C$22, $C$13, 100%, $E$13)</f>
        <v>10.778</v>
      </c>
      <c r="D681" s="67">
        <f>10.7806 * CHOOSE(CONTROL!$C$22, $C$13, 100%, $E$13)</f>
        <v>10.7806</v>
      </c>
      <c r="E681" s="68">
        <f>12.6436 * CHOOSE(CONTROL!$C$22, $C$13, 100%, $E$13)</f>
        <v>12.643599999999999</v>
      </c>
      <c r="F681" s="68">
        <f>12.6436 * CHOOSE(CONTROL!$C$22, $C$13, 100%, $E$13)</f>
        <v>12.643599999999999</v>
      </c>
      <c r="G681" s="68">
        <f>12.6468 * CHOOSE(CONTROL!$C$22, $C$13, 100%, $E$13)</f>
        <v>12.646800000000001</v>
      </c>
      <c r="H681" s="68">
        <f>20.4719* CHOOSE(CONTROL!$C$22, $C$13, 100%, $E$13)</f>
        <v>20.471900000000002</v>
      </c>
      <c r="I681" s="68">
        <f>20.4751 * CHOOSE(CONTROL!$C$22, $C$13, 100%, $E$13)</f>
        <v>20.475100000000001</v>
      </c>
      <c r="J681" s="68">
        <f>12.6436 * CHOOSE(CONTROL!$C$22, $C$13, 100%, $E$13)</f>
        <v>12.643599999999999</v>
      </c>
      <c r="K681" s="68">
        <f>12.6468 * CHOOSE(CONTROL!$C$22, $C$13, 100%, $E$13)</f>
        <v>12.646800000000001</v>
      </c>
    </row>
    <row r="682" spans="1:11" ht="15">
      <c r="A682" s="13">
        <v>61880</v>
      </c>
      <c r="B682" s="67">
        <f>10.7841 * CHOOSE(CONTROL!$C$22, $C$13, 100%, $E$13)</f>
        <v>10.7841</v>
      </c>
      <c r="C682" s="67">
        <f>10.7841 * CHOOSE(CONTROL!$C$22, $C$13, 100%, $E$13)</f>
        <v>10.7841</v>
      </c>
      <c r="D682" s="67">
        <f>10.7867 * CHOOSE(CONTROL!$C$22, $C$13, 100%, $E$13)</f>
        <v>10.7867</v>
      </c>
      <c r="E682" s="68">
        <f>12.5794 * CHOOSE(CONTROL!$C$22, $C$13, 100%, $E$13)</f>
        <v>12.5794</v>
      </c>
      <c r="F682" s="68">
        <f>12.5794 * CHOOSE(CONTROL!$C$22, $C$13, 100%, $E$13)</f>
        <v>12.5794</v>
      </c>
      <c r="G682" s="68">
        <f>12.5827 * CHOOSE(CONTROL!$C$22, $C$13, 100%, $E$13)</f>
        <v>12.582700000000001</v>
      </c>
      <c r="H682" s="68">
        <f>20.5145* CHOOSE(CONTROL!$C$22, $C$13, 100%, $E$13)</f>
        <v>20.514500000000002</v>
      </c>
      <c r="I682" s="68">
        <f>20.5178 * CHOOSE(CONTROL!$C$22, $C$13, 100%, $E$13)</f>
        <v>20.517800000000001</v>
      </c>
      <c r="J682" s="68">
        <f>12.5794 * CHOOSE(CONTROL!$C$22, $C$13, 100%, $E$13)</f>
        <v>12.5794</v>
      </c>
      <c r="K682" s="68">
        <f>12.5827 * CHOOSE(CONTROL!$C$22, $C$13, 100%, $E$13)</f>
        <v>12.582700000000001</v>
      </c>
    </row>
    <row r="683" spans="1:11" ht="15">
      <c r="A683" s="13">
        <v>61910</v>
      </c>
      <c r="B683" s="67">
        <f>10.9499 * CHOOSE(CONTROL!$C$22, $C$13, 100%, $E$13)</f>
        <v>10.9499</v>
      </c>
      <c r="C683" s="67">
        <f>10.9499 * CHOOSE(CONTROL!$C$22, $C$13, 100%, $E$13)</f>
        <v>10.9499</v>
      </c>
      <c r="D683" s="67">
        <f>10.9525 * CHOOSE(CONTROL!$C$22, $C$13, 100%, $E$13)</f>
        <v>10.952500000000001</v>
      </c>
      <c r="E683" s="68">
        <f>12.7821 * CHOOSE(CONTROL!$C$22, $C$13, 100%, $E$13)</f>
        <v>12.7821</v>
      </c>
      <c r="F683" s="68">
        <f>12.7821 * CHOOSE(CONTROL!$C$22, $C$13, 100%, $E$13)</f>
        <v>12.7821</v>
      </c>
      <c r="G683" s="68">
        <f>12.7853 * CHOOSE(CONTROL!$C$22, $C$13, 100%, $E$13)</f>
        <v>12.785299999999999</v>
      </c>
      <c r="H683" s="68">
        <f>20.5573* CHOOSE(CONTROL!$C$22, $C$13, 100%, $E$13)</f>
        <v>20.557300000000001</v>
      </c>
      <c r="I683" s="68">
        <f>20.5605 * CHOOSE(CONTROL!$C$22, $C$13, 100%, $E$13)</f>
        <v>20.560500000000001</v>
      </c>
      <c r="J683" s="68">
        <f>12.7821 * CHOOSE(CONTROL!$C$22, $C$13, 100%, $E$13)</f>
        <v>12.7821</v>
      </c>
      <c r="K683" s="68">
        <f>12.7853 * CHOOSE(CONTROL!$C$22, $C$13, 100%, $E$13)</f>
        <v>12.785299999999999</v>
      </c>
    </row>
    <row r="684" spans="1:11" ht="15">
      <c r="A684" s="13">
        <v>61941</v>
      </c>
      <c r="B684" s="67">
        <f>10.9566 * CHOOSE(CONTROL!$C$22, $C$13, 100%, $E$13)</f>
        <v>10.9566</v>
      </c>
      <c r="C684" s="67">
        <f>10.9566 * CHOOSE(CONTROL!$C$22, $C$13, 100%, $E$13)</f>
        <v>10.9566</v>
      </c>
      <c r="D684" s="67">
        <f>10.9592 * CHOOSE(CONTROL!$C$22, $C$13, 100%, $E$13)</f>
        <v>10.959199999999999</v>
      </c>
      <c r="E684" s="68">
        <f>12.5815 * CHOOSE(CONTROL!$C$22, $C$13, 100%, $E$13)</f>
        <v>12.5815</v>
      </c>
      <c r="F684" s="68">
        <f>12.5815 * CHOOSE(CONTROL!$C$22, $C$13, 100%, $E$13)</f>
        <v>12.5815</v>
      </c>
      <c r="G684" s="68">
        <f>12.5848 * CHOOSE(CONTROL!$C$22, $C$13, 100%, $E$13)</f>
        <v>12.5848</v>
      </c>
      <c r="H684" s="68">
        <f>20.6001* CHOOSE(CONTROL!$C$22, $C$13, 100%, $E$13)</f>
        <v>20.600100000000001</v>
      </c>
      <c r="I684" s="68">
        <f>20.6034 * CHOOSE(CONTROL!$C$22, $C$13, 100%, $E$13)</f>
        <v>20.603400000000001</v>
      </c>
      <c r="J684" s="68">
        <f>12.5815 * CHOOSE(CONTROL!$C$22, $C$13, 100%, $E$13)</f>
        <v>12.5815</v>
      </c>
      <c r="K684" s="68">
        <f>12.5848 * CHOOSE(CONTROL!$C$22, $C$13, 100%, $E$13)</f>
        <v>12.5848</v>
      </c>
    </row>
    <row r="685" spans="1:11" ht="15">
      <c r="A685" s="13">
        <v>61972</v>
      </c>
      <c r="B685" s="67">
        <f>10.9536 * CHOOSE(CONTROL!$C$22, $C$13, 100%, $E$13)</f>
        <v>10.9536</v>
      </c>
      <c r="C685" s="67">
        <f>10.9536 * CHOOSE(CONTROL!$C$22, $C$13, 100%, $E$13)</f>
        <v>10.9536</v>
      </c>
      <c r="D685" s="67">
        <f>10.9562 * CHOOSE(CONTROL!$C$22, $C$13, 100%, $E$13)</f>
        <v>10.956200000000001</v>
      </c>
      <c r="E685" s="68">
        <f>12.5566 * CHOOSE(CONTROL!$C$22, $C$13, 100%, $E$13)</f>
        <v>12.5566</v>
      </c>
      <c r="F685" s="68">
        <f>12.5566 * CHOOSE(CONTROL!$C$22, $C$13, 100%, $E$13)</f>
        <v>12.5566</v>
      </c>
      <c r="G685" s="68">
        <f>12.5598 * CHOOSE(CONTROL!$C$22, $C$13, 100%, $E$13)</f>
        <v>12.559799999999999</v>
      </c>
      <c r="H685" s="68">
        <f>20.643* CHOOSE(CONTROL!$C$22, $C$13, 100%, $E$13)</f>
        <v>20.643000000000001</v>
      </c>
      <c r="I685" s="68">
        <f>20.6463 * CHOOSE(CONTROL!$C$22, $C$13, 100%, $E$13)</f>
        <v>20.6463</v>
      </c>
      <c r="J685" s="68">
        <f>12.5566 * CHOOSE(CONTROL!$C$22, $C$13, 100%, $E$13)</f>
        <v>12.5566</v>
      </c>
      <c r="K685" s="68">
        <f>12.5598 * CHOOSE(CONTROL!$C$22, $C$13, 100%, $E$13)</f>
        <v>12.559799999999999</v>
      </c>
    </row>
    <row r="686" spans="1:11" ht="15">
      <c r="A686" s="13">
        <v>62002</v>
      </c>
      <c r="B686" s="67">
        <f>10.9711 * CHOOSE(CONTROL!$C$22, $C$13, 100%, $E$13)</f>
        <v>10.9711</v>
      </c>
      <c r="C686" s="67">
        <f>10.9711 * CHOOSE(CONTROL!$C$22, $C$13, 100%, $E$13)</f>
        <v>10.9711</v>
      </c>
      <c r="D686" s="67">
        <f>10.9721 * CHOOSE(CONTROL!$C$22, $C$13, 100%, $E$13)</f>
        <v>10.972099999999999</v>
      </c>
      <c r="E686" s="68">
        <f>12.6344 * CHOOSE(CONTROL!$C$22, $C$13, 100%, $E$13)</f>
        <v>12.634399999999999</v>
      </c>
      <c r="F686" s="68">
        <f>12.6344 * CHOOSE(CONTROL!$C$22, $C$13, 100%, $E$13)</f>
        <v>12.634399999999999</v>
      </c>
      <c r="G686" s="68">
        <f>12.6357 * CHOOSE(CONTROL!$C$22, $C$13, 100%, $E$13)</f>
        <v>12.6357</v>
      </c>
      <c r="H686" s="68">
        <f>20.686* CHOOSE(CONTROL!$C$22, $C$13, 100%, $E$13)</f>
        <v>20.686</v>
      </c>
      <c r="I686" s="68">
        <f>20.6873 * CHOOSE(CONTROL!$C$22, $C$13, 100%, $E$13)</f>
        <v>20.6873</v>
      </c>
      <c r="J686" s="68">
        <f>12.6344 * CHOOSE(CONTROL!$C$22, $C$13, 100%, $E$13)</f>
        <v>12.634399999999999</v>
      </c>
      <c r="K686" s="68">
        <f>12.6357 * CHOOSE(CONTROL!$C$22, $C$13, 100%, $E$13)</f>
        <v>12.6357</v>
      </c>
    </row>
    <row r="687" spans="1:11" ht="15">
      <c r="A687" s="13">
        <v>62033</v>
      </c>
      <c r="B687" s="67">
        <f>10.9742 * CHOOSE(CONTROL!$C$22, $C$13, 100%, $E$13)</f>
        <v>10.9742</v>
      </c>
      <c r="C687" s="67">
        <f>10.9742 * CHOOSE(CONTROL!$C$22, $C$13, 100%, $E$13)</f>
        <v>10.9742</v>
      </c>
      <c r="D687" s="67">
        <f>10.9752 * CHOOSE(CONTROL!$C$22, $C$13, 100%, $E$13)</f>
        <v>10.975199999999999</v>
      </c>
      <c r="E687" s="68">
        <f>12.6821 * CHOOSE(CONTROL!$C$22, $C$13, 100%, $E$13)</f>
        <v>12.6821</v>
      </c>
      <c r="F687" s="68">
        <f>12.6821 * CHOOSE(CONTROL!$C$22, $C$13, 100%, $E$13)</f>
        <v>12.6821</v>
      </c>
      <c r="G687" s="68">
        <f>12.6834 * CHOOSE(CONTROL!$C$22, $C$13, 100%, $E$13)</f>
        <v>12.683400000000001</v>
      </c>
      <c r="H687" s="68">
        <f>20.7291* CHOOSE(CONTROL!$C$22, $C$13, 100%, $E$13)</f>
        <v>20.729099999999999</v>
      </c>
      <c r="I687" s="68">
        <f>20.7304 * CHOOSE(CONTROL!$C$22, $C$13, 100%, $E$13)</f>
        <v>20.730399999999999</v>
      </c>
      <c r="J687" s="68">
        <f>12.6821 * CHOOSE(CONTROL!$C$22, $C$13, 100%, $E$13)</f>
        <v>12.6821</v>
      </c>
      <c r="K687" s="68">
        <f>12.6834 * CHOOSE(CONTROL!$C$22, $C$13, 100%, $E$13)</f>
        <v>12.683400000000001</v>
      </c>
    </row>
    <row r="688" spans="1:11" ht="15">
      <c r="A688" s="13">
        <v>62063</v>
      </c>
      <c r="B688" s="67">
        <f>10.9742 * CHOOSE(CONTROL!$C$22, $C$13, 100%, $E$13)</f>
        <v>10.9742</v>
      </c>
      <c r="C688" s="67">
        <f>10.9742 * CHOOSE(CONTROL!$C$22, $C$13, 100%, $E$13)</f>
        <v>10.9742</v>
      </c>
      <c r="D688" s="67">
        <f>10.9752 * CHOOSE(CONTROL!$C$22, $C$13, 100%, $E$13)</f>
        <v>10.975199999999999</v>
      </c>
      <c r="E688" s="68">
        <f>12.5681 * CHOOSE(CONTROL!$C$22, $C$13, 100%, $E$13)</f>
        <v>12.568099999999999</v>
      </c>
      <c r="F688" s="68">
        <f>12.5681 * CHOOSE(CONTROL!$C$22, $C$13, 100%, $E$13)</f>
        <v>12.568099999999999</v>
      </c>
      <c r="G688" s="68">
        <f>12.5694 * CHOOSE(CONTROL!$C$22, $C$13, 100%, $E$13)</f>
        <v>12.5694</v>
      </c>
      <c r="H688" s="68">
        <f>20.7723* CHOOSE(CONTROL!$C$22, $C$13, 100%, $E$13)</f>
        <v>20.772300000000001</v>
      </c>
      <c r="I688" s="68">
        <f>20.7736 * CHOOSE(CONTROL!$C$22, $C$13, 100%, $E$13)</f>
        <v>20.773599999999998</v>
      </c>
      <c r="J688" s="68">
        <f>12.5681 * CHOOSE(CONTROL!$C$22, $C$13, 100%, $E$13)</f>
        <v>12.568099999999999</v>
      </c>
      <c r="K688" s="68">
        <f>12.5694 * CHOOSE(CONTROL!$C$22, $C$13, 100%, $E$13)</f>
        <v>12.5694</v>
      </c>
    </row>
    <row r="689" spans="1:11" ht="15">
      <c r="A689" s="13">
        <v>62094</v>
      </c>
      <c r="B689" s="67">
        <f>11.0163 * CHOOSE(CONTROL!$C$22, $C$13, 100%, $E$13)</f>
        <v>11.016299999999999</v>
      </c>
      <c r="C689" s="67">
        <f>11.0163 * CHOOSE(CONTROL!$C$22, $C$13, 100%, $E$13)</f>
        <v>11.016299999999999</v>
      </c>
      <c r="D689" s="67">
        <f>11.0173 * CHOOSE(CONTROL!$C$22, $C$13, 100%, $E$13)</f>
        <v>11.017300000000001</v>
      </c>
      <c r="E689" s="68">
        <f>12.7015 * CHOOSE(CONTROL!$C$22, $C$13, 100%, $E$13)</f>
        <v>12.701499999999999</v>
      </c>
      <c r="F689" s="68">
        <f>12.7015 * CHOOSE(CONTROL!$C$22, $C$13, 100%, $E$13)</f>
        <v>12.701499999999999</v>
      </c>
      <c r="G689" s="68">
        <f>12.7028 * CHOOSE(CONTROL!$C$22, $C$13, 100%, $E$13)</f>
        <v>12.7028</v>
      </c>
      <c r="H689" s="68">
        <f>20.7292* CHOOSE(CONTROL!$C$22, $C$13, 100%, $E$13)</f>
        <v>20.729199999999999</v>
      </c>
      <c r="I689" s="68">
        <f>20.7305 * CHOOSE(CONTROL!$C$22, $C$13, 100%, $E$13)</f>
        <v>20.730499999999999</v>
      </c>
      <c r="J689" s="68">
        <f>12.7015 * CHOOSE(CONTROL!$C$22, $C$13, 100%, $E$13)</f>
        <v>12.701499999999999</v>
      </c>
      <c r="K689" s="68">
        <f>12.7028 * CHOOSE(CONTROL!$C$22, $C$13, 100%, $E$13)</f>
        <v>12.7028</v>
      </c>
    </row>
    <row r="690" spans="1:11" ht="15">
      <c r="A690" s="13">
        <v>62125</v>
      </c>
      <c r="B690" s="67">
        <f>11.0133 * CHOOSE(CONTROL!$C$22, $C$13, 100%, $E$13)</f>
        <v>11.013299999999999</v>
      </c>
      <c r="C690" s="67">
        <f>11.0133 * CHOOSE(CONTROL!$C$22, $C$13, 100%, $E$13)</f>
        <v>11.013299999999999</v>
      </c>
      <c r="D690" s="67">
        <f>11.0143 * CHOOSE(CONTROL!$C$22, $C$13, 100%, $E$13)</f>
        <v>11.0143</v>
      </c>
      <c r="E690" s="68">
        <f>12.479 * CHOOSE(CONTROL!$C$22, $C$13, 100%, $E$13)</f>
        <v>12.478999999999999</v>
      </c>
      <c r="F690" s="68">
        <f>12.479 * CHOOSE(CONTROL!$C$22, $C$13, 100%, $E$13)</f>
        <v>12.478999999999999</v>
      </c>
      <c r="G690" s="68">
        <f>12.4803 * CHOOSE(CONTROL!$C$22, $C$13, 100%, $E$13)</f>
        <v>12.4803</v>
      </c>
      <c r="H690" s="68">
        <f>20.7724* CHOOSE(CONTROL!$C$22, $C$13, 100%, $E$13)</f>
        <v>20.772400000000001</v>
      </c>
      <c r="I690" s="68">
        <f>20.7737 * CHOOSE(CONTROL!$C$22, $C$13, 100%, $E$13)</f>
        <v>20.773700000000002</v>
      </c>
      <c r="J690" s="68">
        <f>12.479 * CHOOSE(CONTROL!$C$22, $C$13, 100%, $E$13)</f>
        <v>12.478999999999999</v>
      </c>
      <c r="K690" s="68">
        <f>12.4803 * CHOOSE(CONTROL!$C$22, $C$13, 100%, $E$13)</f>
        <v>12.4803</v>
      </c>
    </row>
    <row r="691" spans="1:11" ht="15">
      <c r="A691" s="13">
        <v>62153</v>
      </c>
      <c r="B691" s="67">
        <f>11.0102 * CHOOSE(CONTROL!$C$22, $C$13, 100%, $E$13)</f>
        <v>11.010199999999999</v>
      </c>
      <c r="C691" s="67">
        <f>11.0102 * CHOOSE(CONTROL!$C$22, $C$13, 100%, $E$13)</f>
        <v>11.010199999999999</v>
      </c>
      <c r="D691" s="67">
        <f>11.0112 * CHOOSE(CONTROL!$C$22, $C$13, 100%, $E$13)</f>
        <v>11.011200000000001</v>
      </c>
      <c r="E691" s="68">
        <f>12.6507 * CHOOSE(CONTROL!$C$22, $C$13, 100%, $E$13)</f>
        <v>12.650700000000001</v>
      </c>
      <c r="F691" s="68">
        <f>12.6507 * CHOOSE(CONTROL!$C$22, $C$13, 100%, $E$13)</f>
        <v>12.650700000000001</v>
      </c>
      <c r="G691" s="68">
        <f>12.6519 * CHOOSE(CONTROL!$C$22, $C$13, 100%, $E$13)</f>
        <v>12.651899999999999</v>
      </c>
      <c r="H691" s="68">
        <f>20.8157* CHOOSE(CONTROL!$C$22, $C$13, 100%, $E$13)</f>
        <v>20.8157</v>
      </c>
      <c r="I691" s="68">
        <f>20.8169 * CHOOSE(CONTROL!$C$22, $C$13, 100%, $E$13)</f>
        <v>20.8169</v>
      </c>
      <c r="J691" s="68">
        <f>12.6507 * CHOOSE(CONTROL!$C$22, $C$13, 100%, $E$13)</f>
        <v>12.650700000000001</v>
      </c>
      <c r="K691" s="68">
        <f>12.6519 * CHOOSE(CONTROL!$C$22, $C$13, 100%, $E$13)</f>
        <v>12.651899999999999</v>
      </c>
    </row>
    <row r="692" spans="1:11" ht="15">
      <c r="A692" s="13">
        <v>62184</v>
      </c>
      <c r="B692" s="67">
        <f>11.0138 * CHOOSE(CONTROL!$C$22, $C$13, 100%, $E$13)</f>
        <v>11.0138</v>
      </c>
      <c r="C692" s="67">
        <f>11.0138 * CHOOSE(CONTROL!$C$22, $C$13, 100%, $E$13)</f>
        <v>11.0138</v>
      </c>
      <c r="D692" s="67">
        <f>11.0148 * CHOOSE(CONTROL!$C$22, $C$13, 100%, $E$13)</f>
        <v>11.014799999999999</v>
      </c>
      <c r="E692" s="68">
        <f>12.833 * CHOOSE(CONTROL!$C$22, $C$13, 100%, $E$13)</f>
        <v>12.833</v>
      </c>
      <c r="F692" s="68">
        <f>12.833 * CHOOSE(CONTROL!$C$22, $C$13, 100%, $E$13)</f>
        <v>12.833</v>
      </c>
      <c r="G692" s="68">
        <f>12.8343 * CHOOSE(CONTROL!$C$22, $C$13, 100%, $E$13)</f>
        <v>12.834300000000001</v>
      </c>
      <c r="H692" s="68">
        <f>20.859* CHOOSE(CONTROL!$C$22, $C$13, 100%, $E$13)</f>
        <v>20.859000000000002</v>
      </c>
      <c r="I692" s="68">
        <f>20.8603 * CHOOSE(CONTROL!$C$22, $C$13, 100%, $E$13)</f>
        <v>20.860299999999999</v>
      </c>
      <c r="J692" s="68">
        <f>12.833 * CHOOSE(CONTROL!$C$22, $C$13, 100%, $E$13)</f>
        <v>12.833</v>
      </c>
      <c r="K692" s="68">
        <f>12.8343 * CHOOSE(CONTROL!$C$22, $C$13, 100%, $E$13)</f>
        <v>12.834300000000001</v>
      </c>
    </row>
    <row r="693" spans="1:11" ht="15">
      <c r="A693" s="13">
        <v>62214</v>
      </c>
      <c r="B693" s="67">
        <f>11.0138 * CHOOSE(CONTROL!$C$22, $C$13, 100%, $E$13)</f>
        <v>11.0138</v>
      </c>
      <c r="C693" s="67">
        <f>11.0138 * CHOOSE(CONTROL!$C$22, $C$13, 100%, $E$13)</f>
        <v>11.0138</v>
      </c>
      <c r="D693" s="67">
        <f>11.0164 * CHOOSE(CONTROL!$C$22, $C$13, 100%, $E$13)</f>
        <v>11.016400000000001</v>
      </c>
      <c r="E693" s="68">
        <f>12.903 * CHOOSE(CONTROL!$C$22, $C$13, 100%, $E$13)</f>
        <v>12.903</v>
      </c>
      <c r="F693" s="68">
        <f>12.903 * CHOOSE(CONTROL!$C$22, $C$13, 100%, $E$13)</f>
        <v>12.903</v>
      </c>
      <c r="G693" s="68">
        <f>12.9062 * CHOOSE(CONTROL!$C$22, $C$13, 100%, $E$13)</f>
        <v>12.9062</v>
      </c>
      <c r="H693" s="68">
        <f>20.9025* CHOOSE(CONTROL!$C$22, $C$13, 100%, $E$13)</f>
        <v>20.9025</v>
      </c>
      <c r="I693" s="68">
        <f>20.9057 * CHOOSE(CONTROL!$C$22, $C$13, 100%, $E$13)</f>
        <v>20.9057</v>
      </c>
      <c r="J693" s="68">
        <f>12.903 * CHOOSE(CONTROL!$C$22, $C$13, 100%, $E$13)</f>
        <v>12.903</v>
      </c>
      <c r="K693" s="68">
        <f>12.9062 * CHOOSE(CONTROL!$C$22, $C$13, 100%, $E$13)</f>
        <v>12.9062</v>
      </c>
    </row>
    <row r="694" spans="1:11" ht="15">
      <c r="A694" s="13">
        <v>62245</v>
      </c>
      <c r="B694" s="67">
        <f>11.0199 * CHOOSE(CONTROL!$C$22, $C$13, 100%, $E$13)</f>
        <v>11.0199</v>
      </c>
      <c r="C694" s="67">
        <f>11.0199 * CHOOSE(CONTROL!$C$22, $C$13, 100%, $E$13)</f>
        <v>11.0199</v>
      </c>
      <c r="D694" s="67">
        <f>11.0225 * CHOOSE(CONTROL!$C$22, $C$13, 100%, $E$13)</f>
        <v>11.022500000000001</v>
      </c>
      <c r="E694" s="68">
        <f>12.8373 * CHOOSE(CONTROL!$C$22, $C$13, 100%, $E$13)</f>
        <v>12.837300000000001</v>
      </c>
      <c r="F694" s="68">
        <f>12.8373 * CHOOSE(CONTROL!$C$22, $C$13, 100%, $E$13)</f>
        <v>12.837300000000001</v>
      </c>
      <c r="G694" s="68">
        <f>12.8405 * CHOOSE(CONTROL!$C$22, $C$13, 100%, $E$13)</f>
        <v>12.8405</v>
      </c>
      <c r="H694" s="68">
        <f>20.946* CHOOSE(CONTROL!$C$22, $C$13, 100%, $E$13)</f>
        <v>20.946000000000002</v>
      </c>
      <c r="I694" s="68">
        <f>20.9493 * CHOOSE(CONTROL!$C$22, $C$13, 100%, $E$13)</f>
        <v>20.949300000000001</v>
      </c>
      <c r="J694" s="68">
        <f>12.8373 * CHOOSE(CONTROL!$C$22, $C$13, 100%, $E$13)</f>
        <v>12.837300000000001</v>
      </c>
      <c r="K694" s="68">
        <f>12.8405 * CHOOSE(CONTROL!$C$22, $C$13, 100%, $E$13)</f>
        <v>12.8405</v>
      </c>
    </row>
    <row r="695" spans="1:11" ht="15">
      <c r="A695" s="13">
        <v>62275</v>
      </c>
      <c r="B695" s="67">
        <f>11.1891 * CHOOSE(CONTROL!$C$22, $C$13, 100%, $E$13)</f>
        <v>11.1891</v>
      </c>
      <c r="C695" s="67">
        <f>11.1891 * CHOOSE(CONTROL!$C$22, $C$13, 100%, $E$13)</f>
        <v>11.1891</v>
      </c>
      <c r="D695" s="67">
        <f>11.1917 * CHOOSE(CONTROL!$C$22, $C$13, 100%, $E$13)</f>
        <v>11.191700000000001</v>
      </c>
      <c r="E695" s="68">
        <f>13.0438 * CHOOSE(CONTROL!$C$22, $C$13, 100%, $E$13)</f>
        <v>13.043799999999999</v>
      </c>
      <c r="F695" s="68">
        <f>13.0438 * CHOOSE(CONTROL!$C$22, $C$13, 100%, $E$13)</f>
        <v>13.043799999999999</v>
      </c>
      <c r="G695" s="68">
        <f>13.0471 * CHOOSE(CONTROL!$C$22, $C$13, 100%, $E$13)</f>
        <v>13.0471</v>
      </c>
      <c r="H695" s="68">
        <f>20.9897* CHOOSE(CONTROL!$C$22, $C$13, 100%, $E$13)</f>
        <v>20.989699999999999</v>
      </c>
      <c r="I695" s="68">
        <f>20.9929 * CHOOSE(CONTROL!$C$22, $C$13, 100%, $E$13)</f>
        <v>20.992899999999999</v>
      </c>
      <c r="J695" s="68">
        <f>13.0438 * CHOOSE(CONTROL!$C$22, $C$13, 100%, $E$13)</f>
        <v>13.043799999999999</v>
      </c>
      <c r="K695" s="68">
        <f>13.0471 * CHOOSE(CONTROL!$C$22, $C$13, 100%, $E$13)</f>
        <v>13.0471</v>
      </c>
    </row>
    <row r="696" spans="1:11" ht="15">
      <c r="A696" s="13">
        <v>62306</v>
      </c>
      <c r="B696" s="67">
        <f>11.1958 * CHOOSE(CONTROL!$C$22, $C$13, 100%, $E$13)</f>
        <v>11.1958</v>
      </c>
      <c r="C696" s="67">
        <f>11.1958 * CHOOSE(CONTROL!$C$22, $C$13, 100%, $E$13)</f>
        <v>11.1958</v>
      </c>
      <c r="D696" s="67">
        <f>11.1984 * CHOOSE(CONTROL!$C$22, $C$13, 100%, $E$13)</f>
        <v>11.198399999999999</v>
      </c>
      <c r="E696" s="68">
        <f>12.8386 * CHOOSE(CONTROL!$C$22, $C$13, 100%, $E$13)</f>
        <v>12.8386</v>
      </c>
      <c r="F696" s="68">
        <f>12.8386 * CHOOSE(CONTROL!$C$22, $C$13, 100%, $E$13)</f>
        <v>12.8386</v>
      </c>
      <c r="G696" s="68">
        <f>12.8418 * CHOOSE(CONTROL!$C$22, $C$13, 100%, $E$13)</f>
        <v>12.841799999999999</v>
      </c>
      <c r="H696" s="68">
        <f>21.0334* CHOOSE(CONTROL!$C$22, $C$13, 100%, $E$13)</f>
        <v>21.0334</v>
      </c>
      <c r="I696" s="68">
        <f>21.0366 * CHOOSE(CONTROL!$C$22, $C$13, 100%, $E$13)</f>
        <v>21.0366</v>
      </c>
      <c r="J696" s="68">
        <f>12.8386 * CHOOSE(CONTROL!$C$22, $C$13, 100%, $E$13)</f>
        <v>12.8386</v>
      </c>
      <c r="K696" s="68">
        <f>12.8418 * CHOOSE(CONTROL!$C$22, $C$13, 100%, $E$13)</f>
        <v>12.841799999999999</v>
      </c>
    </row>
    <row r="697" spans="1:11" ht="15">
      <c r="A697" s="13">
        <v>62337</v>
      </c>
      <c r="B697" s="67">
        <f>11.1927 * CHOOSE(CONTROL!$C$22, $C$13, 100%, $E$13)</f>
        <v>11.1927</v>
      </c>
      <c r="C697" s="67">
        <f>11.1927 * CHOOSE(CONTROL!$C$22, $C$13, 100%, $E$13)</f>
        <v>11.1927</v>
      </c>
      <c r="D697" s="67">
        <f>11.1954 * CHOOSE(CONTROL!$C$22, $C$13, 100%, $E$13)</f>
        <v>11.195399999999999</v>
      </c>
      <c r="E697" s="68">
        <f>12.8131 * CHOOSE(CONTROL!$C$22, $C$13, 100%, $E$13)</f>
        <v>12.8131</v>
      </c>
      <c r="F697" s="68">
        <f>12.8131 * CHOOSE(CONTROL!$C$22, $C$13, 100%, $E$13)</f>
        <v>12.8131</v>
      </c>
      <c r="G697" s="68">
        <f>12.8164 * CHOOSE(CONTROL!$C$22, $C$13, 100%, $E$13)</f>
        <v>12.8164</v>
      </c>
      <c r="H697" s="68">
        <f>21.0772* CHOOSE(CONTROL!$C$22, $C$13, 100%, $E$13)</f>
        <v>21.077200000000001</v>
      </c>
      <c r="I697" s="68">
        <f>21.0805 * CHOOSE(CONTROL!$C$22, $C$13, 100%, $E$13)</f>
        <v>21.080500000000001</v>
      </c>
      <c r="J697" s="68">
        <f>12.8131 * CHOOSE(CONTROL!$C$22, $C$13, 100%, $E$13)</f>
        <v>12.8131</v>
      </c>
      <c r="K697" s="68">
        <f>12.8164 * CHOOSE(CONTROL!$C$22, $C$13, 100%, $E$13)</f>
        <v>12.8164</v>
      </c>
    </row>
    <row r="698" spans="1:11" ht="15">
      <c r="A698" s="13">
        <v>62367</v>
      </c>
      <c r="B698" s="67">
        <f>11.2111 * CHOOSE(CONTROL!$C$22, $C$13, 100%, $E$13)</f>
        <v>11.2111</v>
      </c>
      <c r="C698" s="67">
        <f>11.2111 * CHOOSE(CONTROL!$C$22, $C$13, 100%, $E$13)</f>
        <v>11.2111</v>
      </c>
      <c r="D698" s="67">
        <f>11.2121 * CHOOSE(CONTROL!$C$22, $C$13, 100%, $E$13)</f>
        <v>11.2121</v>
      </c>
      <c r="E698" s="68">
        <f>12.893 * CHOOSE(CONTROL!$C$22, $C$13, 100%, $E$13)</f>
        <v>12.893000000000001</v>
      </c>
      <c r="F698" s="68">
        <f>12.893 * CHOOSE(CONTROL!$C$22, $C$13, 100%, $E$13)</f>
        <v>12.893000000000001</v>
      </c>
      <c r="G698" s="68">
        <f>12.8943 * CHOOSE(CONTROL!$C$22, $C$13, 100%, $E$13)</f>
        <v>12.894299999999999</v>
      </c>
      <c r="H698" s="68">
        <f>21.1211* CHOOSE(CONTROL!$C$22, $C$13, 100%, $E$13)</f>
        <v>21.121099999999998</v>
      </c>
      <c r="I698" s="68">
        <f>21.1224 * CHOOSE(CONTROL!$C$22, $C$13, 100%, $E$13)</f>
        <v>21.122399999999999</v>
      </c>
      <c r="J698" s="68">
        <f>12.893 * CHOOSE(CONTROL!$C$22, $C$13, 100%, $E$13)</f>
        <v>12.893000000000001</v>
      </c>
      <c r="K698" s="68">
        <f>12.8943 * CHOOSE(CONTROL!$C$22, $C$13, 100%, $E$13)</f>
        <v>12.894299999999999</v>
      </c>
    </row>
    <row r="699" spans="1:11" ht="15">
      <c r="A699" s="13">
        <v>62398</v>
      </c>
      <c r="B699" s="67">
        <f>11.2141 * CHOOSE(CONTROL!$C$22, $C$13, 100%, $E$13)</f>
        <v>11.2141</v>
      </c>
      <c r="C699" s="67">
        <f>11.2141 * CHOOSE(CONTROL!$C$22, $C$13, 100%, $E$13)</f>
        <v>11.2141</v>
      </c>
      <c r="D699" s="67">
        <f>11.2151 * CHOOSE(CONTROL!$C$22, $C$13, 100%, $E$13)</f>
        <v>11.2151</v>
      </c>
      <c r="E699" s="68">
        <f>12.9418 * CHOOSE(CONTROL!$C$22, $C$13, 100%, $E$13)</f>
        <v>12.941800000000001</v>
      </c>
      <c r="F699" s="68">
        <f>12.9418 * CHOOSE(CONTROL!$C$22, $C$13, 100%, $E$13)</f>
        <v>12.941800000000001</v>
      </c>
      <c r="G699" s="68">
        <f>12.9431 * CHOOSE(CONTROL!$C$22, $C$13, 100%, $E$13)</f>
        <v>12.943099999999999</v>
      </c>
      <c r="H699" s="68">
        <f>21.1651* CHOOSE(CONTROL!$C$22, $C$13, 100%, $E$13)</f>
        <v>21.165099999999999</v>
      </c>
      <c r="I699" s="68">
        <f>21.1664 * CHOOSE(CONTROL!$C$22, $C$13, 100%, $E$13)</f>
        <v>21.166399999999999</v>
      </c>
      <c r="J699" s="68">
        <f>12.9418 * CHOOSE(CONTROL!$C$22, $C$13, 100%, $E$13)</f>
        <v>12.941800000000001</v>
      </c>
      <c r="K699" s="68">
        <f>12.9431 * CHOOSE(CONTROL!$C$22, $C$13, 100%, $E$13)</f>
        <v>12.943099999999999</v>
      </c>
    </row>
    <row r="700" spans="1:11" ht="15">
      <c r="A700" s="13">
        <v>62428</v>
      </c>
      <c r="B700" s="67">
        <f>11.2141 * CHOOSE(CONTROL!$C$22, $C$13, 100%, $E$13)</f>
        <v>11.2141</v>
      </c>
      <c r="C700" s="67">
        <f>11.2141 * CHOOSE(CONTROL!$C$22, $C$13, 100%, $E$13)</f>
        <v>11.2141</v>
      </c>
      <c r="D700" s="67">
        <f>11.2151 * CHOOSE(CONTROL!$C$22, $C$13, 100%, $E$13)</f>
        <v>11.2151</v>
      </c>
      <c r="E700" s="68">
        <f>12.8252 * CHOOSE(CONTROL!$C$22, $C$13, 100%, $E$13)</f>
        <v>12.825200000000001</v>
      </c>
      <c r="F700" s="68">
        <f>12.8252 * CHOOSE(CONTROL!$C$22, $C$13, 100%, $E$13)</f>
        <v>12.825200000000001</v>
      </c>
      <c r="G700" s="68">
        <f>12.8264 * CHOOSE(CONTROL!$C$22, $C$13, 100%, $E$13)</f>
        <v>12.8264</v>
      </c>
      <c r="H700" s="68">
        <f>21.2092* CHOOSE(CONTROL!$C$22, $C$13, 100%, $E$13)</f>
        <v>21.209199999999999</v>
      </c>
      <c r="I700" s="68">
        <f>21.2105 * CHOOSE(CONTROL!$C$22, $C$13, 100%, $E$13)</f>
        <v>21.2105</v>
      </c>
      <c r="J700" s="68">
        <f>12.8252 * CHOOSE(CONTROL!$C$22, $C$13, 100%, $E$13)</f>
        <v>12.825200000000001</v>
      </c>
      <c r="K700" s="68">
        <f>12.8264 * CHOOSE(CONTROL!$C$22, $C$13, 100%, $E$13)</f>
        <v>12.8264</v>
      </c>
    </row>
    <row r="701" spans="1:11" ht="15">
      <c r="A701" s="13">
        <v>62459</v>
      </c>
      <c r="B701" s="67">
        <f>11.2519 * CHOOSE(CONTROL!$C$22, $C$13, 100%, $E$13)</f>
        <v>11.251899999999999</v>
      </c>
      <c r="C701" s="67">
        <f>11.2519 * CHOOSE(CONTROL!$C$22, $C$13, 100%, $E$13)</f>
        <v>11.251899999999999</v>
      </c>
      <c r="D701" s="67">
        <f>11.2529 * CHOOSE(CONTROL!$C$22, $C$13, 100%, $E$13)</f>
        <v>11.2529</v>
      </c>
      <c r="E701" s="68">
        <f>12.9563 * CHOOSE(CONTROL!$C$22, $C$13, 100%, $E$13)</f>
        <v>12.956300000000001</v>
      </c>
      <c r="F701" s="68">
        <f>12.9563 * CHOOSE(CONTROL!$C$22, $C$13, 100%, $E$13)</f>
        <v>12.956300000000001</v>
      </c>
      <c r="G701" s="68">
        <f>12.9576 * CHOOSE(CONTROL!$C$22, $C$13, 100%, $E$13)</f>
        <v>12.957599999999999</v>
      </c>
      <c r="H701" s="68">
        <f>21.1562* CHOOSE(CONTROL!$C$22, $C$13, 100%, $E$13)</f>
        <v>21.156199999999998</v>
      </c>
      <c r="I701" s="68">
        <f>21.1575 * CHOOSE(CONTROL!$C$22, $C$13, 100%, $E$13)</f>
        <v>21.157499999999999</v>
      </c>
      <c r="J701" s="68">
        <f>12.9563 * CHOOSE(CONTROL!$C$22, $C$13, 100%, $E$13)</f>
        <v>12.956300000000001</v>
      </c>
      <c r="K701" s="68">
        <f>12.9576 * CHOOSE(CONTROL!$C$22, $C$13, 100%, $E$13)</f>
        <v>12.957599999999999</v>
      </c>
    </row>
    <row r="702" spans="1:11" ht="15">
      <c r="A702" s="13">
        <v>62490</v>
      </c>
      <c r="B702" s="67">
        <f>11.2488 * CHOOSE(CONTROL!$C$22, $C$13, 100%, $E$13)</f>
        <v>11.248799999999999</v>
      </c>
      <c r="C702" s="67">
        <f>11.2488 * CHOOSE(CONTROL!$C$22, $C$13, 100%, $E$13)</f>
        <v>11.248799999999999</v>
      </c>
      <c r="D702" s="67">
        <f>11.2498 * CHOOSE(CONTROL!$C$22, $C$13, 100%, $E$13)</f>
        <v>11.2498</v>
      </c>
      <c r="E702" s="68">
        <f>12.7288 * CHOOSE(CONTROL!$C$22, $C$13, 100%, $E$13)</f>
        <v>12.7288</v>
      </c>
      <c r="F702" s="68">
        <f>12.7288 * CHOOSE(CONTROL!$C$22, $C$13, 100%, $E$13)</f>
        <v>12.7288</v>
      </c>
      <c r="G702" s="68">
        <f>12.7301 * CHOOSE(CONTROL!$C$22, $C$13, 100%, $E$13)</f>
        <v>12.7301</v>
      </c>
      <c r="H702" s="68">
        <f>21.2003* CHOOSE(CONTROL!$C$22, $C$13, 100%, $E$13)</f>
        <v>21.200299999999999</v>
      </c>
      <c r="I702" s="68">
        <f>21.2016 * CHOOSE(CONTROL!$C$22, $C$13, 100%, $E$13)</f>
        <v>21.201599999999999</v>
      </c>
      <c r="J702" s="68">
        <f>12.7288 * CHOOSE(CONTROL!$C$22, $C$13, 100%, $E$13)</f>
        <v>12.7288</v>
      </c>
      <c r="K702" s="68">
        <f>12.7301 * CHOOSE(CONTROL!$C$22, $C$13, 100%, $E$13)</f>
        <v>12.7301</v>
      </c>
    </row>
    <row r="703" spans="1:11" ht="15">
      <c r="A703" s="13">
        <v>62518</v>
      </c>
      <c r="B703" s="67">
        <f>11.2458 * CHOOSE(CONTROL!$C$22, $C$13, 100%, $E$13)</f>
        <v>11.245799999999999</v>
      </c>
      <c r="C703" s="67">
        <f>11.2458 * CHOOSE(CONTROL!$C$22, $C$13, 100%, $E$13)</f>
        <v>11.245799999999999</v>
      </c>
      <c r="D703" s="67">
        <f>11.2468 * CHOOSE(CONTROL!$C$22, $C$13, 100%, $E$13)</f>
        <v>11.2468</v>
      </c>
      <c r="E703" s="68">
        <f>12.9043 * CHOOSE(CONTROL!$C$22, $C$13, 100%, $E$13)</f>
        <v>12.904299999999999</v>
      </c>
      <c r="F703" s="68">
        <f>12.9043 * CHOOSE(CONTROL!$C$22, $C$13, 100%, $E$13)</f>
        <v>12.904299999999999</v>
      </c>
      <c r="G703" s="68">
        <f>12.9056 * CHOOSE(CONTROL!$C$22, $C$13, 100%, $E$13)</f>
        <v>12.9056</v>
      </c>
      <c r="H703" s="68">
        <f>21.2445* CHOOSE(CONTROL!$C$22, $C$13, 100%, $E$13)</f>
        <v>21.244499999999999</v>
      </c>
      <c r="I703" s="68">
        <f>21.2457 * CHOOSE(CONTROL!$C$22, $C$13, 100%, $E$13)</f>
        <v>21.245699999999999</v>
      </c>
      <c r="J703" s="68">
        <f>12.9043 * CHOOSE(CONTROL!$C$22, $C$13, 100%, $E$13)</f>
        <v>12.904299999999999</v>
      </c>
      <c r="K703" s="68">
        <f>12.9056 * CHOOSE(CONTROL!$C$22, $C$13, 100%, $E$13)</f>
        <v>12.9056</v>
      </c>
    </row>
    <row r="704" spans="1:11" ht="15">
      <c r="A704" s="13">
        <v>62549</v>
      </c>
      <c r="B704" s="67">
        <f>11.2496 * CHOOSE(CONTROL!$C$22, $C$13, 100%, $E$13)</f>
        <v>11.249599999999999</v>
      </c>
      <c r="C704" s="67">
        <f>11.2496 * CHOOSE(CONTROL!$C$22, $C$13, 100%, $E$13)</f>
        <v>11.249599999999999</v>
      </c>
      <c r="D704" s="67">
        <f>11.2505 * CHOOSE(CONTROL!$C$22, $C$13, 100%, $E$13)</f>
        <v>11.250500000000001</v>
      </c>
      <c r="E704" s="68">
        <f>13.0909 * CHOOSE(CONTROL!$C$22, $C$13, 100%, $E$13)</f>
        <v>13.0909</v>
      </c>
      <c r="F704" s="68">
        <f>13.0909 * CHOOSE(CONTROL!$C$22, $C$13, 100%, $E$13)</f>
        <v>13.0909</v>
      </c>
      <c r="G704" s="68">
        <f>13.0922 * CHOOSE(CONTROL!$C$22, $C$13, 100%, $E$13)</f>
        <v>13.0922</v>
      </c>
      <c r="H704" s="68">
        <f>21.2887* CHOOSE(CONTROL!$C$22, $C$13, 100%, $E$13)</f>
        <v>21.288699999999999</v>
      </c>
      <c r="I704" s="68">
        <f>21.29 * CHOOSE(CONTROL!$C$22, $C$13, 100%, $E$13)</f>
        <v>21.29</v>
      </c>
      <c r="J704" s="68">
        <f>13.0909 * CHOOSE(CONTROL!$C$22, $C$13, 100%, $E$13)</f>
        <v>13.0909</v>
      </c>
      <c r="K704" s="68">
        <f>13.0922 * CHOOSE(CONTROL!$C$22, $C$13, 100%, $E$13)</f>
        <v>13.0922</v>
      </c>
    </row>
    <row r="705" spans="1:11" ht="15">
      <c r="A705" s="13">
        <v>62579</v>
      </c>
      <c r="B705" s="67">
        <f>11.2496 * CHOOSE(CONTROL!$C$22, $C$13, 100%, $E$13)</f>
        <v>11.249599999999999</v>
      </c>
      <c r="C705" s="67">
        <f>11.2496 * CHOOSE(CONTROL!$C$22, $C$13, 100%, $E$13)</f>
        <v>11.249599999999999</v>
      </c>
      <c r="D705" s="67">
        <f>11.2522 * CHOOSE(CONTROL!$C$22, $C$13, 100%, $E$13)</f>
        <v>11.2522</v>
      </c>
      <c r="E705" s="68">
        <f>13.1624 * CHOOSE(CONTROL!$C$22, $C$13, 100%, $E$13)</f>
        <v>13.1624</v>
      </c>
      <c r="F705" s="68">
        <f>13.1624 * CHOOSE(CONTROL!$C$22, $C$13, 100%, $E$13)</f>
        <v>13.1624</v>
      </c>
      <c r="G705" s="68">
        <f>13.1657 * CHOOSE(CONTROL!$C$22, $C$13, 100%, $E$13)</f>
        <v>13.165699999999999</v>
      </c>
      <c r="H705" s="68">
        <f>21.3331* CHOOSE(CONTROL!$C$22, $C$13, 100%, $E$13)</f>
        <v>21.333100000000002</v>
      </c>
      <c r="I705" s="68">
        <f>21.3363 * CHOOSE(CONTROL!$C$22, $C$13, 100%, $E$13)</f>
        <v>21.336300000000001</v>
      </c>
      <c r="J705" s="68">
        <f>13.1624 * CHOOSE(CONTROL!$C$22, $C$13, 100%, $E$13)</f>
        <v>13.1624</v>
      </c>
      <c r="K705" s="68">
        <f>13.1657 * CHOOSE(CONTROL!$C$22, $C$13, 100%, $E$13)</f>
        <v>13.165699999999999</v>
      </c>
    </row>
    <row r="706" spans="1:11" ht="15">
      <c r="A706" s="13">
        <v>62610</v>
      </c>
      <c r="B706" s="67">
        <f>11.2556 * CHOOSE(CONTROL!$C$22, $C$13, 100%, $E$13)</f>
        <v>11.255599999999999</v>
      </c>
      <c r="C706" s="67">
        <f>11.2556 * CHOOSE(CONTROL!$C$22, $C$13, 100%, $E$13)</f>
        <v>11.255599999999999</v>
      </c>
      <c r="D706" s="67">
        <f>11.2583 * CHOOSE(CONTROL!$C$22, $C$13, 100%, $E$13)</f>
        <v>11.2583</v>
      </c>
      <c r="E706" s="68">
        <f>13.0951 * CHOOSE(CONTROL!$C$22, $C$13, 100%, $E$13)</f>
        <v>13.0951</v>
      </c>
      <c r="F706" s="68">
        <f>13.0951 * CHOOSE(CONTROL!$C$22, $C$13, 100%, $E$13)</f>
        <v>13.0951</v>
      </c>
      <c r="G706" s="68">
        <f>13.0984 * CHOOSE(CONTROL!$C$22, $C$13, 100%, $E$13)</f>
        <v>13.0984</v>
      </c>
      <c r="H706" s="68">
        <f>21.3775* CHOOSE(CONTROL!$C$22, $C$13, 100%, $E$13)</f>
        <v>21.377500000000001</v>
      </c>
      <c r="I706" s="68">
        <f>21.3808 * CHOOSE(CONTROL!$C$22, $C$13, 100%, $E$13)</f>
        <v>21.380800000000001</v>
      </c>
      <c r="J706" s="68">
        <f>13.0951 * CHOOSE(CONTROL!$C$22, $C$13, 100%, $E$13)</f>
        <v>13.0951</v>
      </c>
      <c r="K706" s="68">
        <f>13.0984 * CHOOSE(CONTROL!$C$22, $C$13, 100%, $E$13)</f>
        <v>13.0984</v>
      </c>
    </row>
    <row r="707" spans="1:11" ht="15">
      <c r="A707" s="13">
        <v>62640</v>
      </c>
      <c r="B707" s="67">
        <f>11.4283 * CHOOSE(CONTROL!$C$22, $C$13, 100%, $E$13)</f>
        <v>11.4283</v>
      </c>
      <c r="C707" s="67">
        <f>11.4283 * CHOOSE(CONTROL!$C$22, $C$13, 100%, $E$13)</f>
        <v>11.4283</v>
      </c>
      <c r="D707" s="67">
        <f>11.4309 * CHOOSE(CONTROL!$C$22, $C$13, 100%, $E$13)</f>
        <v>11.430899999999999</v>
      </c>
      <c r="E707" s="68">
        <f>13.3056 * CHOOSE(CONTROL!$C$22, $C$13, 100%, $E$13)</f>
        <v>13.3056</v>
      </c>
      <c r="F707" s="68">
        <f>13.3056 * CHOOSE(CONTROL!$C$22, $C$13, 100%, $E$13)</f>
        <v>13.3056</v>
      </c>
      <c r="G707" s="68">
        <f>13.3089 * CHOOSE(CONTROL!$C$22, $C$13, 100%, $E$13)</f>
        <v>13.3089</v>
      </c>
      <c r="H707" s="68">
        <f>21.422* CHOOSE(CONTROL!$C$22, $C$13, 100%, $E$13)</f>
        <v>21.422000000000001</v>
      </c>
      <c r="I707" s="68">
        <f>21.4253 * CHOOSE(CONTROL!$C$22, $C$13, 100%, $E$13)</f>
        <v>21.4253</v>
      </c>
      <c r="J707" s="68">
        <f>13.3056 * CHOOSE(CONTROL!$C$22, $C$13, 100%, $E$13)</f>
        <v>13.3056</v>
      </c>
      <c r="K707" s="68">
        <f>13.3089 * CHOOSE(CONTROL!$C$22, $C$13, 100%, $E$13)</f>
        <v>13.3089</v>
      </c>
    </row>
    <row r="708" spans="1:11" ht="15">
      <c r="A708" s="13">
        <v>62671</v>
      </c>
      <c r="B708" s="67">
        <f>11.435 * CHOOSE(CONTROL!$C$22, $C$13, 100%, $E$13)</f>
        <v>11.435</v>
      </c>
      <c r="C708" s="67">
        <f>11.435 * CHOOSE(CONTROL!$C$22, $C$13, 100%, $E$13)</f>
        <v>11.435</v>
      </c>
      <c r="D708" s="67">
        <f>11.4376 * CHOOSE(CONTROL!$C$22, $C$13, 100%, $E$13)</f>
        <v>11.4376</v>
      </c>
      <c r="E708" s="68">
        <f>13.0956 * CHOOSE(CONTROL!$C$22, $C$13, 100%, $E$13)</f>
        <v>13.095599999999999</v>
      </c>
      <c r="F708" s="68">
        <f>13.0956 * CHOOSE(CONTROL!$C$22, $C$13, 100%, $E$13)</f>
        <v>13.095599999999999</v>
      </c>
      <c r="G708" s="68">
        <f>13.0989 * CHOOSE(CONTROL!$C$22, $C$13, 100%, $E$13)</f>
        <v>13.0989</v>
      </c>
      <c r="H708" s="68">
        <f>21.4667* CHOOSE(CONTROL!$C$22, $C$13, 100%, $E$13)</f>
        <v>21.466699999999999</v>
      </c>
      <c r="I708" s="68">
        <f>21.4699 * CHOOSE(CONTROL!$C$22, $C$13, 100%, $E$13)</f>
        <v>21.469899999999999</v>
      </c>
      <c r="J708" s="68">
        <f>13.0956 * CHOOSE(CONTROL!$C$22, $C$13, 100%, $E$13)</f>
        <v>13.095599999999999</v>
      </c>
      <c r="K708" s="68">
        <f>13.0989 * CHOOSE(CONTROL!$C$22, $C$13, 100%, $E$13)</f>
        <v>13.0989</v>
      </c>
    </row>
    <row r="709" spans="1:11" ht="15">
      <c r="A709" s="13">
        <v>62702</v>
      </c>
      <c r="B709" s="67">
        <f>11.4319 * CHOOSE(CONTROL!$C$22, $C$13, 100%, $E$13)</f>
        <v>11.431900000000001</v>
      </c>
      <c r="C709" s="67">
        <f>11.4319 * CHOOSE(CONTROL!$C$22, $C$13, 100%, $E$13)</f>
        <v>11.431900000000001</v>
      </c>
      <c r="D709" s="67">
        <f>11.4345 * CHOOSE(CONTROL!$C$22, $C$13, 100%, $E$13)</f>
        <v>11.4345</v>
      </c>
      <c r="E709" s="68">
        <f>13.0697 * CHOOSE(CONTROL!$C$22, $C$13, 100%, $E$13)</f>
        <v>13.069699999999999</v>
      </c>
      <c r="F709" s="68">
        <f>13.0697 * CHOOSE(CONTROL!$C$22, $C$13, 100%, $E$13)</f>
        <v>13.069699999999999</v>
      </c>
      <c r="G709" s="68">
        <f>13.0729 * CHOOSE(CONTROL!$C$22, $C$13, 100%, $E$13)</f>
        <v>13.072900000000001</v>
      </c>
      <c r="H709" s="68">
        <f>21.5114* CHOOSE(CONTROL!$C$22, $C$13, 100%, $E$13)</f>
        <v>21.511399999999998</v>
      </c>
      <c r="I709" s="68">
        <f>21.5147 * CHOOSE(CONTROL!$C$22, $C$13, 100%, $E$13)</f>
        <v>21.514700000000001</v>
      </c>
      <c r="J709" s="68">
        <f>13.0697 * CHOOSE(CONTROL!$C$22, $C$13, 100%, $E$13)</f>
        <v>13.069699999999999</v>
      </c>
      <c r="K709" s="68">
        <f>13.0729 * CHOOSE(CONTROL!$C$22, $C$13, 100%, $E$13)</f>
        <v>13.072900000000001</v>
      </c>
    </row>
    <row r="710" spans="1:11" ht="15">
      <c r="A710" s="13">
        <v>62732</v>
      </c>
      <c r="B710" s="67">
        <f>11.451 * CHOOSE(CONTROL!$C$22, $C$13, 100%, $E$13)</f>
        <v>11.451000000000001</v>
      </c>
      <c r="C710" s="67">
        <f>11.451 * CHOOSE(CONTROL!$C$22, $C$13, 100%, $E$13)</f>
        <v>11.451000000000001</v>
      </c>
      <c r="D710" s="67">
        <f>11.452 * CHOOSE(CONTROL!$C$22, $C$13, 100%, $E$13)</f>
        <v>11.452</v>
      </c>
      <c r="E710" s="68">
        <f>13.1516 * CHOOSE(CONTROL!$C$22, $C$13, 100%, $E$13)</f>
        <v>13.1516</v>
      </c>
      <c r="F710" s="68">
        <f>13.1516 * CHOOSE(CONTROL!$C$22, $C$13, 100%, $E$13)</f>
        <v>13.1516</v>
      </c>
      <c r="G710" s="68">
        <f>13.1529 * CHOOSE(CONTROL!$C$22, $C$13, 100%, $E$13)</f>
        <v>13.152900000000001</v>
      </c>
      <c r="H710" s="68">
        <f>21.5562* CHOOSE(CONTROL!$C$22, $C$13, 100%, $E$13)</f>
        <v>21.5562</v>
      </c>
      <c r="I710" s="68">
        <f>21.5575 * CHOOSE(CONTROL!$C$22, $C$13, 100%, $E$13)</f>
        <v>21.557500000000001</v>
      </c>
      <c r="J710" s="68">
        <f>13.1516 * CHOOSE(CONTROL!$C$22, $C$13, 100%, $E$13)</f>
        <v>13.1516</v>
      </c>
      <c r="K710" s="68">
        <f>13.1529 * CHOOSE(CONTROL!$C$22, $C$13, 100%, $E$13)</f>
        <v>13.152900000000001</v>
      </c>
    </row>
    <row r="711" spans="1:11" ht="15">
      <c r="A711" s="13">
        <v>62763</v>
      </c>
      <c r="B711" s="67">
        <f>11.4541 * CHOOSE(CONTROL!$C$22, $C$13, 100%, $E$13)</f>
        <v>11.4541</v>
      </c>
      <c r="C711" s="67">
        <f>11.4541 * CHOOSE(CONTROL!$C$22, $C$13, 100%, $E$13)</f>
        <v>11.4541</v>
      </c>
      <c r="D711" s="67">
        <f>11.455 * CHOOSE(CONTROL!$C$22, $C$13, 100%, $E$13)</f>
        <v>11.455</v>
      </c>
      <c r="E711" s="68">
        <f>13.2015 * CHOOSE(CONTROL!$C$22, $C$13, 100%, $E$13)</f>
        <v>13.201499999999999</v>
      </c>
      <c r="F711" s="68">
        <f>13.2015 * CHOOSE(CONTROL!$C$22, $C$13, 100%, $E$13)</f>
        <v>13.201499999999999</v>
      </c>
      <c r="G711" s="68">
        <f>13.2027 * CHOOSE(CONTROL!$C$22, $C$13, 100%, $E$13)</f>
        <v>13.2027</v>
      </c>
      <c r="H711" s="68">
        <f>21.6011* CHOOSE(CONTROL!$C$22, $C$13, 100%, $E$13)</f>
        <v>21.601099999999999</v>
      </c>
      <c r="I711" s="68">
        <f>21.6024 * CHOOSE(CONTROL!$C$22, $C$13, 100%, $E$13)</f>
        <v>21.602399999999999</v>
      </c>
      <c r="J711" s="68">
        <f>13.2015 * CHOOSE(CONTROL!$C$22, $C$13, 100%, $E$13)</f>
        <v>13.201499999999999</v>
      </c>
      <c r="K711" s="68">
        <f>13.2027 * CHOOSE(CONTROL!$C$22, $C$13, 100%, $E$13)</f>
        <v>13.2027</v>
      </c>
    </row>
    <row r="712" spans="1:11" ht="15">
      <c r="A712" s="13">
        <v>62793</v>
      </c>
      <c r="B712" s="67">
        <f>11.4541 * CHOOSE(CONTROL!$C$22, $C$13, 100%, $E$13)</f>
        <v>11.4541</v>
      </c>
      <c r="C712" s="67">
        <f>11.4541 * CHOOSE(CONTROL!$C$22, $C$13, 100%, $E$13)</f>
        <v>11.4541</v>
      </c>
      <c r="D712" s="67">
        <f>11.455 * CHOOSE(CONTROL!$C$22, $C$13, 100%, $E$13)</f>
        <v>11.455</v>
      </c>
      <c r="E712" s="68">
        <f>13.0822 * CHOOSE(CONTROL!$C$22, $C$13, 100%, $E$13)</f>
        <v>13.0822</v>
      </c>
      <c r="F712" s="68">
        <f>13.0822 * CHOOSE(CONTROL!$C$22, $C$13, 100%, $E$13)</f>
        <v>13.0822</v>
      </c>
      <c r="G712" s="68">
        <f>13.0835 * CHOOSE(CONTROL!$C$22, $C$13, 100%, $E$13)</f>
        <v>13.083500000000001</v>
      </c>
      <c r="H712" s="68">
        <f>21.6461* CHOOSE(CONTROL!$C$22, $C$13, 100%, $E$13)</f>
        <v>21.646100000000001</v>
      </c>
      <c r="I712" s="68">
        <f>21.6474 * CHOOSE(CONTROL!$C$22, $C$13, 100%, $E$13)</f>
        <v>21.647400000000001</v>
      </c>
      <c r="J712" s="68">
        <f>13.0822 * CHOOSE(CONTROL!$C$22, $C$13, 100%, $E$13)</f>
        <v>13.0822</v>
      </c>
      <c r="K712" s="68">
        <f>13.0835 * CHOOSE(CONTROL!$C$22, $C$13, 100%, $E$13)</f>
        <v>13.083500000000001</v>
      </c>
    </row>
    <row r="713" spans="1:11" ht="15">
      <c r="A713" s="13">
        <v>62824</v>
      </c>
      <c r="B713" s="67">
        <f>11.4875 * CHOOSE(CONTROL!$C$22, $C$13, 100%, $E$13)</f>
        <v>11.487500000000001</v>
      </c>
      <c r="C713" s="67">
        <f>11.4875 * CHOOSE(CONTROL!$C$22, $C$13, 100%, $E$13)</f>
        <v>11.487500000000001</v>
      </c>
      <c r="D713" s="67">
        <f>11.4884 * CHOOSE(CONTROL!$C$22, $C$13, 100%, $E$13)</f>
        <v>11.4884</v>
      </c>
      <c r="E713" s="68">
        <f>13.211 * CHOOSE(CONTROL!$C$22, $C$13, 100%, $E$13)</f>
        <v>13.211</v>
      </c>
      <c r="F713" s="68">
        <f>13.211 * CHOOSE(CONTROL!$C$22, $C$13, 100%, $E$13)</f>
        <v>13.211</v>
      </c>
      <c r="G713" s="68">
        <f>13.2123 * CHOOSE(CONTROL!$C$22, $C$13, 100%, $E$13)</f>
        <v>13.212300000000001</v>
      </c>
      <c r="H713" s="68">
        <f>21.5832* CHOOSE(CONTROL!$C$22, $C$13, 100%, $E$13)</f>
        <v>21.583200000000001</v>
      </c>
      <c r="I713" s="68">
        <f>21.5845 * CHOOSE(CONTROL!$C$22, $C$13, 100%, $E$13)</f>
        <v>21.584499999999998</v>
      </c>
      <c r="J713" s="68">
        <f>13.211 * CHOOSE(CONTROL!$C$22, $C$13, 100%, $E$13)</f>
        <v>13.211</v>
      </c>
      <c r="K713" s="68">
        <f>13.2123 * CHOOSE(CONTROL!$C$22, $C$13, 100%, $E$13)</f>
        <v>13.212300000000001</v>
      </c>
    </row>
    <row r="714" spans="1:11" ht="15">
      <c r="A714" s="13">
        <v>62855</v>
      </c>
      <c r="B714" s="67">
        <f>11.4844 * CHOOSE(CONTROL!$C$22, $C$13, 100%, $E$13)</f>
        <v>11.484400000000001</v>
      </c>
      <c r="C714" s="67">
        <f>11.4844 * CHOOSE(CONTROL!$C$22, $C$13, 100%, $E$13)</f>
        <v>11.484400000000001</v>
      </c>
      <c r="D714" s="67">
        <f>11.4854 * CHOOSE(CONTROL!$C$22, $C$13, 100%, $E$13)</f>
        <v>11.4854</v>
      </c>
      <c r="E714" s="68">
        <f>12.9786 * CHOOSE(CONTROL!$C$22, $C$13, 100%, $E$13)</f>
        <v>12.9786</v>
      </c>
      <c r="F714" s="68">
        <f>12.9786 * CHOOSE(CONTROL!$C$22, $C$13, 100%, $E$13)</f>
        <v>12.9786</v>
      </c>
      <c r="G714" s="68">
        <f>12.9799 * CHOOSE(CONTROL!$C$22, $C$13, 100%, $E$13)</f>
        <v>12.979900000000001</v>
      </c>
      <c r="H714" s="68">
        <f>21.6282* CHOOSE(CONTROL!$C$22, $C$13, 100%, $E$13)</f>
        <v>21.6282</v>
      </c>
      <c r="I714" s="68">
        <f>21.6295 * CHOOSE(CONTROL!$C$22, $C$13, 100%, $E$13)</f>
        <v>21.6295</v>
      </c>
      <c r="J714" s="68">
        <f>12.9786 * CHOOSE(CONTROL!$C$22, $C$13, 100%, $E$13)</f>
        <v>12.9786</v>
      </c>
      <c r="K714" s="68">
        <f>12.9799 * CHOOSE(CONTROL!$C$22, $C$13, 100%, $E$13)</f>
        <v>12.979900000000001</v>
      </c>
    </row>
    <row r="715" spans="1:11" ht="15">
      <c r="A715" s="13">
        <v>62884</v>
      </c>
      <c r="B715" s="67">
        <f>11.4814 * CHOOSE(CONTROL!$C$22, $C$13, 100%, $E$13)</f>
        <v>11.481400000000001</v>
      </c>
      <c r="C715" s="67">
        <f>11.4814 * CHOOSE(CONTROL!$C$22, $C$13, 100%, $E$13)</f>
        <v>11.481400000000001</v>
      </c>
      <c r="D715" s="67">
        <f>11.4824 * CHOOSE(CONTROL!$C$22, $C$13, 100%, $E$13)</f>
        <v>11.4824</v>
      </c>
      <c r="E715" s="68">
        <f>13.158 * CHOOSE(CONTROL!$C$22, $C$13, 100%, $E$13)</f>
        <v>13.157999999999999</v>
      </c>
      <c r="F715" s="68">
        <f>13.158 * CHOOSE(CONTROL!$C$22, $C$13, 100%, $E$13)</f>
        <v>13.157999999999999</v>
      </c>
      <c r="G715" s="68">
        <f>13.1593 * CHOOSE(CONTROL!$C$22, $C$13, 100%, $E$13)</f>
        <v>13.1593</v>
      </c>
      <c r="H715" s="68">
        <f>21.6733* CHOOSE(CONTROL!$C$22, $C$13, 100%, $E$13)</f>
        <v>21.673300000000001</v>
      </c>
      <c r="I715" s="68">
        <f>21.6745 * CHOOSE(CONTROL!$C$22, $C$13, 100%, $E$13)</f>
        <v>21.674499999999998</v>
      </c>
      <c r="J715" s="68">
        <f>13.158 * CHOOSE(CONTROL!$C$22, $C$13, 100%, $E$13)</f>
        <v>13.157999999999999</v>
      </c>
      <c r="K715" s="68">
        <f>13.1593 * CHOOSE(CONTROL!$C$22, $C$13, 100%, $E$13)</f>
        <v>13.1593</v>
      </c>
    </row>
    <row r="716" spans="1:11" ht="15">
      <c r="A716" s="13">
        <v>62915</v>
      </c>
      <c r="B716" s="67">
        <f>11.4853 * CHOOSE(CONTROL!$C$22, $C$13, 100%, $E$13)</f>
        <v>11.485300000000001</v>
      </c>
      <c r="C716" s="67">
        <f>11.4853 * CHOOSE(CONTROL!$C$22, $C$13, 100%, $E$13)</f>
        <v>11.485300000000001</v>
      </c>
      <c r="D716" s="67">
        <f>11.4863 * CHOOSE(CONTROL!$C$22, $C$13, 100%, $E$13)</f>
        <v>11.4863</v>
      </c>
      <c r="E716" s="68">
        <f>13.3487 * CHOOSE(CONTROL!$C$22, $C$13, 100%, $E$13)</f>
        <v>13.348699999999999</v>
      </c>
      <c r="F716" s="68">
        <f>13.3487 * CHOOSE(CONTROL!$C$22, $C$13, 100%, $E$13)</f>
        <v>13.348699999999999</v>
      </c>
      <c r="G716" s="68">
        <f>13.35 * CHOOSE(CONTROL!$C$22, $C$13, 100%, $E$13)</f>
        <v>13.35</v>
      </c>
      <c r="H716" s="68">
        <f>21.7184* CHOOSE(CONTROL!$C$22, $C$13, 100%, $E$13)</f>
        <v>21.718399999999999</v>
      </c>
      <c r="I716" s="68">
        <f>21.7197 * CHOOSE(CONTROL!$C$22, $C$13, 100%, $E$13)</f>
        <v>21.7197</v>
      </c>
      <c r="J716" s="68">
        <f>13.3487 * CHOOSE(CONTROL!$C$22, $C$13, 100%, $E$13)</f>
        <v>13.348699999999999</v>
      </c>
      <c r="K716" s="68">
        <f>13.35 * CHOOSE(CONTROL!$C$22, $C$13, 100%, $E$13)</f>
        <v>13.35</v>
      </c>
    </row>
    <row r="717" spans="1:11" ht="15">
      <c r="A717" s="13">
        <v>62945</v>
      </c>
      <c r="B717" s="67">
        <f>11.4853 * CHOOSE(CONTROL!$C$22, $C$13, 100%, $E$13)</f>
        <v>11.485300000000001</v>
      </c>
      <c r="C717" s="67">
        <f>11.4853 * CHOOSE(CONTROL!$C$22, $C$13, 100%, $E$13)</f>
        <v>11.485300000000001</v>
      </c>
      <c r="D717" s="67">
        <f>11.4879 * CHOOSE(CONTROL!$C$22, $C$13, 100%, $E$13)</f>
        <v>11.4879</v>
      </c>
      <c r="E717" s="68">
        <f>13.4219 * CHOOSE(CONTROL!$C$22, $C$13, 100%, $E$13)</f>
        <v>13.421900000000001</v>
      </c>
      <c r="F717" s="68">
        <f>13.4219 * CHOOSE(CONTROL!$C$22, $C$13, 100%, $E$13)</f>
        <v>13.421900000000001</v>
      </c>
      <c r="G717" s="68">
        <f>13.4251 * CHOOSE(CONTROL!$C$22, $C$13, 100%, $E$13)</f>
        <v>13.4251</v>
      </c>
      <c r="H717" s="68">
        <f>21.7637* CHOOSE(CONTROL!$C$22, $C$13, 100%, $E$13)</f>
        <v>21.7637</v>
      </c>
      <c r="I717" s="68">
        <f>21.7669 * CHOOSE(CONTROL!$C$22, $C$13, 100%, $E$13)</f>
        <v>21.7669</v>
      </c>
      <c r="J717" s="68">
        <f>13.4219 * CHOOSE(CONTROL!$C$22, $C$13, 100%, $E$13)</f>
        <v>13.421900000000001</v>
      </c>
      <c r="K717" s="68">
        <f>13.4251 * CHOOSE(CONTROL!$C$22, $C$13, 100%, $E$13)</f>
        <v>13.4251</v>
      </c>
    </row>
    <row r="718" spans="1:11" ht="15">
      <c r="A718" s="13">
        <v>62976</v>
      </c>
      <c r="B718" s="67">
        <f>11.4914 * CHOOSE(CONTROL!$C$22, $C$13, 100%, $E$13)</f>
        <v>11.491400000000001</v>
      </c>
      <c r="C718" s="67">
        <f>11.4914 * CHOOSE(CONTROL!$C$22, $C$13, 100%, $E$13)</f>
        <v>11.491400000000001</v>
      </c>
      <c r="D718" s="67">
        <f>11.494 * CHOOSE(CONTROL!$C$22, $C$13, 100%, $E$13)</f>
        <v>11.494</v>
      </c>
      <c r="E718" s="68">
        <f>13.353 * CHOOSE(CONTROL!$C$22, $C$13, 100%, $E$13)</f>
        <v>13.353</v>
      </c>
      <c r="F718" s="68">
        <f>13.353 * CHOOSE(CONTROL!$C$22, $C$13, 100%, $E$13)</f>
        <v>13.353</v>
      </c>
      <c r="G718" s="68">
        <f>13.3562 * CHOOSE(CONTROL!$C$22, $C$13, 100%, $E$13)</f>
        <v>13.356199999999999</v>
      </c>
      <c r="H718" s="68">
        <f>21.809* CHOOSE(CONTROL!$C$22, $C$13, 100%, $E$13)</f>
        <v>21.809000000000001</v>
      </c>
      <c r="I718" s="68">
        <f>21.8123 * CHOOSE(CONTROL!$C$22, $C$13, 100%, $E$13)</f>
        <v>21.8123</v>
      </c>
      <c r="J718" s="68">
        <f>13.353 * CHOOSE(CONTROL!$C$22, $C$13, 100%, $E$13)</f>
        <v>13.353</v>
      </c>
      <c r="K718" s="68">
        <f>13.3562 * CHOOSE(CONTROL!$C$22, $C$13, 100%, $E$13)</f>
        <v>13.356199999999999</v>
      </c>
    </row>
    <row r="719" spans="1:11" ht="15">
      <c r="A719" s="13">
        <v>63006</v>
      </c>
      <c r="B719" s="67">
        <f>11.6674 * CHOOSE(CONTROL!$C$22, $C$13, 100%, $E$13)</f>
        <v>11.667400000000001</v>
      </c>
      <c r="C719" s="67">
        <f>11.6674 * CHOOSE(CONTROL!$C$22, $C$13, 100%, $E$13)</f>
        <v>11.667400000000001</v>
      </c>
      <c r="D719" s="67">
        <f>11.6701 * CHOOSE(CONTROL!$C$22, $C$13, 100%, $E$13)</f>
        <v>11.6701</v>
      </c>
      <c r="E719" s="68">
        <f>13.5674 * CHOOSE(CONTROL!$C$22, $C$13, 100%, $E$13)</f>
        <v>13.567399999999999</v>
      </c>
      <c r="F719" s="68">
        <f>13.5674 * CHOOSE(CONTROL!$C$22, $C$13, 100%, $E$13)</f>
        <v>13.567399999999999</v>
      </c>
      <c r="G719" s="68">
        <f>13.5706 * CHOOSE(CONTROL!$C$22, $C$13, 100%, $E$13)</f>
        <v>13.570600000000001</v>
      </c>
      <c r="H719" s="68">
        <f>21.8544* CHOOSE(CONTROL!$C$22, $C$13, 100%, $E$13)</f>
        <v>21.854399999999998</v>
      </c>
      <c r="I719" s="68">
        <f>21.8577 * CHOOSE(CONTROL!$C$22, $C$13, 100%, $E$13)</f>
        <v>21.857700000000001</v>
      </c>
      <c r="J719" s="68">
        <f>13.5674 * CHOOSE(CONTROL!$C$22, $C$13, 100%, $E$13)</f>
        <v>13.567399999999999</v>
      </c>
      <c r="K719" s="68">
        <f>13.5706 * CHOOSE(CONTROL!$C$22, $C$13, 100%, $E$13)</f>
        <v>13.570600000000001</v>
      </c>
    </row>
    <row r="720" spans="1:11" ht="15">
      <c r="A720" s="13">
        <v>63037</v>
      </c>
      <c r="B720" s="67">
        <f>11.6741 * CHOOSE(CONTROL!$C$22, $C$13, 100%, $E$13)</f>
        <v>11.674099999999999</v>
      </c>
      <c r="C720" s="67">
        <f>11.6741 * CHOOSE(CONTROL!$C$22, $C$13, 100%, $E$13)</f>
        <v>11.674099999999999</v>
      </c>
      <c r="D720" s="67">
        <f>11.6768 * CHOOSE(CONTROL!$C$22, $C$13, 100%, $E$13)</f>
        <v>11.6768</v>
      </c>
      <c r="E720" s="68">
        <f>13.3527 * CHOOSE(CONTROL!$C$22, $C$13, 100%, $E$13)</f>
        <v>13.3527</v>
      </c>
      <c r="F720" s="68">
        <f>13.3527 * CHOOSE(CONTROL!$C$22, $C$13, 100%, $E$13)</f>
        <v>13.3527</v>
      </c>
      <c r="G720" s="68">
        <f>13.356 * CHOOSE(CONTROL!$C$22, $C$13, 100%, $E$13)</f>
        <v>13.356</v>
      </c>
      <c r="H720" s="68">
        <f>21.9* CHOOSE(CONTROL!$C$22, $C$13, 100%, $E$13)</f>
        <v>21.9</v>
      </c>
      <c r="I720" s="68">
        <f>21.9032 * CHOOSE(CONTROL!$C$22, $C$13, 100%, $E$13)</f>
        <v>21.903199999999998</v>
      </c>
      <c r="J720" s="68">
        <f>13.3527 * CHOOSE(CONTROL!$C$22, $C$13, 100%, $E$13)</f>
        <v>13.3527</v>
      </c>
      <c r="K720" s="68">
        <f>13.356 * CHOOSE(CONTROL!$C$22, $C$13, 100%, $E$13)</f>
        <v>13.356</v>
      </c>
    </row>
    <row r="721" spans="1:11" ht="15">
      <c r="A721" s="13">
        <v>63068</v>
      </c>
      <c r="B721" s="67">
        <f>11.6711 * CHOOSE(CONTROL!$C$22, $C$13, 100%, $E$13)</f>
        <v>11.671099999999999</v>
      </c>
      <c r="C721" s="67">
        <f>11.6711 * CHOOSE(CONTROL!$C$22, $C$13, 100%, $E$13)</f>
        <v>11.671099999999999</v>
      </c>
      <c r="D721" s="67">
        <f>11.6737 * CHOOSE(CONTROL!$C$22, $C$13, 100%, $E$13)</f>
        <v>11.6737</v>
      </c>
      <c r="E721" s="68">
        <f>13.3262 * CHOOSE(CONTROL!$C$22, $C$13, 100%, $E$13)</f>
        <v>13.3262</v>
      </c>
      <c r="F721" s="68">
        <f>13.3262 * CHOOSE(CONTROL!$C$22, $C$13, 100%, $E$13)</f>
        <v>13.3262</v>
      </c>
      <c r="G721" s="68">
        <f>13.3295 * CHOOSE(CONTROL!$C$22, $C$13, 100%, $E$13)</f>
        <v>13.329499999999999</v>
      </c>
      <c r="H721" s="68">
        <f>21.9456* CHOOSE(CONTROL!$C$22, $C$13, 100%, $E$13)</f>
        <v>21.945599999999999</v>
      </c>
      <c r="I721" s="68">
        <f>21.9488 * CHOOSE(CONTROL!$C$22, $C$13, 100%, $E$13)</f>
        <v>21.948799999999999</v>
      </c>
      <c r="J721" s="68">
        <f>13.3262 * CHOOSE(CONTROL!$C$22, $C$13, 100%, $E$13)</f>
        <v>13.3262</v>
      </c>
      <c r="K721" s="68">
        <f>13.3295 * CHOOSE(CONTROL!$C$22, $C$13, 100%, $E$13)</f>
        <v>13.329499999999999</v>
      </c>
    </row>
    <row r="722" spans="1:11" ht="15">
      <c r="A722" s="13">
        <v>63098</v>
      </c>
      <c r="B722" s="67">
        <f>11.691 * CHOOSE(CONTROL!$C$22, $C$13, 100%, $E$13)</f>
        <v>11.691000000000001</v>
      </c>
      <c r="C722" s="67">
        <f>11.691 * CHOOSE(CONTROL!$C$22, $C$13, 100%, $E$13)</f>
        <v>11.691000000000001</v>
      </c>
      <c r="D722" s="67">
        <f>11.6919 * CHOOSE(CONTROL!$C$22, $C$13, 100%, $E$13)</f>
        <v>11.6919</v>
      </c>
      <c r="E722" s="68">
        <f>13.4103 * CHOOSE(CONTROL!$C$22, $C$13, 100%, $E$13)</f>
        <v>13.410299999999999</v>
      </c>
      <c r="F722" s="68">
        <f>13.4103 * CHOOSE(CONTROL!$C$22, $C$13, 100%, $E$13)</f>
        <v>13.410299999999999</v>
      </c>
      <c r="G722" s="68">
        <f>13.4116 * CHOOSE(CONTROL!$C$22, $C$13, 100%, $E$13)</f>
        <v>13.4116</v>
      </c>
      <c r="H722" s="68">
        <f>21.9913* CHOOSE(CONTROL!$C$22, $C$13, 100%, $E$13)</f>
        <v>21.991299999999999</v>
      </c>
      <c r="I722" s="68">
        <f>21.9926 * CHOOSE(CONTROL!$C$22, $C$13, 100%, $E$13)</f>
        <v>21.992599999999999</v>
      </c>
      <c r="J722" s="68">
        <f>13.4103 * CHOOSE(CONTROL!$C$22, $C$13, 100%, $E$13)</f>
        <v>13.410299999999999</v>
      </c>
      <c r="K722" s="68">
        <f>13.4116 * CHOOSE(CONTROL!$C$22, $C$13, 100%, $E$13)</f>
        <v>13.4116</v>
      </c>
    </row>
    <row r="723" spans="1:11" ht="15">
      <c r="A723" s="13">
        <v>63129</v>
      </c>
      <c r="B723" s="67">
        <f>11.694 * CHOOSE(CONTROL!$C$22, $C$13, 100%, $E$13)</f>
        <v>11.694000000000001</v>
      </c>
      <c r="C723" s="67">
        <f>11.694 * CHOOSE(CONTROL!$C$22, $C$13, 100%, $E$13)</f>
        <v>11.694000000000001</v>
      </c>
      <c r="D723" s="67">
        <f>11.695 * CHOOSE(CONTROL!$C$22, $C$13, 100%, $E$13)</f>
        <v>11.695</v>
      </c>
      <c r="E723" s="68">
        <f>13.4611 * CHOOSE(CONTROL!$C$22, $C$13, 100%, $E$13)</f>
        <v>13.4611</v>
      </c>
      <c r="F723" s="68">
        <f>13.4611 * CHOOSE(CONTROL!$C$22, $C$13, 100%, $E$13)</f>
        <v>13.4611</v>
      </c>
      <c r="G723" s="68">
        <f>13.4624 * CHOOSE(CONTROL!$C$22, $C$13, 100%, $E$13)</f>
        <v>13.462400000000001</v>
      </c>
      <c r="H723" s="68">
        <f>22.0371* CHOOSE(CONTROL!$C$22, $C$13, 100%, $E$13)</f>
        <v>22.037099999999999</v>
      </c>
      <c r="I723" s="68">
        <f>22.0384 * CHOOSE(CONTROL!$C$22, $C$13, 100%, $E$13)</f>
        <v>22.038399999999999</v>
      </c>
      <c r="J723" s="68">
        <f>13.4611 * CHOOSE(CONTROL!$C$22, $C$13, 100%, $E$13)</f>
        <v>13.4611</v>
      </c>
      <c r="K723" s="68">
        <f>13.4624 * CHOOSE(CONTROL!$C$22, $C$13, 100%, $E$13)</f>
        <v>13.462400000000001</v>
      </c>
    </row>
    <row r="724" spans="1:11" ht="15">
      <c r="A724" s="13">
        <v>63159</v>
      </c>
      <c r="B724" s="67">
        <f>11.694 * CHOOSE(CONTROL!$C$22, $C$13, 100%, $E$13)</f>
        <v>11.694000000000001</v>
      </c>
      <c r="C724" s="67">
        <f>11.694 * CHOOSE(CONTROL!$C$22, $C$13, 100%, $E$13)</f>
        <v>11.694000000000001</v>
      </c>
      <c r="D724" s="67">
        <f>11.695 * CHOOSE(CONTROL!$C$22, $C$13, 100%, $E$13)</f>
        <v>11.695</v>
      </c>
      <c r="E724" s="68">
        <f>13.3393 * CHOOSE(CONTROL!$C$22, $C$13, 100%, $E$13)</f>
        <v>13.3393</v>
      </c>
      <c r="F724" s="68">
        <f>13.3393 * CHOOSE(CONTROL!$C$22, $C$13, 100%, $E$13)</f>
        <v>13.3393</v>
      </c>
      <c r="G724" s="68">
        <f>13.3406 * CHOOSE(CONTROL!$C$22, $C$13, 100%, $E$13)</f>
        <v>13.3406</v>
      </c>
      <c r="H724" s="68">
        <f>22.083* CHOOSE(CONTROL!$C$22, $C$13, 100%, $E$13)</f>
        <v>22.082999999999998</v>
      </c>
      <c r="I724" s="68">
        <f>22.0843 * CHOOSE(CONTROL!$C$22, $C$13, 100%, $E$13)</f>
        <v>22.084299999999999</v>
      </c>
      <c r="J724" s="68">
        <f>13.3393 * CHOOSE(CONTROL!$C$22, $C$13, 100%, $E$13)</f>
        <v>13.3393</v>
      </c>
      <c r="K724" s="68">
        <f>13.3406 * CHOOSE(CONTROL!$C$22, $C$13, 100%, $E$13)</f>
        <v>13.3406</v>
      </c>
    </row>
    <row r="725" spans="1:11" ht="15">
      <c r="A725" s="13">
        <v>63190</v>
      </c>
      <c r="B725" s="67">
        <f>11.723 * CHOOSE(CONTROL!$C$22, $C$13, 100%, $E$13)</f>
        <v>11.723000000000001</v>
      </c>
      <c r="C725" s="67">
        <f>11.723 * CHOOSE(CONTROL!$C$22, $C$13, 100%, $E$13)</f>
        <v>11.723000000000001</v>
      </c>
      <c r="D725" s="67">
        <f>11.724 * CHOOSE(CONTROL!$C$22, $C$13, 100%, $E$13)</f>
        <v>11.724</v>
      </c>
      <c r="E725" s="68">
        <f>13.4657 * CHOOSE(CONTROL!$C$22, $C$13, 100%, $E$13)</f>
        <v>13.4657</v>
      </c>
      <c r="F725" s="68">
        <f>13.4657 * CHOOSE(CONTROL!$C$22, $C$13, 100%, $E$13)</f>
        <v>13.4657</v>
      </c>
      <c r="G725" s="68">
        <f>13.467 * CHOOSE(CONTROL!$C$22, $C$13, 100%, $E$13)</f>
        <v>13.467000000000001</v>
      </c>
      <c r="H725" s="68">
        <f>22.0103* CHOOSE(CONTROL!$C$22, $C$13, 100%, $E$13)</f>
        <v>22.010300000000001</v>
      </c>
      <c r="I725" s="68">
        <f>22.0115 * CHOOSE(CONTROL!$C$22, $C$13, 100%, $E$13)</f>
        <v>22.011500000000002</v>
      </c>
      <c r="J725" s="68">
        <f>13.4657 * CHOOSE(CONTROL!$C$22, $C$13, 100%, $E$13)</f>
        <v>13.4657</v>
      </c>
      <c r="K725" s="68">
        <f>13.467 * CHOOSE(CONTROL!$C$22, $C$13, 100%, $E$13)</f>
        <v>13.467000000000001</v>
      </c>
    </row>
    <row r="726" spans="1:11" ht="15">
      <c r="A726" s="13">
        <v>63221</v>
      </c>
      <c r="B726" s="67">
        <f>11.72 * CHOOSE(CONTROL!$C$22, $C$13, 100%, $E$13)</f>
        <v>11.72</v>
      </c>
      <c r="C726" s="67">
        <f>11.72 * CHOOSE(CONTROL!$C$22, $C$13, 100%, $E$13)</f>
        <v>11.72</v>
      </c>
      <c r="D726" s="67">
        <f>11.721 * CHOOSE(CONTROL!$C$22, $C$13, 100%, $E$13)</f>
        <v>11.721</v>
      </c>
      <c r="E726" s="68">
        <f>13.2284 * CHOOSE(CONTROL!$C$22, $C$13, 100%, $E$13)</f>
        <v>13.228400000000001</v>
      </c>
      <c r="F726" s="68">
        <f>13.2284 * CHOOSE(CONTROL!$C$22, $C$13, 100%, $E$13)</f>
        <v>13.228400000000001</v>
      </c>
      <c r="G726" s="68">
        <f>13.2297 * CHOOSE(CONTROL!$C$22, $C$13, 100%, $E$13)</f>
        <v>13.229699999999999</v>
      </c>
      <c r="H726" s="68">
        <f>22.0561* CHOOSE(CONTROL!$C$22, $C$13, 100%, $E$13)</f>
        <v>22.056100000000001</v>
      </c>
      <c r="I726" s="68">
        <f>22.0574 * CHOOSE(CONTROL!$C$22, $C$13, 100%, $E$13)</f>
        <v>22.057400000000001</v>
      </c>
      <c r="J726" s="68">
        <f>13.2284 * CHOOSE(CONTROL!$C$22, $C$13, 100%, $E$13)</f>
        <v>13.228400000000001</v>
      </c>
      <c r="K726" s="68">
        <f>13.2297 * CHOOSE(CONTROL!$C$22, $C$13, 100%, $E$13)</f>
        <v>13.229699999999999</v>
      </c>
    </row>
    <row r="727" spans="1:11" ht="15">
      <c r="A727" s="13">
        <v>63249</v>
      </c>
      <c r="B727" s="67">
        <f>11.717 * CHOOSE(CONTROL!$C$22, $C$13, 100%, $E$13)</f>
        <v>11.717000000000001</v>
      </c>
      <c r="C727" s="67">
        <f>11.717 * CHOOSE(CONTROL!$C$22, $C$13, 100%, $E$13)</f>
        <v>11.717000000000001</v>
      </c>
      <c r="D727" s="67">
        <f>11.7179 * CHOOSE(CONTROL!$C$22, $C$13, 100%, $E$13)</f>
        <v>11.7179</v>
      </c>
      <c r="E727" s="68">
        <f>13.4117 * CHOOSE(CONTROL!$C$22, $C$13, 100%, $E$13)</f>
        <v>13.4117</v>
      </c>
      <c r="F727" s="68">
        <f>13.4117 * CHOOSE(CONTROL!$C$22, $C$13, 100%, $E$13)</f>
        <v>13.4117</v>
      </c>
      <c r="G727" s="68">
        <f>13.413 * CHOOSE(CONTROL!$C$22, $C$13, 100%, $E$13)</f>
        <v>13.413</v>
      </c>
      <c r="H727" s="68">
        <f>22.1021* CHOOSE(CONTROL!$C$22, $C$13, 100%, $E$13)</f>
        <v>22.1021</v>
      </c>
      <c r="I727" s="68">
        <f>22.1033 * CHOOSE(CONTROL!$C$22, $C$13, 100%, $E$13)</f>
        <v>22.103300000000001</v>
      </c>
      <c r="J727" s="68">
        <f>13.4117 * CHOOSE(CONTROL!$C$22, $C$13, 100%, $E$13)</f>
        <v>13.4117</v>
      </c>
      <c r="K727" s="68">
        <f>13.413 * CHOOSE(CONTROL!$C$22, $C$13, 100%, $E$13)</f>
        <v>13.413</v>
      </c>
    </row>
    <row r="728" spans="1:11" ht="15">
      <c r="A728" s="13">
        <v>63280</v>
      </c>
      <c r="B728" s="67">
        <f>11.7211 * CHOOSE(CONTROL!$C$22, $C$13, 100%, $E$13)</f>
        <v>11.7211</v>
      </c>
      <c r="C728" s="67">
        <f>11.7211 * CHOOSE(CONTROL!$C$22, $C$13, 100%, $E$13)</f>
        <v>11.7211</v>
      </c>
      <c r="D728" s="67">
        <f>11.7221 * CHOOSE(CONTROL!$C$22, $C$13, 100%, $E$13)</f>
        <v>11.722099999999999</v>
      </c>
      <c r="E728" s="68">
        <f>13.6066 * CHOOSE(CONTROL!$C$22, $C$13, 100%, $E$13)</f>
        <v>13.6066</v>
      </c>
      <c r="F728" s="68">
        <f>13.6066 * CHOOSE(CONTROL!$C$22, $C$13, 100%, $E$13)</f>
        <v>13.6066</v>
      </c>
      <c r="G728" s="68">
        <f>13.6079 * CHOOSE(CONTROL!$C$22, $C$13, 100%, $E$13)</f>
        <v>13.607900000000001</v>
      </c>
      <c r="H728" s="68">
        <f>22.1481* CHOOSE(CONTROL!$C$22, $C$13, 100%, $E$13)</f>
        <v>22.148099999999999</v>
      </c>
      <c r="I728" s="68">
        <f>22.1494 * CHOOSE(CONTROL!$C$22, $C$13, 100%, $E$13)</f>
        <v>22.1494</v>
      </c>
      <c r="J728" s="68">
        <f>13.6066 * CHOOSE(CONTROL!$C$22, $C$13, 100%, $E$13)</f>
        <v>13.6066</v>
      </c>
      <c r="K728" s="68">
        <f>13.6079 * CHOOSE(CONTROL!$C$22, $C$13, 100%, $E$13)</f>
        <v>13.607900000000001</v>
      </c>
    </row>
    <row r="729" spans="1:11" ht="15">
      <c r="A729" s="13">
        <v>63310</v>
      </c>
      <c r="B729" s="67">
        <f>11.7211 * CHOOSE(CONTROL!$C$22, $C$13, 100%, $E$13)</f>
        <v>11.7211</v>
      </c>
      <c r="C729" s="67">
        <f>11.7211 * CHOOSE(CONTROL!$C$22, $C$13, 100%, $E$13)</f>
        <v>11.7211</v>
      </c>
      <c r="D729" s="67">
        <f>11.7237 * CHOOSE(CONTROL!$C$22, $C$13, 100%, $E$13)</f>
        <v>11.723699999999999</v>
      </c>
      <c r="E729" s="68">
        <f>13.6813 * CHOOSE(CONTROL!$C$22, $C$13, 100%, $E$13)</f>
        <v>13.6813</v>
      </c>
      <c r="F729" s="68">
        <f>13.6813 * CHOOSE(CONTROL!$C$22, $C$13, 100%, $E$13)</f>
        <v>13.6813</v>
      </c>
      <c r="G729" s="68">
        <f>13.6845 * CHOOSE(CONTROL!$C$22, $C$13, 100%, $E$13)</f>
        <v>13.6845</v>
      </c>
      <c r="H729" s="68">
        <f>22.1942* CHOOSE(CONTROL!$C$22, $C$13, 100%, $E$13)</f>
        <v>22.194199999999999</v>
      </c>
      <c r="I729" s="68">
        <f>22.1975 * CHOOSE(CONTROL!$C$22, $C$13, 100%, $E$13)</f>
        <v>22.197500000000002</v>
      </c>
      <c r="J729" s="68">
        <f>13.6813 * CHOOSE(CONTROL!$C$22, $C$13, 100%, $E$13)</f>
        <v>13.6813</v>
      </c>
      <c r="K729" s="68">
        <f>13.6845 * CHOOSE(CONTROL!$C$22, $C$13, 100%, $E$13)</f>
        <v>13.6845</v>
      </c>
    </row>
    <row r="730" spans="1:11" ht="15">
      <c r="A730" s="13">
        <v>63341</v>
      </c>
      <c r="B730" s="67">
        <f>11.7272 * CHOOSE(CONTROL!$C$22, $C$13, 100%, $E$13)</f>
        <v>11.7272</v>
      </c>
      <c r="C730" s="67">
        <f>11.7272 * CHOOSE(CONTROL!$C$22, $C$13, 100%, $E$13)</f>
        <v>11.7272</v>
      </c>
      <c r="D730" s="67">
        <f>11.7298 * CHOOSE(CONTROL!$C$22, $C$13, 100%, $E$13)</f>
        <v>11.729799999999999</v>
      </c>
      <c r="E730" s="68">
        <f>13.6108 * CHOOSE(CONTROL!$C$22, $C$13, 100%, $E$13)</f>
        <v>13.610799999999999</v>
      </c>
      <c r="F730" s="68">
        <f>13.6108 * CHOOSE(CONTROL!$C$22, $C$13, 100%, $E$13)</f>
        <v>13.610799999999999</v>
      </c>
      <c r="G730" s="68">
        <f>13.6141 * CHOOSE(CONTROL!$C$22, $C$13, 100%, $E$13)</f>
        <v>13.614100000000001</v>
      </c>
      <c r="H730" s="68">
        <f>22.2405* CHOOSE(CONTROL!$C$22, $C$13, 100%, $E$13)</f>
        <v>22.240500000000001</v>
      </c>
      <c r="I730" s="68">
        <f>22.2437 * CHOOSE(CONTROL!$C$22, $C$13, 100%, $E$13)</f>
        <v>22.2437</v>
      </c>
      <c r="J730" s="68">
        <f>13.6108 * CHOOSE(CONTROL!$C$22, $C$13, 100%, $E$13)</f>
        <v>13.610799999999999</v>
      </c>
      <c r="K730" s="68">
        <f>13.6141 * CHOOSE(CONTROL!$C$22, $C$13, 100%, $E$13)</f>
        <v>13.614100000000001</v>
      </c>
    </row>
    <row r="731" spans="1:11" ht="15">
      <c r="A731" s="13">
        <v>63371</v>
      </c>
      <c r="B731" s="67">
        <f>11.9066 * CHOOSE(CONTROL!$C$22, $C$13, 100%, $E$13)</f>
        <v>11.906599999999999</v>
      </c>
      <c r="C731" s="67">
        <f>11.9066 * CHOOSE(CONTROL!$C$22, $C$13, 100%, $E$13)</f>
        <v>11.906599999999999</v>
      </c>
      <c r="D731" s="67">
        <f>11.9092 * CHOOSE(CONTROL!$C$22, $C$13, 100%, $E$13)</f>
        <v>11.9092</v>
      </c>
      <c r="E731" s="68">
        <f>13.8292 * CHOOSE(CONTROL!$C$22, $C$13, 100%, $E$13)</f>
        <v>13.8292</v>
      </c>
      <c r="F731" s="68">
        <f>13.8292 * CHOOSE(CONTROL!$C$22, $C$13, 100%, $E$13)</f>
        <v>13.8292</v>
      </c>
      <c r="G731" s="68">
        <f>13.8324 * CHOOSE(CONTROL!$C$22, $C$13, 100%, $E$13)</f>
        <v>13.8324</v>
      </c>
      <c r="H731" s="68">
        <f>22.2868* CHOOSE(CONTROL!$C$22, $C$13, 100%, $E$13)</f>
        <v>22.286799999999999</v>
      </c>
      <c r="I731" s="68">
        <f>22.2901 * CHOOSE(CONTROL!$C$22, $C$13, 100%, $E$13)</f>
        <v>22.290099999999999</v>
      </c>
      <c r="J731" s="68">
        <f>13.8292 * CHOOSE(CONTROL!$C$22, $C$13, 100%, $E$13)</f>
        <v>13.8292</v>
      </c>
      <c r="K731" s="68">
        <f>13.8324 * CHOOSE(CONTROL!$C$22, $C$13, 100%, $E$13)</f>
        <v>13.8324</v>
      </c>
    </row>
    <row r="732" spans="1:11" ht="15">
      <c r="A732" s="13">
        <v>63402</v>
      </c>
      <c r="B732" s="67">
        <f>11.9133 * CHOOSE(CONTROL!$C$22, $C$13, 100%, $E$13)</f>
        <v>11.9133</v>
      </c>
      <c r="C732" s="67">
        <f>11.9133 * CHOOSE(CONTROL!$C$22, $C$13, 100%, $E$13)</f>
        <v>11.9133</v>
      </c>
      <c r="D732" s="67">
        <f>11.9159 * CHOOSE(CONTROL!$C$22, $C$13, 100%, $E$13)</f>
        <v>11.915900000000001</v>
      </c>
      <c r="E732" s="68">
        <f>13.6098 * CHOOSE(CONTROL!$C$22, $C$13, 100%, $E$13)</f>
        <v>13.6098</v>
      </c>
      <c r="F732" s="68">
        <f>13.6098 * CHOOSE(CONTROL!$C$22, $C$13, 100%, $E$13)</f>
        <v>13.6098</v>
      </c>
      <c r="G732" s="68">
        <f>13.613 * CHOOSE(CONTROL!$C$22, $C$13, 100%, $E$13)</f>
        <v>13.613</v>
      </c>
      <c r="H732" s="68">
        <f>22.3332* CHOOSE(CONTROL!$C$22, $C$13, 100%, $E$13)</f>
        <v>22.333200000000001</v>
      </c>
      <c r="I732" s="68">
        <f>22.3365 * CHOOSE(CONTROL!$C$22, $C$13, 100%, $E$13)</f>
        <v>22.336500000000001</v>
      </c>
      <c r="J732" s="68">
        <f>13.6098 * CHOOSE(CONTROL!$C$22, $C$13, 100%, $E$13)</f>
        <v>13.6098</v>
      </c>
      <c r="K732" s="68">
        <f>13.613 * CHOOSE(CONTROL!$C$22, $C$13, 100%, $E$13)</f>
        <v>13.613</v>
      </c>
    </row>
    <row r="733" spans="1:11" ht="15">
      <c r="A733" s="13">
        <v>63433</v>
      </c>
      <c r="B733" s="67">
        <f>11.9103 * CHOOSE(CONTROL!$C$22, $C$13, 100%, $E$13)</f>
        <v>11.910299999999999</v>
      </c>
      <c r="C733" s="67">
        <f>11.9103 * CHOOSE(CONTROL!$C$22, $C$13, 100%, $E$13)</f>
        <v>11.910299999999999</v>
      </c>
      <c r="D733" s="67">
        <f>11.9129 * CHOOSE(CONTROL!$C$22, $C$13, 100%, $E$13)</f>
        <v>11.9129</v>
      </c>
      <c r="E733" s="68">
        <f>13.5828 * CHOOSE(CONTROL!$C$22, $C$13, 100%, $E$13)</f>
        <v>13.582800000000001</v>
      </c>
      <c r="F733" s="68">
        <f>13.5828 * CHOOSE(CONTROL!$C$22, $C$13, 100%, $E$13)</f>
        <v>13.582800000000001</v>
      </c>
      <c r="G733" s="68">
        <f>13.586 * CHOOSE(CONTROL!$C$22, $C$13, 100%, $E$13)</f>
        <v>13.586</v>
      </c>
      <c r="H733" s="68">
        <f>22.3798* CHOOSE(CONTROL!$C$22, $C$13, 100%, $E$13)</f>
        <v>22.379799999999999</v>
      </c>
      <c r="I733" s="68">
        <f>22.383 * CHOOSE(CONTROL!$C$22, $C$13, 100%, $E$13)</f>
        <v>22.382999999999999</v>
      </c>
      <c r="J733" s="68">
        <f>13.5828 * CHOOSE(CONTROL!$C$22, $C$13, 100%, $E$13)</f>
        <v>13.582800000000001</v>
      </c>
      <c r="K733" s="68">
        <f>13.586 * CHOOSE(CONTROL!$C$22, $C$13, 100%, $E$13)</f>
        <v>13.586</v>
      </c>
    </row>
    <row r="734" spans="1:11" ht="15">
      <c r="A734" s="13">
        <v>63463</v>
      </c>
      <c r="B734" s="67">
        <f>11.9309 * CHOOSE(CONTROL!$C$22, $C$13, 100%, $E$13)</f>
        <v>11.930899999999999</v>
      </c>
      <c r="C734" s="67">
        <f>11.9309 * CHOOSE(CONTROL!$C$22, $C$13, 100%, $E$13)</f>
        <v>11.930899999999999</v>
      </c>
      <c r="D734" s="67">
        <f>11.9319 * CHOOSE(CONTROL!$C$22, $C$13, 100%, $E$13)</f>
        <v>11.931900000000001</v>
      </c>
      <c r="E734" s="68">
        <f>13.6689 * CHOOSE(CONTROL!$C$22, $C$13, 100%, $E$13)</f>
        <v>13.668900000000001</v>
      </c>
      <c r="F734" s="68">
        <f>13.6689 * CHOOSE(CONTROL!$C$22, $C$13, 100%, $E$13)</f>
        <v>13.668900000000001</v>
      </c>
      <c r="G734" s="68">
        <f>13.6702 * CHOOSE(CONTROL!$C$22, $C$13, 100%, $E$13)</f>
        <v>13.670199999999999</v>
      </c>
      <c r="H734" s="68">
        <f>22.4264* CHOOSE(CONTROL!$C$22, $C$13, 100%, $E$13)</f>
        <v>22.426400000000001</v>
      </c>
      <c r="I734" s="68">
        <f>22.4277 * CHOOSE(CONTROL!$C$22, $C$13, 100%, $E$13)</f>
        <v>22.427700000000002</v>
      </c>
      <c r="J734" s="68">
        <f>13.6689 * CHOOSE(CONTROL!$C$22, $C$13, 100%, $E$13)</f>
        <v>13.668900000000001</v>
      </c>
      <c r="K734" s="68">
        <f>13.6702 * CHOOSE(CONTROL!$C$22, $C$13, 100%, $E$13)</f>
        <v>13.670199999999999</v>
      </c>
    </row>
    <row r="735" spans="1:11" ht="15">
      <c r="A735" s="13">
        <v>63494</v>
      </c>
      <c r="B735" s="67">
        <f>11.9339 * CHOOSE(CONTROL!$C$22, $C$13, 100%, $E$13)</f>
        <v>11.9339</v>
      </c>
      <c r="C735" s="67">
        <f>11.9339 * CHOOSE(CONTROL!$C$22, $C$13, 100%, $E$13)</f>
        <v>11.9339</v>
      </c>
      <c r="D735" s="67">
        <f>11.9349 * CHOOSE(CONTROL!$C$22, $C$13, 100%, $E$13)</f>
        <v>11.934900000000001</v>
      </c>
      <c r="E735" s="68">
        <f>13.7208 * CHOOSE(CONTROL!$C$22, $C$13, 100%, $E$13)</f>
        <v>13.720800000000001</v>
      </c>
      <c r="F735" s="68">
        <f>13.7208 * CHOOSE(CONTROL!$C$22, $C$13, 100%, $E$13)</f>
        <v>13.720800000000001</v>
      </c>
      <c r="G735" s="68">
        <f>13.7221 * CHOOSE(CONTROL!$C$22, $C$13, 100%, $E$13)</f>
        <v>13.722099999999999</v>
      </c>
      <c r="H735" s="68">
        <f>22.4731* CHOOSE(CONTROL!$C$22, $C$13, 100%, $E$13)</f>
        <v>22.473099999999999</v>
      </c>
      <c r="I735" s="68">
        <f>22.4744 * CHOOSE(CONTROL!$C$22, $C$13, 100%, $E$13)</f>
        <v>22.474399999999999</v>
      </c>
      <c r="J735" s="68">
        <f>13.7208 * CHOOSE(CONTROL!$C$22, $C$13, 100%, $E$13)</f>
        <v>13.720800000000001</v>
      </c>
      <c r="K735" s="68">
        <f>13.7221 * CHOOSE(CONTROL!$C$22, $C$13, 100%, $E$13)</f>
        <v>13.722099999999999</v>
      </c>
    </row>
    <row r="736" spans="1:11" ht="15">
      <c r="A736" s="13">
        <v>63524</v>
      </c>
      <c r="B736" s="67">
        <f>11.9339 * CHOOSE(CONTROL!$C$22, $C$13, 100%, $E$13)</f>
        <v>11.9339</v>
      </c>
      <c r="C736" s="67">
        <f>11.9339 * CHOOSE(CONTROL!$C$22, $C$13, 100%, $E$13)</f>
        <v>11.9339</v>
      </c>
      <c r="D736" s="67">
        <f>11.9349 * CHOOSE(CONTROL!$C$22, $C$13, 100%, $E$13)</f>
        <v>11.934900000000001</v>
      </c>
      <c r="E736" s="68">
        <f>13.5964 * CHOOSE(CONTROL!$C$22, $C$13, 100%, $E$13)</f>
        <v>13.596399999999999</v>
      </c>
      <c r="F736" s="68">
        <f>13.5964 * CHOOSE(CONTROL!$C$22, $C$13, 100%, $E$13)</f>
        <v>13.596399999999999</v>
      </c>
      <c r="G736" s="68">
        <f>13.5976 * CHOOSE(CONTROL!$C$22, $C$13, 100%, $E$13)</f>
        <v>13.5976</v>
      </c>
      <c r="H736" s="68">
        <f>22.5199* CHOOSE(CONTROL!$C$22, $C$13, 100%, $E$13)</f>
        <v>22.5199</v>
      </c>
      <c r="I736" s="68">
        <f>22.5212 * CHOOSE(CONTROL!$C$22, $C$13, 100%, $E$13)</f>
        <v>22.5212</v>
      </c>
      <c r="J736" s="68">
        <f>13.5964 * CHOOSE(CONTROL!$C$22, $C$13, 100%, $E$13)</f>
        <v>13.596399999999999</v>
      </c>
      <c r="K736" s="68">
        <f>13.5976 * CHOOSE(CONTROL!$C$22, $C$13, 100%, $E$13)</f>
        <v>13.5976</v>
      </c>
    </row>
    <row r="737" spans="1:11" ht="15">
      <c r="A737" s="13">
        <v>63555</v>
      </c>
      <c r="B737" s="67">
        <f>11.9586 * CHOOSE(CONTROL!$C$22, $C$13, 100%, $E$13)</f>
        <v>11.958600000000001</v>
      </c>
      <c r="C737" s="67">
        <f>11.9586 * CHOOSE(CONTROL!$C$22, $C$13, 100%, $E$13)</f>
        <v>11.958600000000001</v>
      </c>
      <c r="D737" s="67">
        <f>11.9596 * CHOOSE(CONTROL!$C$22, $C$13, 100%, $E$13)</f>
        <v>11.9596</v>
      </c>
      <c r="E737" s="68">
        <f>13.7204 * CHOOSE(CONTROL!$C$22, $C$13, 100%, $E$13)</f>
        <v>13.7204</v>
      </c>
      <c r="F737" s="68">
        <f>13.7204 * CHOOSE(CONTROL!$C$22, $C$13, 100%, $E$13)</f>
        <v>13.7204</v>
      </c>
      <c r="G737" s="68">
        <f>13.7217 * CHOOSE(CONTROL!$C$22, $C$13, 100%, $E$13)</f>
        <v>13.7217</v>
      </c>
      <c r="H737" s="68">
        <f>22.4373* CHOOSE(CONTROL!$C$22, $C$13, 100%, $E$13)</f>
        <v>22.4373</v>
      </c>
      <c r="I737" s="68">
        <f>22.4386 * CHOOSE(CONTROL!$C$22, $C$13, 100%, $E$13)</f>
        <v>22.438600000000001</v>
      </c>
      <c r="J737" s="68">
        <f>13.7204 * CHOOSE(CONTROL!$C$22, $C$13, 100%, $E$13)</f>
        <v>13.7204</v>
      </c>
      <c r="K737" s="68">
        <f>13.7217 * CHOOSE(CONTROL!$C$22, $C$13, 100%, $E$13)</f>
        <v>13.7217</v>
      </c>
    </row>
    <row r="738" spans="1:11" ht="15">
      <c r="A738" s="13">
        <v>63586</v>
      </c>
      <c r="B738" s="67">
        <f>11.9556 * CHOOSE(CONTROL!$C$22, $C$13, 100%, $E$13)</f>
        <v>11.9556</v>
      </c>
      <c r="C738" s="67">
        <f>11.9556 * CHOOSE(CONTROL!$C$22, $C$13, 100%, $E$13)</f>
        <v>11.9556</v>
      </c>
      <c r="D738" s="67">
        <f>11.9565 * CHOOSE(CONTROL!$C$22, $C$13, 100%, $E$13)</f>
        <v>11.9565</v>
      </c>
      <c r="E738" s="68">
        <f>13.4782 * CHOOSE(CONTROL!$C$22, $C$13, 100%, $E$13)</f>
        <v>13.478199999999999</v>
      </c>
      <c r="F738" s="68">
        <f>13.4782 * CHOOSE(CONTROL!$C$22, $C$13, 100%, $E$13)</f>
        <v>13.478199999999999</v>
      </c>
      <c r="G738" s="68">
        <f>13.4795 * CHOOSE(CONTROL!$C$22, $C$13, 100%, $E$13)</f>
        <v>13.4795</v>
      </c>
      <c r="H738" s="68">
        <f>22.484* CHOOSE(CONTROL!$C$22, $C$13, 100%, $E$13)</f>
        <v>22.484000000000002</v>
      </c>
      <c r="I738" s="68">
        <f>22.4853 * CHOOSE(CONTROL!$C$22, $C$13, 100%, $E$13)</f>
        <v>22.485299999999999</v>
      </c>
      <c r="J738" s="68">
        <f>13.4782 * CHOOSE(CONTROL!$C$22, $C$13, 100%, $E$13)</f>
        <v>13.478199999999999</v>
      </c>
      <c r="K738" s="68">
        <f>13.4795 * CHOOSE(CONTROL!$C$22, $C$13, 100%, $E$13)</f>
        <v>13.4795</v>
      </c>
    </row>
    <row r="739" spans="1:11" ht="15">
      <c r="A739" s="13">
        <v>63614</v>
      </c>
      <c r="B739" s="67">
        <f>11.9525 * CHOOSE(CONTROL!$C$22, $C$13, 100%, $E$13)</f>
        <v>11.952500000000001</v>
      </c>
      <c r="C739" s="67">
        <f>11.9525 * CHOOSE(CONTROL!$C$22, $C$13, 100%, $E$13)</f>
        <v>11.952500000000001</v>
      </c>
      <c r="D739" s="67">
        <f>11.9535 * CHOOSE(CONTROL!$C$22, $C$13, 100%, $E$13)</f>
        <v>11.9535</v>
      </c>
      <c r="E739" s="68">
        <f>13.6654 * CHOOSE(CONTROL!$C$22, $C$13, 100%, $E$13)</f>
        <v>13.6654</v>
      </c>
      <c r="F739" s="68">
        <f>13.6654 * CHOOSE(CONTROL!$C$22, $C$13, 100%, $E$13)</f>
        <v>13.6654</v>
      </c>
      <c r="G739" s="68">
        <f>13.6667 * CHOOSE(CONTROL!$C$22, $C$13, 100%, $E$13)</f>
        <v>13.666700000000001</v>
      </c>
      <c r="H739" s="68">
        <f>22.5309* CHOOSE(CONTROL!$C$22, $C$13, 100%, $E$13)</f>
        <v>22.530899999999999</v>
      </c>
      <c r="I739" s="68">
        <f>22.5321 * CHOOSE(CONTROL!$C$22, $C$13, 100%, $E$13)</f>
        <v>22.5321</v>
      </c>
      <c r="J739" s="68">
        <f>13.6654 * CHOOSE(CONTROL!$C$22, $C$13, 100%, $E$13)</f>
        <v>13.6654</v>
      </c>
      <c r="K739" s="68">
        <f>13.6667 * CHOOSE(CONTROL!$C$22, $C$13, 100%, $E$13)</f>
        <v>13.666700000000001</v>
      </c>
    </row>
    <row r="740" spans="1:11" ht="15">
      <c r="A740" s="13">
        <v>63645</v>
      </c>
      <c r="B740" s="67">
        <f>11.9569 * CHOOSE(CONTROL!$C$22, $C$13, 100%, $E$13)</f>
        <v>11.956899999999999</v>
      </c>
      <c r="C740" s="67">
        <f>11.9569 * CHOOSE(CONTROL!$C$22, $C$13, 100%, $E$13)</f>
        <v>11.956899999999999</v>
      </c>
      <c r="D740" s="67">
        <f>11.9578 * CHOOSE(CONTROL!$C$22, $C$13, 100%, $E$13)</f>
        <v>11.957800000000001</v>
      </c>
      <c r="E740" s="68">
        <f>13.8645 * CHOOSE(CONTROL!$C$22, $C$13, 100%, $E$13)</f>
        <v>13.8645</v>
      </c>
      <c r="F740" s="68">
        <f>13.8645 * CHOOSE(CONTROL!$C$22, $C$13, 100%, $E$13)</f>
        <v>13.8645</v>
      </c>
      <c r="G740" s="68">
        <f>13.8657 * CHOOSE(CONTROL!$C$22, $C$13, 100%, $E$13)</f>
        <v>13.8657</v>
      </c>
      <c r="H740" s="68">
        <f>22.5778* CHOOSE(CONTROL!$C$22, $C$13, 100%, $E$13)</f>
        <v>22.5778</v>
      </c>
      <c r="I740" s="68">
        <f>22.5791 * CHOOSE(CONTROL!$C$22, $C$13, 100%, $E$13)</f>
        <v>22.5791</v>
      </c>
      <c r="J740" s="68">
        <f>13.8645 * CHOOSE(CONTROL!$C$22, $C$13, 100%, $E$13)</f>
        <v>13.8645</v>
      </c>
      <c r="K740" s="68">
        <f>13.8657 * CHOOSE(CONTROL!$C$22, $C$13, 100%, $E$13)</f>
        <v>13.8657</v>
      </c>
    </row>
    <row r="741" spans="1:11" ht="15">
      <c r="A741" s="13">
        <v>63675</v>
      </c>
      <c r="B741" s="67">
        <f>11.9569 * CHOOSE(CONTROL!$C$22, $C$13, 100%, $E$13)</f>
        <v>11.956899999999999</v>
      </c>
      <c r="C741" s="67">
        <f>11.9569 * CHOOSE(CONTROL!$C$22, $C$13, 100%, $E$13)</f>
        <v>11.956899999999999</v>
      </c>
      <c r="D741" s="67">
        <f>11.9595 * CHOOSE(CONTROL!$C$22, $C$13, 100%, $E$13)</f>
        <v>11.9595</v>
      </c>
      <c r="E741" s="68">
        <f>13.9407 * CHOOSE(CONTROL!$C$22, $C$13, 100%, $E$13)</f>
        <v>13.9407</v>
      </c>
      <c r="F741" s="68">
        <f>13.9407 * CHOOSE(CONTROL!$C$22, $C$13, 100%, $E$13)</f>
        <v>13.9407</v>
      </c>
      <c r="G741" s="68">
        <f>13.944 * CHOOSE(CONTROL!$C$22, $C$13, 100%, $E$13)</f>
        <v>13.944000000000001</v>
      </c>
      <c r="H741" s="68">
        <f>22.6248* CHOOSE(CONTROL!$C$22, $C$13, 100%, $E$13)</f>
        <v>22.6248</v>
      </c>
      <c r="I741" s="68">
        <f>22.6281 * CHOOSE(CONTROL!$C$22, $C$13, 100%, $E$13)</f>
        <v>22.6281</v>
      </c>
      <c r="J741" s="68">
        <f>13.9407 * CHOOSE(CONTROL!$C$22, $C$13, 100%, $E$13)</f>
        <v>13.9407</v>
      </c>
      <c r="K741" s="68">
        <f>13.944 * CHOOSE(CONTROL!$C$22, $C$13, 100%, $E$13)</f>
        <v>13.944000000000001</v>
      </c>
    </row>
    <row r="742" spans="1:11" ht="15">
      <c r="A742" s="13">
        <v>63706</v>
      </c>
      <c r="B742" s="67">
        <f>11.9629 * CHOOSE(CONTROL!$C$22, $C$13, 100%, $E$13)</f>
        <v>11.962899999999999</v>
      </c>
      <c r="C742" s="67">
        <f>11.9629 * CHOOSE(CONTROL!$C$22, $C$13, 100%, $E$13)</f>
        <v>11.962899999999999</v>
      </c>
      <c r="D742" s="67">
        <f>11.9656 * CHOOSE(CONTROL!$C$22, $C$13, 100%, $E$13)</f>
        <v>11.9656</v>
      </c>
      <c r="E742" s="68">
        <f>13.8687 * CHOOSE(CONTROL!$C$22, $C$13, 100%, $E$13)</f>
        <v>13.8687</v>
      </c>
      <c r="F742" s="68">
        <f>13.8687 * CHOOSE(CONTROL!$C$22, $C$13, 100%, $E$13)</f>
        <v>13.8687</v>
      </c>
      <c r="G742" s="68">
        <f>13.872 * CHOOSE(CONTROL!$C$22, $C$13, 100%, $E$13)</f>
        <v>13.872</v>
      </c>
      <c r="H742" s="68">
        <f>22.672* CHOOSE(CONTROL!$C$22, $C$13, 100%, $E$13)</f>
        <v>22.672000000000001</v>
      </c>
      <c r="I742" s="68">
        <f>22.6752 * CHOOSE(CONTROL!$C$22, $C$13, 100%, $E$13)</f>
        <v>22.6752</v>
      </c>
      <c r="J742" s="68">
        <f>13.8687 * CHOOSE(CONTROL!$C$22, $C$13, 100%, $E$13)</f>
        <v>13.8687</v>
      </c>
      <c r="K742" s="68">
        <f>13.872 * CHOOSE(CONTROL!$C$22, $C$13, 100%, $E$13)</f>
        <v>13.872</v>
      </c>
    </row>
    <row r="743" spans="1:11" ht="15">
      <c r="A743" s="13">
        <v>63736</v>
      </c>
      <c r="B743" s="67">
        <f>12.1458 * CHOOSE(CONTROL!$C$22, $C$13, 100%, $E$13)</f>
        <v>12.145799999999999</v>
      </c>
      <c r="C743" s="67">
        <f>12.1458 * CHOOSE(CONTROL!$C$22, $C$13, 100%, $E$13)</f>
        <v>12.145799999999999</v>
      </c>
      <c r="D743" s="67">
        <f>12.1484 * CHOOSE(CONTROL!$C$22, $C$13, 100%, $E$13)</f>
        <v>12.148400000000001</v>
      </c>
      <c r="E743" s="68">
        <f>14.0909 * CHOOSE(CONTROL!$C$22, $C$13, 100%, $E$13)</f>
        <v>14.0909</v>
      </c>
      <c r="F743" s="68">
        <f>14.0909 * CHOOSE(CONTROL!$C$22, $C$13, 100%, $E$13)</f>
        <v>14.0909</v>
      </c>
      <c r="G743" s="68">
        <f>14.0942 * CHOOSE(CONTROL!$C$22, $C$13, 100%, $E$13)</f>
        <v>14.094200000000001</v>
      </c>
      <c r="H743" s="68">
        <f>22.7192* CHOOSE(CONTROL!$C$22, $C$13, 100%, $E$13)</f>
        <v>22.719200000000001</v>
      </c>
      <c r="I743" s="68">
        <f>22.7225 * CHOOSE(CONTROL!$C$22, $C$13, 100%, $E$13)</f>
        <v>22.7225</v>
      </c>
      <c r="J743" s="68">
        <f>14.0909 * CHOOSE(CONTROL!$C$22, $C$13, 100%, $E$13)</f>
        <v>14.0909</v>
      </c>
      <c r="K743" s="68">
        <f>14.0942 * CHOOSE(CONTROL!$C$22, $C$13, 100%, $E$13)</f>
        <v>14.094200000000001</v>
      </c>
    </row>
    <row r="744" spans="1:11" ht="15">
      <c r="A744" s="13">
        <v>63767</v>
      </c>
      <c r="B744" s="67">
        <f>12.1525 * CHOOSE(CONTROL!$C$22, $C$13, 100%, $E$13)</f>
        <v>12.1525</v>
      </c>
      <c r="C744" s="67">
        <f>12.1525 * CHOOSE(CONTROL!$C$22, $C$13, 100%, $E$13)</f>
        <v>12.1525</v>
      </c>
      <c r="D744" s="67">
        <f>12.1551 * CHOOSE(CONTROL!$C$22, $C$13, 100%, $E$13)</f>
        <v>12.155099999999999</v>
      </c>
      <c r="E744" s="68">
        <f>13.8668 * CHOOSE(CONTROL!$C$22, $C$13, 100%, $E$13)</f>
        <v>13.8668</v>
      </c>
      <c r="F744" s="68">
        <f>13.8668 * CHOOSE(CONTROL!$C$22, $C$13, 100%, $E$13)</f>
        <v>13.8668</v>
      </c>
      <c r="G744" s="68">
        <f>13.8701 * CHOOSE(CONTROL!$C$22, $C$13, 100%, $E$13)</f>
        <v>13.870100000000001</v>
      </c>
      <c r="H744" s="68">
        <f>22.7665* CHOOSE(CONTROL!$C$22, $C$13, 100%, $E$13)</f>
        <v>22.766500000000001</v>
      </c>
      <c r="I744" s="68">
        <f>22.7698 * CHOOSE(CONTROL!$C$22, $C$13, 100%, $E$13)</f>
        <v>22.7698</v>
      </c>
      <c r="J744" s="68">
        <f>13.8668 * CHOOSE(CONTROL!$C$22, $C$13, 100%, $E$13)</f>
        <v>13.8668</v>
      </c>
      <c r="K744" s="68">
        <f>13.8701 * CHOOSE(CONTROL!$C$22, $C$13, 100%, $E$13)</f>
        <v>13.870100000000001</v>
      </c>
    </row>
    <row r="745" spans="1:11" ht="15">
      <c r="A745" s="13">
        <v>63798</v>
      </c>
      <c r="B745" s="67">
        <f>12.1495 * CHOOSE(CONTROL!$C$22, $C$13, 100%, $E$13)</f>
        <v>12.1495</v>
      </c>
      <c r="C745" s="67">
        <f>12.1495 * CHOOSE(CONTROL!$C$22, $C$13, 100%, $E$13)</f>
        <v>12.1495</v>
      </c>
      <c r="D745" s="67">
        <f>12.1521 * CHOOSE(CONTROL!$C$22, $C$13, 100%, $E$13)</f>
        <v>12.152100000000001</v>
      </c>
      <c r="E745" s="68">
        <f>13.8393 * CHOOSE(CONTROL!$C$22, $C$13, 100%, $E$13)</f>
        <v>13.8393</v>
      </c>
      <c r="F745" s="68">
        <f>13.8393 * CHOOSE(CONTROL!$C$22, $C$13, 100%, $E$13)</f>
        <v>13.8393</v>
      </c>
      <c r="G745" s="68">
        <f>13.8426 * CHOOSE(CONTROL!$C$22, $C$13, 100%, $E$13)</f>
        <v>13.842599999999999</v>
      </c>
      <c r="H745" s="68">
        <f>22.814* CHOOSE(CONTROL!$C$22, $C$13, 100%, $E$13)</f>
        <v>22.814</v>
      </c>
      <c r="I745" s="68">
        <f>22.8172 * CHOOSE(CONTROL!$C$22, $C$13, 100%, $E$13)</f>
        <v>22.8172</v>
      </c>
      <c r="J745" s="68">
        <f>13.8393 * CHOOSE(CONTROL!$C$22, $C$13, 100%, $E$13)</f>
        <v>13.8393</v>
      </c>
      <c r="K745" s="68">
        <f>13.8426 * CHOOSE(CONTROL!$C$22, $C$13, 100%, $E$13)</f>
        <v>13.842599999999999</v>
      </c>
    </row>
    <row r="746" spans="1:11" ht="15">
      <c r="A746" s="13">
        <v>63828</v>
      </c>
      <c r="B746" s="67">
        <f>12.1708 * CHOOSE(CONTROL!$C$22, $C$13, 100%, $E$13)</f>
        <v>12.1708</v>
      </c>
      <c r="C746" s="67">
        <f>12.1708 * CHOOSE(CONTROL!$C$22, $C$13, 100%, $E$13)</f>
        <v>12.1708</v>
      </c>
      <c r="D746" s="67">
        <f>12.1718 * CHOOSE(CONTROL!$C$22, $C$13, 100%, $E$13)</f>
        <v>12.171799999999999</v>
      </c>
      <c r="E746" s="68">
        <f>13.9276 * CHOOSE(CONTROL!$C$22, $C$13, 100%, $E$13)</f>
        <v>13.9276</v>
      </c>
      <c r="F746" s="68">
        <f>13.9276 * CHOOSE(CONTROL!$C$22, $C$13, 100%, $E$13)</f>
        <v>13.9276</v>
      </c>
      <c r="G746" s="68">
        <f>13.9288 * CHOOSE(CONTROL!$C$22, $C$13, 100%, $E$13)</f>
        <v>13.928800000000001</v>
      </c>
      <c r="H746" s="68">
        <f>22.8615* CHOOSE(CONTROL!$C$22, $C$13, 100%, $E$13)</f>
        <v>22.861499999999999</v>
      </c>
      <c r="I746" s="68">
        <f>22.8628 * CHOOSE(CONTROL!$C$22, $C$13, 100%, $E$13)</f>
        <v>22.8628</v>
      </c>
      <c r="J746" s="68">
        <f>13.9276 * CHOOSE(CONTROL!$C$22, $C$13, 100%, $E$13)</f>
        <v>13.9276</v>
      </c>
      <c r="K746" s="68">
        <f>13.9288 * CHOOSE(CONTROL!$C$22, $C$13, 100%, $E$13)</f>
        <v>13.928800000000001</v>
      </c>
    </row>
    <row r="747" spans="1:11" ht="15">
      <c r="A747" s="13">
        <v>63859</v>
      </c>
      <c r="B747" s="67">
        <f>12.1739 * CHOOSE(CONTROL!$C$22, $C$13, 100%, $E$13)</f>
        <v>12.1739</v>
      </c>
      <c r="C747" s="67">
        <f>12.1739 * CHOOSE(CONTROL!$C$22, $C$13, 100%, $E$13)</f>
        <v>12.1739</v>
      </c>
      <c r="D747" s="67">
        <f>12.1749 * CHOOSE(CONTROL!$C$22, $C$13, 100%, $E$13)</f>
        <v>12.174899999999999</v>
      </c>
      <c r="E747" s="68">
        <f>13.9805 * CHOOSE(CONTROL!$C$22, $C$13, 100%, $E$13)</f>
        <v>13.980499999999999</v>
      </c>
      <c r="F747" s="68">
        <f>13.9805 * CHOOSE(CONTROL!$C$22, $C$13, 100%, $E$13)</f>
        <v>13.980499999999999</v>
      </c>
      <c r="G747" s="68">
        <f>13.9818 * CHOOSE(CONTROL!$C$22, $C$13, 100%, $E$13)</f>
        <v>13.9818</v>
      </c>
      <c r="H747" s="68">
        <f>22.9091* CHOOSE(CONTROL!$C$22, $C$13, 100%, $E$13)</f>
        <v>22.909099999999999</v>
      </c>
      <c r="I747" s="68">
        <f>22.9104 * CHOOSE(CONTROL!$C$22, $C$13, 100%, $E$13)</f>
        <v>22.910399999999999</v>
      </c>
      <c r="J747" s="68">
        <f>13.9805 * CHOOSE(CONTROL!$C$22, $C$13, 100%, $E$13)</f>
        <v>13.980499999999999</v>
      </c>
      <c r="K747" s="68">
        <f>13.9818 * CHOOSE(CONTROL!$C$22, $C$13, 100%, $E$13)</f>
        <v>13.9818</v>
      </c>
    </row>
    <row r="748" spans="1:11" ht="15">
      <c r="A748" s="13">
        <v>63889</v>
      </c>
      <c r="B748" s="67">
        <f>12.1739 * CHOOSE(CONTROL!$C$22, $C$13, 100%, $E$13)</f>
        <v>12.1739</v>
      </c>
      <c r="C748" s="67">
        <f>12.1739 * CHOOSE(CONTROL!$C$22, $C$13, 100%, $E$13)</f>
        <v>12.1739</v>
      </c>
      <c r="D748" s="67">
        <f>12.1749 * CHOOSE(CONTROL!$C$22, $C$13, 100%, $E$13)</f>
        <v>12.174899999999999</v>
      </c>
      <c r="E748" s="68">
        <f>13.8534 * CHOOSE(CONTROL!$C$22, $C$13, 100%, $E$13)</f>
        <v>13.853400000000001</v>
      </c>
      <c r="F748" s="68">
        <f>13.8534 * CHOOSE(CONTROL!$C$22, $C$13, 100%, $E$13)</f>
        <v>13.853400000000001</v>
      </c>
      <c r="G748" s="68">
        <f>13.8547 * CHOOSE(CONTROL!$C$22, $C$13, 100%, $E$13)</f>
        <v>13.854699999999999</v>
      </c>
      <c r="H748" s="68">
        <f>22.9569* CHOOSE(CONTROL!$C$22, $C$13, 100%, $E$13)</f>
        <v>22.956900000000001</v>
      </c>
      <c r="I748" s="68">
        <f>22.9581 * CHOOSE(CONTROL!$C$22, $C$13, 100%, $E$13)</f>
        <v>22.958100000000002</v>
      </c>
      <c r="J748" s="68">
        <f>13.8534 * CHOOSE(CONTROL!$C$22, $C$13, 100%, $E$13)</f>
        <v>13.853400000000001</v>
      </c>
      <c r="K748" s="68">
        <f>13.8547 * CHOOSE(CONTROL!$C$22, $C$13, 100%, $E$13)</f>
        <v>13.854699999999999</v>
      </c>
    </row>
    <row r="749" spans="1:11" ht="15">
      <c r="A749" s="13">
        <v>63920</v>
      </c>
      <c r="B749" s="67">
        <f>12.1942 * CHOOSE(CONTROL!$C$22, $C$13, 100%, $E$13)</f>
        <v>12.1942</v>
      </c>
      <c r="C749" s="67">
        <f>12.1942 * CHOOSE(CONTROL!$C$22, $C$13, 100%, $E$13)</f>
        <v>12.1942</v>
      </c>
      <c r="D749" s="67">
        <f>12.1952 * CHOOSE(CONTROL!$C$22, $C$13, 100%, $E$13)</f>
        <v>12.1952</v>
      </c>
      <c r="E749" s="68">
        <f>13.9752 * CHOOSE(CONTROL!$C$22, $C$13, 100%, $E$13)</f>
        <v>13.975199999999999</v>
      </c>
      <c r="F749" s="68">
        <f>13.9752 * CHOOSE(CONTROL!$C$22, $C$13, 100%, $E$13)</f>
        <v>13.975199999999999</v>
      </c>
      <c r="G749" s="68">
        <f>13.9764 * CHOOSE(CONTROL!$C$22, $C$13, 100%, $E$13)</f>
        <v>13.9764</v>
      </c>
      <c r="H749" s="68">
        <f>22.8643* CHOOSE(CONTROL!$C$22, $C$13, 100%, $E$13)</f>
        <v>22.8643</v>
      </c>
      <c r="I749" s="68">
        <f>22.8656 * CHOOSE(CONTROL!$C$22, $C$13, 100%, $E$13)</f>
        <v>22.865600000000001</v>
      </c>
      <c r="J749" s="68">
        <f>13.9752 * CHOOSE(CONTROL!$C$22, $C$13, 100%, $E$13)</f>
        <v>13.975199999999999</v>
      </c>
      <c r="K749" s="68">
        <f>13.9764 * CHOOSE(CONTROL!$C$22, $C$13, 100%, $E$13)</f>
        <v>13.9764</v>
      </c>
    </row>
    <row r="750" spans="1:11" ht="15">
      <c r="A750" s="13">
        <v>63951</v>
      </c>
      <c r="B750" s="67">
        <f>12.1911 * CHOOSE(CONTROL!$C$22, $C$13, 100%, $E$13)</f>
        <v>12.1911</v>
      </c>
      <c r="C750" s="67">
        <f>12.1911 * CHOOSE(CONTROL!$C$22, $C$13, 100%, $E$13)</f>
        <v>12.1911</v>
      </c>
      <c r="D750" s="67">
        <f>12.1921 * CHOOSE(CONTROL!$C$22, $C$13, 100%, $E$13)</f>
        <v>12.1921</v>
      </c>
      <c r="E750" s="68">
        <f>13.728 * CHOOSE(CONTROL!$C$22, $C$13, 100%, $E$13)</f>
        <v>13.728</v>
      </c>
      <c r="F750" s="68">
        <f>13.728 * CHOOSE(CONTROL!$C$22, $C$13, 100%, $E$13)</f>
        <v>13.728</v>
      </c>
      <c r="G750" s="68">
        <f>13.7292 * CHOOSE(CONTROL!$C$22, $C$13, 100%, $E$13)</f>
        <v>13.729200000000001</v>
      </c>
      <c r="H750" s="68">
        <f>22.9119* CHOOSE(CONTROL!$C$22, $C$13, 100%, $E$13)</f>
        <v>22.911899999999999</v>
      </c>
      <c r="I750" s="68">
        <f>22.9132 * CHOOSE(CONTROL!$C$22, $C$13, 100%, $E$13)</f>
        <v>22.9132</v>
      </c>
      <c r="J750" s="68">
        <f>13.728 * CHOOSE(CONTROL!$C$22, $C$13, 100%, $E$13)</f>
        <v>13.728</v>
      </c>
      <c r="K750" s="68">
        <f>13.7292 * CHOOSE(CONTROL!$C$22, $C$13, 100%, $E$13)</f>
        <v>13.729200000000001</v>
      </c>
    </row>
    <row r="751" spans="1:11" ht="15">
      <c r="A751" s="13">
        <v>63979</v>
      </c>
      <c r="B751" s="67">
        <f>12.1881 * CHOOSE(CONTROL!$C$22, $C$13, 100%, $E$13)</f>
        <v>12.1881</v>
      </c>
      <c r="C751" s="67">
        <f>12.1881 * CHOOSE(CONTROL!$C$22, $C$13, 100%, $E$13)</f>
        <v>12.1881</v>
      </c>
      <c r="D751" s="67">
        <f>12.1891 * CHOOSE(CONTROL!$C$22, $C$13, 100%, $E$13)</f>
        <v>12.1891</v>
      </c>
      <c r="E751" s="68">
        <f>13.9191 * CHOOSE(CONTROL!$C$22, $C$13, 100%, $E$13)</f>
        <v>13.9191</v>
      </c>
      <c r="F751" s="68">
        <f>13.9191 * CHOOSE(CONTROL!$C$22, $C$13, 100%, $E$13)</f>
        <v>13.9191</v>
      </c>
      <c r="G751" s="68">
        <f>13.9203 * CHOOSE(CONTROL!$C$22, $C$13, 100%, $E$13)</f>
        <v>13.920299999999999</v>
      </c>
      <c r="H751" s="68">
        <f>22.9597* CHOOSE(CONTROL!$C$22, $C$13, 100%, $E$13)</f>
        <v>22.959700000000002</v>
      </c>
      <c r="I751" s="68">
        <f>22.9609 * CHOOSE(CONTROL!$C$22, $C$13, 100%, $E$13)</f>
        <v>22.960899999999999</v>
      </c>
      <c r="J751" s="68">
        <f>13.9191 * CHOOSE(CONTROL!$C$22, $C$13, 100%, $E$13)</f>
        <v>13.9191</v>
      </c>
      <c r="K751" s="68">
        <f>13.9203 * CHOOSE(CONTROL!$C$22, $C$13, 100%, $E$13)</f>
        <v>13.920299999999999</v>
      </c>
    </row>
    <row r="752" spans="1:11" ht="15">
      <c r="A752" s="13">
        <v>64010</v>
      </c>
      <c r="B752" s="67">
        <f>12.1926 * CHOOSE(CONTROL!$C$22, $C$13, 100%, $E$13)</f>
        <v>12.192600000000001</v>
      </c>
      <c r="C752" s="67">
        <f>12.1926 * CHOOSE(CONTROL!$C$22, $C$13, 100%, $E$13)</f>
        <v>12.192600000000001</v>
      </c>
      <c r="D752" s="67">
        <f>12.1936 * CHOOSE(CONTROL!$C$22, $C$13, 100%, $E$13)</f>
        <v>12.1936</v>
      </c>
      <c r="E752" s="68">
        <f>14.1223 * CHOOSE(CONTROL!$C$22, $C$13, 100%, $E$13)</f>
        <v>14.122299999999999</v>
      </c>
      <c r="F752" s="68">
        <f>14.1223 * CHOOSE(CONTROL!$C$22, $C$13, 100%, $E$13)</f>
        <v>14.122299999999999</v>
      </c>
      <c r="G752" s="68">
        <f>14.1236 * CHOOSE(CONTROL!$C$22, $C$13, 100%, $E$13)</f>
        <v>14.1236</v>
      </c>
      <c r="H752" s="68">
        <f>23.0075* CHOOSE(CONTROL!$C$22, $C$13, 100%, $E$13)</f>
        <v>23.0075</v>
      </c>
      <c r="I752" s="68">
        <f>23.0088 * CHOOSE(CONTROL!$C$22, $C$13, 100%, $E$13)</f>
        <v>23.008800000000001</v>
      </c>
      <c r="J752" s="68">
        <f>14.1223 * CHOOSE(CONTROL!$C$22, $C$13, 100%, $E$13)</f>
        <v>14.122299999999999</v>
      </c>
      <c r="K752" s="68">
        <f>14.1236 * CHOOSE(CONTROL!$C$22, $C$13, 100%, $E$13)</f>
        <v>14.1236</v>
      </c>
    </row>
    <row r="753" spans="1:11" ht="15">
      <c r="A753" s="13">
        <v>64040</v>
      </c>
      <c r="B753" s="67">
        <f>12.1926 * CHOOSE(CONTROL!$C$22, $C$13, 100%, $E$13)</f>
        <v>12.192600000000001</v>
      </c>
      <c r="C753" s="67">
        <f>12.1926 * CHOOSE(CONTROL!$C$22, $C$13, 100%, $E$13)</f>
        <v>12.192600000000001</v>
      </c>
      <c r="D753" s="67">
        <f>12.1952 * CHOOSE(CONTROL!$C$22, $C$13, 100%, $E$13)</f>
        <v>12.1952</v>
      </c>
      <c r="E753" s="68">
        <f>14.2001 * CHOOSE(CONTROL!$C$22, $C$13, 100%, $E$13)</f>
        <v>14.200100000000001</v>
      </c>
      <c r="F753" s="68">
        <f>14.2001 * CHOOSE(CONTROL!$C$22, $C$13, 100%, $E$13)</f>
        <v>14.200100000000001</v>
      </c>
      <c r="G753" s="68">
        <f>14.2034 * CHOOSE(CONTROL!$C$22, $C$13, 100%, $E$13)</f>
        <v>14.2034</v>
      </c>
      <c r="H753" s="68">
        <f>23.0554* CHOOSE(CONTROL!$C$22, $C$13, 100%, $E$13)</f>
        <v>23.055399999999999</v>
      </c>
      <c r="I753" s="68">
        <f>23.0587 * CHOOSE(CONTROL!$C$22, $C$13, 100%, $E$13)</f>
        <v>23.058700000000002</v>
      </c>
      <c r="J753" s="68">
        <f>14.2001 * CHOOSE(CONTROL!$C$22, $C$13, 100%, $E$13)</f>
        <v>14.200100000000001</v>
      </c>
      <c r="K753" s="68">
        <f>14.2034 * CHOOSE(CONTROL!$C$22, $C$13, 100%, $E$13)</f>
        <v>14.2034</v>
      </c>
    </row>
    <row r="754" spans="1:11" ht="15">
      <c r="A754" s="13">
        <v>64071</v>
      </c>
      <c r="B754" s="67">
        <f>12.1987 * CHOOSE(CONTROL!$C$22, $C$13, 100%, $E$13)</f>
        <v>12.198700000000001</v>
      </c>
      <c r="C754" s="67">
        <f>12.1987 * CHOOSE(CONTROL!$C$22, $C$13, 100%, $E$13)</f>
        <v>12.198700000000001</v>
      </c>
      <c r="D754" s="67">
        <f>12.2013 * CHOOSE(CONTROL!$C$22, $C$13, 100%, $E$13)</f>
        <v>12.2013</v>
      </c>
      <c r="E754" s="68">
        <f>14.1266 * CHOOSE(CONTROL!$C$22, $C$13, 100%, $E$13)</f>
        <v>14.1266</v>
      </c>
      <c r="F754" s="68">
        <f>14.1266 * CHOOSE(CONTROL!$C$22, $C$13, 100%, $E$13)</f>
        <v>14.1266</v>
      </c>
      <c r="G754" s="68">
        <f>14.1298 * CHOOSE(CONTROL!$C$22, $C$13, 100%, $E$13)</f>
        <v>14.129799999999999</v>
      </c>
      <c r="H754" s="68">
        <f>23.1035* CHOOSE(CONTROL!$C$22, $C$13, 100%, $E$13)</f>
        <v>23.1035</v>
      </c>
      <c r="I754" s="68">
        <f>23.1067 * CHOOSE(CONTROL!$C$22, $C$13, 100%, $E$13)</f>
        <v>23.1067</v>
      </c>
      <c r="J754" s="68">
        <f>14.1266 * CHOOSE(CONTROL!$C$22, $C$13, 100%, $E$13)</f>
        <v>14.1266</v>
      </c>
      <c r="K754" s="68">
        <f>14.1298 * CHOOSE(CONTROL!$C$22, $C$13, 100%, $E$13)</f>
        <v>14.129799999999999</v>
      </c>
    </row>
    <row r="755" spans="1:11" ht="15">
      <c r="A755" s="13">
        <v>64101</v>
      </c>
      <c r="B755" s="67">
        <f>12.385 * CHOOSE(CONTROL!$C$22, $C$13, 100%, $E$13)</f>
        <v>12.385</v>
      </c>
      <c r="C755" s="67">
        <f>12.385 * CHOOSE(CONTROL!$C$22, $C$13, 100%, $E$13)</f>
        <v>12.385</v>
      </c>
      <c r="D755" s="67">
        <f>12.3876 * CHOOSE(CONTROL!$C$22, $C$13, 100%, $E$13)</f>
        <v>12.387600000000001</v>
      </c>
      <c r="E755" s="68">
        <f>14.3527 * CHOOSE(CONTROL!$C$22, $C$13, 100%, $E$13)</f>
        <v>14.3527</v>
      </c>
      <c r="F755" s="68">
        <f>14.3527 * CHOOSE(CONTROL!$C$22, $C$13, 100%, $E$13)</f>
        <v>14.3527</v>
      </c>
      <c r="G755" s="68">
        <f>14.356 * CHOOSE(CONTROL!$C$22, $C$13, 100%, $E$13)</f>
        <v>14.356</v>
      </c>
      <c r="H755" s="68">
        <f>23.1516* CHOOSE(CONTROL!$C$22, $C$13, 100%, $E$13)</f>
        <v>23.151599999999998</v>
      </c>
      <c r="I755" s="68">
        <f>23.1548 * CHOOSE(CONTROL!$C$22, $C$13, 100%, $E$13)</f>
        <v>23.154800000000002</v>
      </c>
      <c r="J755" s="68">
        <f>14.3527 * CHOOSE(CONTROL!$C$22, $C$13, 100%, $E$13)</f>
        <v>14.3527</v>
      </c>
      <c r="K755" s="68">
        <f>14.356 * CHOOSE(CONTROL!$C$22, $C$13, 100%, $E$13)</f>
        <v>14.356</v>
      </c>
    </row>
    <row r="756" spans="1:11" ht="15">
      <c r="A756" s="13">
        <v>64132</v>
      </c>
      <c r="B756" s="67">
        <f>12.3917 * CHOOSE(CONTROL!$C$22, $C$13, 100%, $E$13)</f>
        <v>12.3917</v>
      </c>
      <c r="C756" s="67">
        <f>12.3917 * CHOOSE(CONTROL!$C$22, $C$13, 100%, $E$13)</f>
        <v>12.3917</v>
      </c>
      <c r="D756" s="67">
        <f>12.3943 * CHOOSE(CONTROL!$C$22, $C$13, 100%, $E$13)</f>
        <v>12.394299999999999</v>
      </c>
      <c r="E756" s="68">
        <f>14.1239 * CHOOSE(CONTROL!$C$22, $C$13, 100%, $E$13)</f>
        <v>14.123900000000001</v>
      </c>
      <c r="F756" s="68">
        <f>14.1239 * CHOOSE(CONTROL!$C$22, $C$13, 100%, $E$13)</f>
        <v>14.123900000000001</v>
      </c>
      <c r="G756" s="68">
        <f>14.1272 * CHOOSE(CONTROL!$C$22, $C$13, 100%, $E$13)</f>
        <v>14.1272</v>
      </c>
      <c r="H756" s="68">
        <f>23.1998* CHOOSE(CONTROL!$C$22, $C$13, 100%, $E$13)</f>
        <v>23.1998</v>
      </c>
      <c r="I756" s="68">
        <f>23.2031 * CHOOSE(CONTROL!$C$22, $C$13, 100%, $E$13)</f>
        <v>23.203099999999999</v>
      </c>
      <c r="J756" s="68">
        <f>14.1239 * CHOOSE(CONTROL!$C$22, $C$13, 100%, $E$13)</f>
        <v>14.123900000000001</v>
      </c>
      <c r="K756" s="68">
        <f>14.1272 * CHOOSE(CONTROL!$C$22, $C$13, 100%, $E$13)</f>
        <v>14.1272</v>
      </c>
    </row>
    <row r="757" spans="1:11" ht="15">
      <c r="A757" s="13">
        <v>64163</v>
      </c>
      <c r="B757" s="67">
        <f>12.3886 * CHOOSE(CONTROL!$C$22, $C$13, 100%, $E$13)</f>
        <v>12.3886</v>
      </c>
      <c r="C757" s="67">
        <f>12.3886 * CHOOSE(CONTROL!$C$22, $C$13, 100%, $E$13)</f>
        <v>12.3886</v>
      </c>
      <c r="D757" s="67">
        <f>12.3913 * CHOOSE(CONTROL!$C$22, $C$13, 100%, $E$13)</f>
        <v>12.391299999999999</v>
      </c>
      <c r="E757" s="68">
        <f>14.0959 * CHOOSE(CONTROL!$C$22, $C$13, 100%, $E$13)</f>
        <v>14.0959</v>
      </c>
      <c r="F757" s="68">
        <f>14.0959 * CHOOSE(CONTROL!$C$22, $C$13, 100%, $E$13)</f>
        <v>14.0959</v>
      </c>
      <c r="G757" s="68">
        <f>14.0991 * CHOOSE(CONTROL!$C$22, $C$13, 100%, $E$13)</f>
        <v>14.0991</v>
      </c>
      <c r="H757" s="68">
        <f>23.2482* CHOOSE(CONTROL!$C$22, $C$13, 100%, $E$13)</f>
        <v>23.248200000000001</v>
      </c>
      <c r="I757" s="68">
        <f>23.2514 * CHOOSE(CONTROL!$C$22, $C$13, 100%, $E$13)</f>
        <v>23.2514</v>
      </c>
      <c r="J757" s="68">
        <f>14.0959 * CHOOSE(CONTROL!$C$22, $C$13, 100%, $E$13)</f>
        <v>14.0959</v>
      </c>
      <c r="K757" s="68">
        <f>14.0991 * CHOOSE(CONTROL!$C$22, $C$13, 100%, $E$13)</f>
        <v>14.0991</v>
      </c>
    </row>
    <row r="758" spans="1:11" ht="15">
      <c r="A758" s="13">
        <v>64193</v>
      </c>
      <c r="B758" s="67">
        <f>12.4108 * CHOOSE(CONTROL!$C$22, $C$13, 100%, $E$13)</f>
        <v>12.4108</v>
      </c>
      <c r="C758" s="67">
        <f>12.4108 * CHOOSE(CONTROL!$C$22, $C$13, 100%, $E$13)</f>
        <v>12.4108</v>
      </c>
      <c r="D758" s="67">
        <f>12.4118 * CHOOSE(CONTROL!$C$22, $C$13, 100%, $E$13)</f>
        <v>12.411799999999999</v>
      </c>
      <c r="E758" s="68">
        <f>14.1862 * CHOOSE(CONTROL!$C$22, $C$13, 100%, $E$13)</f>
        <v>14.186199999999999</v>
      </c>
      <c r="F758" s="68">
        <f>14.1862 * CHOOSE(CONTROL!$C$22, $C$13, 100%, $E$13)</f>
        <v>14.186199999999999</v>
      </c>
      <c r="G758" s="68">
        <f>14.1875 * CHOOSE(CONTROL!$C$22, $C$13, 100%, $E$13)</f>
        <v>14.1875</v>
      </c>
      <c r="H758" s="68">
        <f>23.2966* CHOOSE(CONTROL!$C$22, $C$13, 100%, $E$13)</f>
        <v>23.296600000000002</v>
      </c>
      <c r="I758" s="68">
        <f>23.2979 * CHOOSE(CONTROL!$C$22, $C$13, 100%, $E$13)</f>
        <v>23.297899999999998</v>
      </c>
      <c r="J758" s="68">
        <f>14.1862 * CHOOSE(CONTROL!$C$22, $C$13, 100%, $E$13)</f>
        <v>14.186199999999999</v>
      </c>
      <c r="K758" s="68">
        <f>14.1875 * CHOOSE(CONTROL!$C$22, $C$13, 100%, $E$13)</f>
        <v>14.1875</v>
      </c>
    </row>
    <row r="759" spans="1:11" ht="15">
      <c r="A759" s="13">
        <v>64224</v>
      </c>
      <c r="B759" s="67">
        <f>12.4138 * CHOOSE(CONTROL!$C$22, $C$13, 100%, $E$13)</f>
        <v>12.4138</v>
      </c>
      <c r="C759" s="67">
        <f>12.4138 * CHOOSE(CONTROL!$C$22, $C$13, 100%, $E$13)</f>
        <v>12.4138</v>
      </c>
      <c r="D759" s="67">
        <f>12.4148 * CHOOSE(CONTROL!$C$22, $C$13, 100%, $E$13)</f>
        <v>12.4148</v>
      </c>
      <c r="E759" s="68">
        <f>14.2402 * CHOOSE(CONTROL!$C$22, $C$13, 100%, $E$13)</f>
        <v>14.2402</v>
      </c>
      <c r="F759" s="68">
        <f>14.2402 * CHOOSE(CONTROL!$C$22, $C$13, 100%, $E$13)</f>
        <v>14.2402</v>
      </c>
      <c r="G759" s="68">
        <f>14.2415 * CHOOSE(CONTROL!$C$22, $C$13, 100%, $E$13)</f>
        <v>14.2415</v>
      </c>
      <c r="H759" s="68">
        <f>23.3451* CHOOSE(CONTROL!$C$22, $C$13, 100%, $E$13)</f>
        <v>23.345099999999999</v>
      </c>
      <c r="I759" s="68">
        <f>23.3464 * CHOOSE(CONTROL!$C$22, $C$13, 100%, $E$13)</f>
        <v>23.346399999999999</v>
      </c>
      <c r="J759" s="68">
        <f>14.2402 * CHOOSE(CONTROL!$C$22, $C$13, 100%, $E$13)</f>
        <v>14.2402</v>
      </c>
      <c r="K759" s="68">
        <f>14.2415 * CHOOSE(CONTROL!$C$22, $C$13, 100%, $E$13)</f>
        <v>14.2415</v>
      </c>
    </row>
    <row r="760" spans="1:11" ht="15">
      <c r="A760" s="13">
        <v>64254</v>
      </c>
      <c r="B760" s="67">
        <f>12.4138 * CHOOSE(CONTROL!$C$22, $C$13, 100%, $E$13)</f>
        <v>12.4138</v>
      </c>
      <c r="C760" s="67">
        <f>12.4138 * CHOOSE(CONTROL!$C$22, $C$13, 100%, $E$13)</f>
        <v>12.4138</v>
      </c>
      <c r="D760" s="67">
        <f>12.4148 * CHOOSE(CONTROL!$C$22, $C$13, 100%, $E$13)</f>
        <v>12.4148</v>
      </c>
      <c r="E760" s="68">
        <f>14.1105 * CHOOSE(CONTROL!$C$22, $C$13, 100%, $E$13)</f>
        <v>14.1105</v>
      </c>
      <c r="F760" s="68">
        <f>14.1105 * CHOOSE(CONTROL!$C$22, $C$13, 100%, $E$13)</f>
        <v>14.1105</v>
      </c>
      <c r="G760" s="68">
        <f>14.1118 * CHOOSE(CONTROL!$C$22, $C$13, 100%, $E$13)</f>
        <v>14.111800000000001</v>
      </c>
      <c r="H760" s="68">
        <f>23.3938* CHOOSE(CONTROL!$C$22, $C$13, 100%, $E$13)</f>
        <v>23.393799999999999</v>
      </c>
      <c r="I760" s="68">
        <f>23.395 * CHOOSE(CONTROL!$C$22, $C$13, 100%, $E$13)</f>
        <v>23.395</v>
      </c>
      <c r="J760" s="68">
        <f>14.1105 * CHOOSE(CONTROL!$C$22, $C$13, 100%, $E$13)</f>
        <v>14.1105</v>
      </c>
      <c r="K760" s="68">
        <f>14.1118 * CHOOSE(CONTROL!$C$22, $C$13, 100%, $E$13)</f>
        <v>14.111800000000001</v>
      </c>
    </row>
    <row r="761" spans="1:11" ht="15">
      <c r="A761" s="13">
        <v>64285</v>
      </c>
      <c r="B761" s="67">
        <f>12.4297 * CHOOSE(CONTROL!$C$22, $C$13, 100%, $E$13)</f>
        <v>12.4297</v>
      </c>
      <c r="C761" s="67">
        <f>12.4297 * CHOOSE(CONTROL!$C$22, $C$13, 100%, $E$13)</f>
        <v>12.4297</v>
      </c>
      <c r="D761" s="67">
        <f>12.4307 * CHOOSE(CONTROL!$C$22, $C$13, 100%, $E$13)</f>
        <v>12.4307</v>
      </c>
      <c r="E761" s="68">
        <f>14.2299 * CHOOSE(CONTROL!$C$22, $C$13, 100%, $E$13)</f>
        <v>14.229900000000001</v>
      </c>
      <c r="F761" s="68">
        <f>14.2299 * CHOOSE(CONTROL!$C$22, $C$13, 100%, $E$13)</f>
        <v>14.229900000000001</v>
      </c>
      <c r="G761" s="68">
        <f>14.2312 * CHOOSE(CONTROL!$C$22, $C$13, 100%, $E$13)</f>
        <v>14.231199999999999</v>
      </c>
      <c r="H761" s="68">
        <f>23.2913* CHOOSE(CONTROL!$C$22, $C$13, 100%, $E$13)</f>
        <v>23.2913</v>
      </c>
      <c r="I761" s="68">
        <f>23.2926 * CHOOSE(CONTROL!$C$22, $C$13, 100%, $E$13)</f>
        <v>23.2926</v>
      </c>
      <c r="J761" s="68">
        <f>14.2299 * CHOOSE(CONTROL!$C$22, $C$13, 100%, $E$13)</f>
        <v>14.229900000000001</v>
      </c>
      <c r="K761" s="68">
        <f>14.2312 * CHOOSE(CONTROL!$C$22, $C$13, 100%, $E$13)</f>
        <v>14.231199999999999</v>
      </c>
    </row>
    <row r="762" spans="1:11" ht="15">
      <c r="A762" s="13">
        <v>64316</v>
      </c>
      <c r="B762" s="67">
        <f>12.4267 * CHOOSE(CONTROL!$C$22, $C$13, 100%, $E$13)</f>
        <v>12.4267</v>
      </c>
      <c r="C762" s="67">
        <f>12.4267 * CHOOSE(CONTROL!$C$22, $C$13, 100%, $E$13)</f>
        <v>12.4267</v>
      </c>
      <c r="D762" s="67">
        <f>12.4277 * CHOOSE(CONTROL!$C$22, $C$13, 100%, $E$13)</f>
        <v>12.4277</v>
      </c>
      <c r="E762" s="68">
        <f>13.9777 * CHOOSE(CONTROL!$C$22, $C$13, 100%, $E$13)</f>
        <v>13.9777</v>
      </c>
      <c r="F762" s="68">
        <f>13.9777 * CHOOSE(CONTROL!$C$22, $C$13, 100%, $E$13)</f>
        <v>13.9777</v>
      </c>
      <c r="G762" s="68">
        <f>13.979 * CHOOSE(CONTROL!$C$22, $C$13, 100%, $E$13)</f>
        <v>13.978999999999999</v>
      </c>
      <c r="H762" s="68">
        <f>23.3398* CHOOSE(CONTROL!$C$22, $C$13, 100%, $E$13)</f>
        <v>23.3398</v>
      </c>
      <c r="I762" s="68">
        <f>23.3411 * CHOOSE(CONTROL!$C$22, $C$13, 100%, $E$13)</f>
        <v>23.341100000000001</v>
      </c>
      <c r="J762" s="68">
        <f>13.9777 * CHOOSE(CONTROL!$C$22, $C$13, 100%, $E$13)</f>
        <v>13.9777</v>
      </c>
      <c r="K762" s="68">
        <f>13.979 * CHOOSE(CONTROL!$C$22, $C$13, 100%, $E$13)</f>
        <v>13.978999999999999</v>
      </c>
    </row>
    <row r="763" spans="1:11" ht="15">
      <c r="A763" s="13">
        <v>64345</v>
      </c>
      <c r="B763" s="67">
        <f>12.4237 * CHOOSE(CONTROL!$C$22, $C$13, 100%, $E$13)</f>
        <v>12.4237</v>
      </c>
      <c r="C763" s="67">
        <f>12.4237 * CHOOSE(CONTROL!$C$22, $C$13, 100%, $E$13)</f>
        <v>12.4237</v>
      </c>
      <c r="D763" s="67">
        <f>12.4246 * CHOOSE(CONTROL!$C$22, $C$13, 100%, $E$13)</f>
        <v>12.4246</v>
      </c>
      <c r="E763" s="68">
        <f>14.1727 * CHOOSE(CONTROL!$C$22, $C$13, 100%, $E$13)</f>
        <v>14.172700000000001</v>
      </c>
      <c r="F763" s="68">
        <f>14.1727 * CHOOSE(CONTROL!$C$22, $C$13, 100%, $E$13)</f>
        <v>14.172700000000001</v>
      </c>
      <c r="G763" s="68">
        <f>14.174 * CHOOSE(CONTROL!$C$22, $C$13, 100%, $E$13)</f>
        <v>14.173999999999999</v>
      </c>
      <c r="H763" s="68">
        <f>23.3885* CHOOSE(CONTROL!$C$22, $C$13, 100%, $E$13)</f>
        <v>23.388500000000001</v>
      </c>
      <c r="I763" s="68">
        <f>23.3897 * CHOOSE(CONTROL!$C$22, $C$13, 100%, $E$13)</f>
        <v>23.389700000000001</v>
      </c>
      <c r="J763" s="68">
        <f>14.1727 * CHOOSE(CONTROL!$C$22, $C$13, 100%, $E$13)</f>
        <v>14.172700000000001</v>
      </c>
      <c r="K763" s="68">
        <f>14.174 * CHOOSE(CONTROL!$C$22, $C$13, 100%, $E$13)</f>
        <v>14.173999999999999</v>
      </c>
    </row>
    <row r="764" spans="1:11" ht="15">
      <c r="A764" s="13">
        <v>64376</v>
      </c>
      <c r="B764" s="67">
        <f>12.4284 * CHOOSE(CONTROL!$C$22, $C$13, 100%, $E$13)</f>
        <v>12.4284</v>
      </c>
      <c r="C764" s="67">
        <f>12.4284 * CHOOSE(CONTROL!$C$22, $C$13, 100%, $E$13)</f>
        <v>12.4284</v>
      </c>
      <c r="D764" s="67">
        <f>12.4294 * CHOOSE(CONTROL!$C$22, $C$13, 100%, $E$13)</f>
        <v>12.429399999999999</v>
      </c>
      <c r="E764" s="68">
        <f>14.3802 * CHOOSE(CONTROL!$C$22, $C$13, 100%, $E$13)</f>
        <v>14.3802</v>
      </c>
      <c r="F764" s="68">
        <f>14.3802 * CHOOSE(CONTROL!$C$22, $C$13, 100%, $E$13)</f>
        <v>14.3802</v>
      </c>
      <c r="G764" s="68">
        <f>14.3815 * CHOOSE(CONTROL!$C$22, $C$13, 100%, $E$13)</f>
        <v>14.381500000000001</v>
      </c>
      <c r="H764" s="68">
        <f>23.4372* CHOOSE(CONTROL!$C$22, $C$13, 100%, $E$13)</f>
        <v>23.437200000000001</v>
      </c>
      <c r="I764" s="68">
        <f>23.4385 * CHOOSE(CONTROL!$C$22, $C$13, 100%, $E$13)</f>
        <v>23.438500000000001</v>
      </c>
      <c r="J764" s="68">
        <f>14.3802 * CHOOSE(CONTROL!$C$22, $C$13, 100%, $E$13)</f>
        <v>14.3802</v>
      </c>
      <c r="K764" s="68">
        <f>14.3815 * CHOOSE(CONTROL!$C$22, $C$13, 100%, $E$13)</f>
        <v>14.381500000000001</v>
      </c>
    </row>
    <row r="765" spans="1:11" ht="15">
      <c r="A765" s="13">
        <v>64406</v>
      </c>
      <c r="B765" s="67">
        <f>12.4284 * CHOOSE(CONTROL!$C$22, $C$13, 100%, $E$13)</f>
        <v>12.4284</v>
      </c>
      <c r="C765" s="67">
        <f>12.4284 * CHOOSE(CONTROL!$C$22, $C$13, 100%, $E$13)</f>
        <v>12.4284</v>
      </c>
      <c r="D765" s="67">
        <f>12.431 * CHOOSE(CONTROL!$C$22, $C$13, 100%, $E$13)</f>
        <v>12.430999999999999</v>
      </c>
      <c r="E765" s="68">
        <f>14.4596 * CHOOSE(CONTROL!$C$22, $C$13, 100%, $E$13)</f>
        <v>14.4596</v>
      </c>
      <c r="F765" s="68">
        <f>14.4596 * CHOOSE(CONTROL!$C$22, $C$13, 100%, $E$13)</f>
        <v>14.4596</v>
      </c>
      <c r="G765" s="68">
        <f>14.4628 * CHOOSE(CONTROL!$C$22, $C$13, 100%, $E$13)</f>
        <v>14.4628</v>
      </c>
      <c r="H765" s="68">
        <f>23.486* CHOOSE(CONTROL!$C$22, $C$13, 100%, $E$13)</f>
        <v>23.486000000000001</v>
      </c>
      <c r="I765" s="68">
        <f>23.4893 * CHOOSE(CONTROL!$C$22, $C$13, 100%, $E$13)</f>
        <v>23.4893</v>
      </c>
      <c r="J765" s="68">
        <f>14.4596 * CHOOSE(CONTROL!$C$22, $C$13, 100%, $E$13)</f>
        <v>14.4596</v>
      </c>
      <c r="K765" s="68">
        <f>14.4628 * CHOOSE(CONTROL!$C$22, $C$13, 100%, $E$13)</f>
        <v>14.4628</v>
      </c>
    </row>
    <row r="766" spans="1:11" ht="15">
      <c r="A766" s="13">
        <v>64437</v>
      </c>
      <c r="B766" s="67">
        <f>12.4345 * CHOOSE(CONTROL!$C$22, $C$13, 100%, $E$13)</f>
        <v>12.4345</v>
      </c>
      <c r="C766" s="67">
        <f>12.4345 * CHOOSE(CONTROL!$C$22, $C$13, 100%, $E$13)</f>
        <v>12.4345</v>
      </c>
      <c r="D766" s="67">
        <f>12.4371 * CHOOSE(CONTROL!$C$22, $C$13, 100%, $E$13)</f>
        <v>12.437099999999999</v>
      </c>
      <c r="E766" s="68">
        <f>14.3844 * CHOOSE(CONTROL!$C$22, $C$13, 100%, $E$13)</f>
        <v>14.384399999999999</v>
      </c>
      <c r="F766" s="68">
        <f>14.3844 * CHOOSE(CONTROL!$C$22, $C$13, 100%, $E$13)</f>
        <v>14.384399999999999</v>
      </c>
      <c r="G766" s="68">
        <f>14.3877 * CHOOSE(CONTROL!$C$22, $C$13, 100%, $E$13)</f>
        <v>14.387700000000001</v>
      </c>
      <c r="H766" s="68">
        <f>23.5349* CHOOSE(CONTROL!$C$22, $C$13, 100%, $E$13)</f>
        <v>23.5349</v>
      </c>
      <c r="I766" s="68">
        <f>23.5382 * CHOOSE(CONTROL!$C$22, $C$13, 100%, $E$13)</f>
        <v>23.5382</v>
      </c>
      <c r="J766" s="68">
        <f>14.3844 * CHOOSE(CONTROL!$C$22, $C$13, 100%, $E$13)</f>
        <v>14.384399999999999</v>
      </c>
      <c r="K766" s="68">
        <f>14.3877 * CHOOSE(CONTROL!$C$22, $C$13, 100%, $E$13)</f>
        <v>14.387700000000001</v>
      </c>
    </row>
    <row r="767" spans="1:11" ht="15">
      <c r="A767" s="13">
        <v>64467</v>
      </c>
      <c r="B767" s="67">
        <f>12.6242 * CHOOSE(CONTROL!$C$22, $C$13, 100%, $E$13)</f>
        <v>12.6242</v>
      </c>
      <c r="C767" s="67">
        <f>12.6242 * CHOOSE(CONTROL!$C$22, $C$13, 100%, $E$13)</f>
        <v>12.6242</v>
      </c>
      <c r="D767" s="67">
        <f>12.6268 * CHOOSE(CONTROL!$C$22, $C$13, 100%, $E$13)</f>
        <v>12.626799999999999</v>
      </c>
      <c r="E767" s="68">
        <f>14.6145 * CHOOSE(CONTROL!$C$22, $C$13, 100%, $E$13)</f>
        <v>14.6145</v>
      </c>
      <c r="F767" s="68">
        <f>14.6145 * CHOOSE(CONTROL!$C$22, $C$13, 100%, $E$13)</f>
        <v>14.6145</v>
      </c>
      <c r="G767" s="68">
        <f>14.6177 * CHOOSE(CONTROL!$C$22, $C$13, 100%, $E$13)</f>
        <v>14.617699999999999</v>
      </c>
      <c r="H767" s="68">
        <f>23.584* CHOOSE(CONTROL!$C$22, $C$13, 100%, $E$13)</f>
        <v>23.584</v>
      </c>
      <c r="I767" s="68">
        <f>23.5872 * CHOOSE(CONTROL!$C$22, $C$13, 100%, $E$13)</f>
        <v>23.587199999999999</v>
      </c>
      <c r="J767" s="68">
        <f>14.6145 * CHOOSE(CONTROL!$C$22, $C$13, 100%, $E$13)</f>
        <v>14.6145</v>
      </c>
      <c r="K767" s="68">
        <f>14.6177 * CHOOSE(CONTROL!$C$22, $C$13, 100%, $E$13)</f>
        <v>14.617699999999999</v>
      </c>
    </row>
    <row r="768" spans="1:11" ht="15">
      <c r="A768" s="13">
        <v>64498</v>
      </c>
      <c r="B768" s="67">
        <f>12.6309 * CHOOSE(CONTROL!$C$22, $C$13, 100%, $E$13)</f>
        <v>12.6309</v>
      </c>
      <c r="C768" s="67">
        <f>12.6309 * CHOOSE(CONTROL!$C$22, $C$13, 100%, $E$13)</f>
        <v>12.6309</v>
      </c>
      <c r="D768" s="67">
        <f>12.6335 * CHOOSE(CONTROL!$C$22, $C$13, 100%, $E$13)</f>
        <v>12.6335</v>
      </c>
      <c r="E768" s="68">
        <f>14.381 * CHOOSE(CONTROL!$C$22, $C$13, 100%, $E$13)</f>
        <v>14.381</v>
      </c>
      <c r="F768" s="68">
        <f>14.381 * CHOOSE(CONTROL!$C$22, $C$13, 100%, $E$13)</f>
        <v>14.381</v>
      </c>
      <c r="G768" s="68">
        <f>14.3842 * CHOOSE(CONTROL!$C$22, $C$13, 100%, $E$13)</f>
        <v>14.3842</v>
      </c>
      <c r="H768" s="68">
        <f>23.6331* CHOOSE(CONTROL!$C$22, $C$13, 100%, $E$13)</f>
        <v>23.633099999999999</v>
      </c>
      <c r="I768" s="68">
        <f>23.6364 * CHOOSE(CONTROL!$C$22, $C$13, 100%, $E$13)</f>
        <v>23.636399999999998</v>
      </c>
      <c r="J768" s="68">
        <f>14.381 * CHOOSE(CONTROL!$C$22, $C$13, 100%, $E$13)</f>
        <v>14.381</v>
      </c>
      <c r="K768" s="68">
        <f>14.3842 * CHOOSE(CONTROL!$C$22, $C$13, 100%, $E$13)</f>
        <v>14.3842</v>
      </c>
    </row>
    <row r="769" spans="1:11" ht="15">
      <c r="A769" s="13">
        <v>64529</v>
      </c>
      <c r="B769" s="67">
        <f>12.6278 * CHOOSE(CONTROL!$C$22, $C$13, 100%, $E$13)</f>
        <v>12.627800000000001</v>
      </c>
      <c r="C769" s="67">
        <f>12.6278 * CHOOSE(CONTROL!$C$22, $C$13, 100%, $E$13)</f>
        <v>12.627800000000001</v>
      </c>
      <c r="D769" s="67">
        <f>12.6304 * CHOOSE(CONTROL!$C$22, $C$13, 100%, $E$13)</f>
        <v>12.6304</v>
      </c>
      <c r="E769" s="68">
        <f>14.3524 * CHOOSE(CONTROL!$C$22, $C$13, 100%, $E$13)</f>
        <v>14.352399999999999</v>
      </c>
      <c r="F769" s="68">
        <f>14.3524 * CHOOSE(CONTROL!$C$22, $C$13, 100%, $E$13)</f>
        <v>14.352399999999999</v>
      </c>
      <c r="G769" s="68">
        <f>14.3557 * CHOOSE(CONTROL!$C$22, $C$13, 100%, $E$13)</f>
        <v>14.355700000000001</v>
      </c>
      <c r="H769" s="68">
        <f>23.6823* CHOOSE(CONTROL!$C$22, $C$13, 100%, $E$13)</f>
        <v>23.682300000000001</v>
      </c>
      <c r="I769" s="68">
        <f>23.6856 * CHOOSE(CONTROL!$C$22, $C$13, 100%, $E$13)</f>
        <v>23.685600000000001</v>
      </c>
      <c r="J769" s="68">
        <f>14.3524 * CHOOSE(CONTROL!$C$22, $C$13, 100%, $E$13)</f>
        <v>14.352399999999999</v>
      </c>
      <c r="K769" s="68">
        <f>14.3557 * CHOOSE(CONTROL!$C$22, $C$13, 100%, $E$13)</f>
        <v>14.355700000000001</v>
      </c>
    </row>
    <row r="770" spans="1:11" ht="15">
      <c r="A770" s="13">
        <v>64559</v>
      </c>
      <c r="B770" s="67">
        <f>12.6507 * CHOOSE(CONTROL!$C$22, $C$13, 100%, $E$13)</f>
        <v>12.650700000000001</v>
      </c>
      <c r="C770" s="67">
        <f>12.6507 * CHOOSE(CONTROL!$C$22, $C$13, 100%, $E$13)</f>
        <v>12.650700000000001</v>
      </c>
      <c r="D770" s="67">
        <f>12.6517 * CHOOSE(CONTROL!$C$22, $C$13, 100%, $E$13)</f>
        <v>12.6517</v>
      </c>
      <c r="E770" s="68">
        <f>14.4448 * CHOOSE(CONTROL!$C$22, $C$13, 100%, $E$13)</f>
        <v>14.444800000000001</v>
      </c>
      <c r="F770" s="68">
        <f>14.4448 * CHOOSE(CONTROL!$C$22, $C$13, 100%, $E$13)</f>
        <v>14.444800000000001</v>
      </c>
      <c r="G770" s="68">
        <f>14.4461 * CHOOSE(CONTROL!$C$22, $C$13, 100%, $E$13)</f>
        <v>14.446099999999999</v>
      </c>
      <c r="H770" s="68">
        <f>23.7317* CHOOSE(CONTROL!$C$22, $C$13, 100%, $E$13)</f>
        <v>23.7317</v>
      </c>
      <c r="I770" s="68">
        <f>23.733 * CHOOSE(CONTROL!$C$22, $C$13, 100%, $E$13)</f>
        <v>23.733000000000001</v>
      </c>
      <c r="J770" s="68">
        <f>14.4448 * CHOOSE(CONTROL!$C$22, $C$13, 100%, $E$13)</f>
        <v>14.444800000000001</v>
      </c>
      <c r="K770" s="68">
        <f>14.4461 * CHOOSE(CONTROL!$C$22, $C$13, 100%, $E$13)</f>
        <v>14.446099999999999</v>
      </c>
    </row>
    <row r="771" spans="1:11" ht="15">
      <c r="A771" s="13">
        <v>64590</v>
      </c>
      <c r="B771" s="67">
        <f>12.6538 * CHOOSE(CONTROL!$C$22, $C$13, 100%, $E$13)</f>
        <v>12.6538</v>
      </c>
      <c r="C771" s="67">
        <f>12.6538 * CHOOSE(CONTROL!$C$22, $C$13, 100%, $E$13)</f>
        <v>12.6538</v>
      </c>
      <c r="D771" s="67">
        <f>12.6547 * CHOOSE(CONTROL!$C$22, $C$13, 100%, $E$13)</f>
        <v>12.6547</v>
      </c>
      <c r="E771" s="68">
        <f>14.4999 * CHOOSE(CONTROL!$C$22, $C$13, 100%, $E$13)</f>
        <v>14.4999</v>
      </c>
      <c r="F771" s="68">
        <f>14.4999 * CHOOSE(CONTROL!$C$22, $C$13, 100%, $E$13)</f>
        <v>14.4999</v>
      </c>
      <c r="G771" s="68">
        <f>14.5012 * CHOOSE(CONTROL!$C$22, $C$13, 100%, $E$13)</f>
        <v>14.501200000000001</v>
      </c>
      <c r="H771" s="68">
        <f>23.7811* CHOOSE(CONTROL!$C$22, $C$13, 100%, $E$13)</f>
        <v>23.781099999999999</v>
      </c>
      <c r="I771" s="68">
        <f>23.7824 * CHOOSE(CONTROL!$C$22, $C$13, 100%, $E$13)</f>
        <v>23.782399999999999</v>
      </c>
      <c r="J771" s="68">
        <f>14.4999 * CHOOSE(CONTROL!$C$22, $C$13, 100%, $E$13)</f>
        <v>14.4999</v>
      </c>
      <c r="K771" s="68">
        <f>14.5012 * CHOOSE(CONTROL!$C$22, $C$13, 100%, $E$13)</f>
        <v>14.501200000000001</v>
      </c>
    </row>
    <row r="772" spans="1:11" ht="15">
      <c r="A772" s="13">
        <v>64620</v>
      </c>
      <c r="B772" s="67">
        <f>12.6538 * CHOOSE(CONTROL!$C$22, $C$13, 100%, $E$13)</f>
        <v>12.6538</v>
      </c>
      <c r="C772" s="67">
        <f>12.6538 * CHOOSE(CONTROL!$C$22, $C$13, 100%, $E$13)</f>
        <v>12.6538</v>
      </c>
      <c r="D772" s="67">
        <f>12.6547 * CHOOSE(CONTROL!$C$22, $C$13, 100%, $E$13)</f>
        <v>12.6547</v>
      </c>
      <c r="E772" s="68">
        <f>14.3676 * CHOOSE(CONTROL!$C$22, $C$13, 100%, $E$13)</f>
        <v>14.367599999999999</v>
      </c>
      <c r="F772" s="68">
        <f>14.3676 * CHOOSE(CONTROL!$C$22, $C$13, 100%, $E$13)</f>
        <v>14.367599999999999</v>
      </c>
      <c r="G772" s="68">
        <f>14.3689 * CHOOSE(CONTROL!$C$22, $C$13, 100%, $E$13)</f>
        <v>14.3689</v>
      </c>
      <c r="H772" s="68">
        <f>23.8307* CHOOSE(CONTROL!$C$22, $C$13, 100%, $E$13)</f>
        <v>23.8307</v>
      </c>
      <c r="I772" s="68">
        <f>23.832 * CHOOSE(CONTROL!$C$22, $C$13, 100%, $E$13)</f>
        <v>23.832000000000001</v>
      </c>
      <c r="J772" s="68">
        <f>14.3676 * CHOOSE(CONTROL!$C$22, $C$13, 100%, $E$13)</f>
        <v>14.367599999999999</v>
      </c>
      <c r="K772" s="68">
        <f>14.3689 * CHOOSE(CONTROL!$C$22, $C$13, 100%, $E$13)</f>
        <v>14.3689</v>
      </c>
    </row>
    <row r="773" spans="1:11" ht="15">
      <c r="A773" s="13">
        <v>64651</v>
      </c>
      <c r="B773" s="67">
        <f>12.6653 * CHOOSE(CONTROL!$C$22, $C$13, 100%, $E$13)</f>
        <v>12.6653</v>
      </c>
      <c r="C773" s="67">
        <f>12.6653 * CHOOSE(CONTROL!$C$22, $C$13, 100%, $E$13)</f>
        <v>12.6653</v>
      </c>
      <c r="D773" s="67">
        <f>12.6663 * CHOOSE(CONTROL!$C$22, $C$13, 100%, $E$13)</f>
        <v>12.6663</v>
      </c>
      <c r="E773" s="68">
        <f>14.4846 * CHOOSE(CONTROL!$C$22, $C$13, 100%, $E$13)</f>
        <v>14.4846</v>
      </c>
      <c r="F773" s="68">
        <f>14.4846 * CHOOSE(CONTROL!$C$22, $C$13, 100%, $E$13)</f>
        <v>14.4846</v>
      </c>
      <c r="G773" s="68">
        <f>14.4859 * CHOOSE(CONTROL!$C$22, $C$13, 100%, $E$13)</f>
        <v>14.485900000000001</v>
      </c>
      <c r="H773" s="68">
        <f>23.7183* CHOOSE(CONTROL!$C$22, $C$13, 100%, $E$13)</f>
        <v>23.718299999999999</v>
      </c>
      <c r="I773" s="68">
        <f>23.7196 * CHOOSE(CONTROL!$C$22, $C$13, 100%, $E$13)</f>
        <v>23.7196</v>
      </c>
      <c r="J773" s="68">
        <f>14.4846 * CHOOSE(CONTROL!$C$22, $C$13, 100%, $E$13)</f>
        <v>14.4846</v>
      </c>
      <c r="K773" s="68">
        <f>14.4859 * CHOOSE(CONTROL!$C$22, $C$13, 100%, $E$13)</f>
        <v>14.485900000000001</v>
      </c>
    </row>
    <row r="774" spans="1:11" ht="15">
      <c r="A774" s="13">
        <v>64682</v>
      </c>
      <c r="B774" s="67">
        <f>12.6623 * CHOOSE(CONTROL!$C$22, $C$13, 100%, $E$13)</f>
        <v>12.6623</v>
      </c>
      <c r="C774" s="67">
        <f>12.6623 * CHOOSE(CONTROL!$C$22, $C$13, 100%, $E$13)</f>
        <v>12.6623</v>
      </c>
      <c r="D774" s="67">
        <f>12.6633 * CHOOSE(CONTROL!$C$22, $C$13, 100%, $E$13)</f>
        <v>12.6633</v>
      </c>
      <c r="E774" s="68">
        <f>14.2275 * CHOOSE(CONTROL!$C$22, $C$13, 100%, $E$13)</f>
        <v>14.227499999999999</v>
      </c>
      <c r="F774" s="68">
        <f>14.2275 * CHOOSE(CONTROL!$C$22, $C$13, 100%, $E$13)</f>
        <v>14.227499999999999</v>
      </c>
      <c r="G774" s="68">
        <f>14.2288 * CHOOSE(CONTROL!$C$22, $C$13, 100%, $E$13)</f>
        <v>14.2288</v>
      </c>
      <c r="H774" s="68">
        <f>23.7678* CHOOSE(CONTROL!$C$22, $C$13, 100%, $E$13)</f>
        <v>23.767800000000001</v>
      </c>
      <c r="I774" s="68">
        <f>23.769 * CHOOSE(CONTROL!$C$22, $C$13, 100%, $E$13)</f>
        <v>23.768999999999998</v>
      </c>
      <c r="J774" s="68">
        <f>14.2275 * CHOOSE(CONTROL!$C$22, $C$13, 100%, $E$13)</f>
        <v>14.227499999999999</v>
      </c>
      <c r="K774" s="68">
        <f>14.2288 * CHOOSE(CONTROL!$C$22, $C$13, 100%, $E$13)</f>
        <v>14.2288</v>
      </c>
    </row>
    <row r="775" spans="1:11" ht="15">
      <c r="A775" s="13">
        <v>64710</v>
      </c>
      <c r="B775" s="67">
        <f>12.6592 * CHOOSE(CONTROL!$C$22, $C$13, 100%, $E$13)</f>
        <v>12.6592</v>
      </c>
      <c r="C775" s="67">
        <f>12.6592 * CHOOSE(CONTROL!$C$22, $C$13, 100%, $E$13)</f>
        <v>12.6592</v>
      </c>
      <c r="D775" s="67">
        <f>12.6602 * CHOOSE(CONTROL!$C$22, $C$13, 100%, $E$13)</f>
        <v>12.6602</v>
      </c>
      <c r="E775" s="68">
        <f>14.4264 * CHOOSE(CONTROL!$C$22, $C$13, 100%, $E$13)</f>
        <v>14.426399999999999</v>
      </c>
      <c r="F775" s="68">
        <f>14.4264 * CHOOSE(CONTROL!$C$22, $C$13, 100%, $E$13)</f>
        <v>14.426399999999999</v>
      </c>
      <c r="G775" s="68">
        <f>14.4277 * CHOOSE(CONTROL!$C$22, $C$13, 100%, $E$13)</f>
        <v>14.4277</v>
      </c>
      <c r="H775" s="68">
        <f>23.8173* CHOOSE(CONTROL!$C$22, $C$13, 100%, $E$13)</f>
        <v>23.817299999999999</v>
      </c>
      <c r="I775" s="68">
        <f>23.8186 * CHOOSE(CONTROL!$C$22, $C$13, 100%, $E$13)</f>
        <v>23.8186</v>
      </c>
      <c r="J775" s="68">
        <f>14.4264 * CHOOSE(CONTROL!$C$22, $C$13, 100%, $E$13)</f>
        <v>14.426399999999999</v>
      </c>
      <c r="K775" s="68">
        <f>14.4277 * CHOOSE(CONTROL!$C$22, $C$13, 100%, $E$13)</f>
        <v>14.4277</v>
      </c>
    </row>
    <row r="776" spans="1:11" ht="15">
      <c r="A776" s="13">
        <v>64741</v>
      </c>
      <c r="B776" s="67">
        <f>12.6642 * CHOOSE(CONTROL!$C$22, $C$13, 100%, $E$13)</f>
        <v>12.664199999999999</v>
      </c>
      <c r="C776" s="67">
        <f>12.6642 * CHOOSE(CONTROL!$C$22, $C$13, 100%, $E$13)</f>
        <v>12.664199999999999</v>
      </c>
      <c r="D776" s="67">
        <f>12.6651 * CHOOSE(CONTROL!$C$22, $C$13, 100%, $E$13)</f>
        <v>12.665100000000001</v>
      </c>
      <c r="E776" s="68">
        <f>14.638 * CHOOSE(CONTROL!$C$22, $C$13, 100%, $E$13)</f>
        <v>14.638</v>
      </c>
      <c r="F776" s="68">
        <f>14.638 * CHOOSE(CONTROL!$C$22, $C$13, 100%, $E$13)</f>
        <v>14.638</v>
      </c>
      <c r="G776" s="68">
        <f>14.6393 * CHOOSE(CONTROL!$C$22, $C$13, 100%, $E$13)</f>
        <v>14.6393</v>
      </c>
      <c r="H776" s="68">
        <f>23.8669* CHOOSE(CONTROL!$C$22, $C$13, 100%, $E$13)</f>
        <v>23.866900000000001</v>
      </c>
      <c r="I776" s="68">
        <f>23.8682 * CHOOSE(CONTROL!$C$22, $C$13, 100%, $E$13)</f>
        <v>23.868200000000002</v>
      </c>
      <c r="J776" s="68">
        <f>14.638 * CHOOSE(CONTROL!$C$22, $C$13, 100%, $E$13)</f>
        <v>14.638</v>
      </c>
      <c r="K776" s="68">
        <f>14.6393 * CHOOSE(CONTROL!$C$22, $C$13, 100%, $E$13)</f>
        <v>14.6393</v>
      </c>
    </row>
    <row r="777" spans="1:11" ht="15">
      <c r="A777" s="13">
        <v>64771</v>
      </c>
      <c r="B777" s="67">
        <f>12.6642 * CHOOSE(CONTROL!$C$22, $C$13, 100%, $E$13)</f>
        <v>12.664199999999999</v>
      </c>
      <c r="C777" s="67">
        <f>12.6642 * CHOOSE(CONTROL!$C$22, $C$13, 100%, $E$13)</f>
        <v>12.664199999999999</v>
      </c>
      <c r="D777" s="67">
        <f>12.6668 * CHOOSE(CONTROL!$C$22, $C$13, 100%, $E$13)</f>
        <v>12.6668</v>
      </c>
      <c r="E777" s="68">
        <f>14.719 * CHOOSE(CONTROL!$C$22, $C$13, 100%, $E$13)</f>
        <v>14.718999999999999</v>
      </c>
      <c r="F777" s="68">
        <f>14.719 * CHOOSE(CONTROL!$C$22, $C$13, 100%, $E$13)</f>
        <v>14.718999999999999</v>
      </c>
      <c r="G777" s="68">
        <f>14.7222 * CHOOSE(CONTROL!$C$22, $C$13, 100%, $E$13)</f>
        <v>14.722200000000001</v>
      </c>
      <c r="H777" s="68">
        <f>23.9166* CHOOSE(CONTROL!$C$22, $C$13, 100%, $E$13)</f>
        <v>23.916599999999999</v>
      </c>
      <c r="I777" s="68">
        <f>23.9199 * CHOOSE(CONTROL!$C$22, $C$13, 100%, $E$13)</f>
        <v>23.919899999999998</v>
      </c>
      <c r="J777" s="68">
        <f>14.719 * CHOOSE(CONTROL!$C$22, $C$13, 100%, $E$13)</f>
        <v>14.718999999999999</v>
      </c>
      <c r="K777" s="68">
        <f>14.7222 * CHOOSE(CONTROL!$C$22, $C$13, 100%, $E$13)</f>
        <v>14.722200000000001</v>
      </c>
    </row>
    <row r="778" spans="1:11" ht="15">
      <c r="A778" s="13">
        <v>64802</v>
      </c>
      <c r="B778" s="67">
        <f>12.6702 * CHOOSE(CONTROL!$C$22, $C$13, 100%, $E$13)</f>
        <v>12.670199999999999</v>
      </c>
      <c r="C778" s="67">
        <f>12.6702 * CHOOSE(CONTROL!$C$22, $C$13, 100%, $E$13)</f>
        <v>12.670199999999999</v>
      </c>
      <c r="D778" s="67">
        <f>12.6729 * CHOOSE(CONTROL!$C$22, $C$13, 100%, $E$13)</f>
        <v>12.6729</v>
      </c>
      <c r="E778" s="68">
        <f>14.6423 * CHOOSE(CONTROL!$C$22, $C$13, 100%, $E$13)</f>
        <v>14.642300000000001</v>
      </c>
      <c r="F778" s="68">
        <f>14.6423 * CHOOSE(CONTROL!$C$22, $C$13, 100%, $E$13)</f>
        <v>14.642300000000001</v>
      </c>
      <c r="G778" s="68">
        <f>14.6455 * CHOOSE(CONTROL!$C$22, $C$13, 100%, $E$13)</f>
        <v>14.6455</v>
      </c>
      <c r="H778" s="68">
        <f>23.9664* CHOOSE(CONTROL!$C$22, $C$13, 100%, $E$13)</f>
        <v>23.9664</v>
      </c>
      <c r="I778" s="68">
        <f>23.9697 * CHOOSE(CONTROL!$C$22, $C$13, 100%, $E$13)</f>
        <v>23.9697</v>
      </c>
      <c r="J778" s="68">
        <f>14.6423 * CHOOSE(CONTROL!$C$22, $C$13, 100%, $E$13)</f>
        <v>14.642300000000001</v>
      </c>
      <c r="K778" s="68">
        <f>14.6455 * CHOOSE(CONTROL!$C$22, $C$13, 100%, $E$13)</f>
        <v>14.6455</v>
      </c>
    </row>
    <row r="779" spans="1:11" ht="15">
      <c r="A779" s="13">
        <v>64832</v>
      </c>
      <c r="B779" s="67">
        <f>12.8633 * CHOOSE(CONTROL!$C$22, $C$13, 100%, $E$13)</f>
        <v>12.863300000000001</v>
      </c>
      <c r="C779" s="67">
        <f>12.8633 * CHOOSE(CONTROL!$C$22, $C$13, 100%, $E$13)</f>
        <v>12.863300000000001</v>
      </c>
      <c r="D779" s="67">
        <f>12.866 * CHOOSE(CONTROL!$C$22, $C$13, 100%, $E$13)</f>
        <v>12.866</v>
      </c>
      <c r="E779" s="68">
        <f>14.8762 * CHOOSE(CONTROL!$C$22, $C$13, 100%, $E$13)</f>
        <v>14.876200000000001</v>
      </c>
      <c r="F779" s="68">
        <f>14.8762 * CHOOSE(CONTROL!$C$22, $C$13, 100%, $E$13)</f>
        <v>14.876200000000001</v>
      </c>
      <c r="G779" s="68">
        <f>14.8795 * CHOOSE(CONTROL!$C$22, $C$13, 100%, $E$13)</f>
        <v>14.8795</v>
      </c>
      <c r="H779" s="68">
        <f>24.0164* CHOOSE(CONTROL!$C$22, $C$13, 100%, $E$13)</f>
        <v>24.016400000000001</v>
      </c>
      <c r="I779" s="68">
        <f>24.0196 * CHOOSE(CONTROL!$C$22, $C$13, 100%, $E$13)</f>
        <v>24.019600000000001</v>
      </c>
      <c r="J779" s="68">
        <f>14.8762 * CHOOSE(CONTROL!$C$22, $C$13, 100%, $E$13)</f>
        <v>14.876200000000001</v>
      </c>
      <c r="K779" s="68">
        <f>14.8795 * CHOOSE(CONTROL!$C$22, $C$13, 100%, $E$13)</f>
        <v>14.8795</v>
      </c>
    </row>
    <row r="780" spans="1:11" ht="15">
      <c r="A780" s="13">
        <v>64863</v>
      </c>
      <c r="B780" s="67">
        <f>12.87 * CHOOSE(CONTROL!$C$22, $C$13, 100%, $E$13)</f>
        <v>12.87</v>
      </c>
      <c r="C780" s="67">
        <f>12.87 * CHOOSE(CONTROL!$C$22, $C$13, 100%, $E$13)</f>
        <v>12.87</v>
      </c>
      <c r="D780" s="67">
        <f>12.8727 * CHOOSE(CONTROL!$C$22, $C$13, 100%, $E$13)</f>
        <v>12.8727</v>
      </c>
      <c r="E780" s="68">
        <f>14.6381 * CHOOSE(CONTROL!$C$22, $C$13, 100%, $E$13)</f>
        <v>14.6381</v>
      </c>
      <c r="F780" s="68">
        <f>14.6381 * CHOOSE(CONTROL!$C$22, $C$13, 100%, $E$13)</f>
        <v>14.6381</v>
      </c>
      <c r="G780" s="68">
        <f>14.6413 * CHOOSE(CONTROL!$C$22, $C$13, 100%, $E$13)</f>
        <v>14.641299999999999</v>
      </c>
      <c r="H780" s="68">
        <f>24.0664* CHOOSE(CONTROL!$C$22, $C$13, 100%, $E$13)</f>
        <v>24.066400000000002</v>
      </c>
      <c r="I780" s="68">
        <f>24.0697 * CHOOSE(CONTROL!$C$22, $C$13, 100%, $E$13)</f>
        <v>24.069700000000001</v>
      </c>
      <c r="J780" s="68">
        <f>14.6381 * CHOOSE(CONTROL!$C$22, $C$13, 100%, $E$13)</f>
        <v>14.6381</v>
      </c>
      <c r="K780" s="68">
        <f>14.6413 * CHOOSE(CONTROL!$C$22, $C$13, 100%, $E$13)</f>
        <v>14.641299999999999</v>
      </c>
    </row>
    <row r="781" spans="1:11" ht="15">
      <c r="A781" s="13">
        <v>64894</v>
      </c>
      <c r="B781" s="67">
        <f>12.867 * CHOOSE(CONTROL!$C$22, $C$13, 100%, $E$13)</f>
        <v>12.867000000000001</v>
      </c>
      <c r="C781" s="67">
        <f>12.867 * CHOOSE(CONTROL!$C$22, $C$13, 100%, $E$13)</f>
        <v>12.867000000000001</v>
      </c>
      <c r="D781" s="67">
        <f>12.8696 * CHOOSE(CONTROL!$C$22, $C$13, 100%, $E$13)</f>
        <v>12.8696</v>
      </c>
      <c r="E781" s="68">
        <f>14.609 * CHOOSE(CONTROL!$C$22, $C$13, 100%, $E$13)</f>
        <v>14.609</v>
      </c>
      <c r="F781" s="68">
        <f>14.609 * CHOOSE(CONTROL!$C$22, $C$13, 100%, $E$13)</f>
        <v>14.609</v>
      </c>
      <c r="G781" s="68">
        <f>14.6122 * CHOOSE(CONTROL!$C$22, $C$13, 100%, $E$13)</f>
        <v>14.6122</v>
      </c>
      <c r="H781" s="68">
        <f>24.1165* CHOOSE(CONTROL!$C$22, $C$13, 100%, $E$13)</f>
        <v>24.116499999999998</v>
      </c>
      <c r="I781" s="68">
        <f>24.1198 * CHOOSE(CONTROL!$C$22, $C$13, 100%, $E$13)</f>
        <v>24.119800000000001</v>
      </c>
      <c r="J781" s="68">
        <f>14.609 * CHOOSE(CONTROL!$C$22, $C$13, 100%, $E$13)</f>
        <v>14.609</v>
      </c>
      <c r="K781" s="68">
        <f>14.6122 * CHOOSE(CONTROL!$C$22, $C$13, 100%, $E$13)</f>
        <v>14.6122</v>
      </c>
    </row>
    <row r="782" spans="1:11" ht="15">
      <c r="A782" s="13">
        <v>64924</v>
      </c>
      <c r="B782" s="67">
        <f>12.8907 * CHOOSE(CONTROL!$C$22, $C$13, 100%, $E$13)</f>
        <v>12.890700000000001</v>
      </c>
      <c r="C782" s="67">
        <f>12.8907 * CHOOSE(CONTROL!$C$22, $C$13, 100%, $E$13)</f>
        <v>12.890700000000001</v>
      </c>
      <c r="D782" s="67">
        <f>12.8916 * CHOOSE(CONTROL!$C$22, $C$13, 100%, $E$13)</f>
        <v>12.8916</v>
      </c>
      <c r="E782" s="68">
        <f>14.7035 * CHOOSE(CONTROL!$C$22, $C$13, 100%, $E$13)</f>
        <v>14.7035</v>
      </c>
      <c r="F782" s="68">
        <f>14.7035 * CHOOSE(CONTROL!$C$22, $C$13, 100%, $E$13)</f>
        <v>14.7035</v>
      </c>
      <c r="G782" s="68">
        <f>14.7048 * CHOOSE(CONTROL!$C$22, $C$13, 100%, $E$13)</f>
        <v>14.704800000000001</v>
      </c>
      <c r="H782" s="68">
        <f>24.1668* CHOOSE(CONTROL!$C$22, $C$13, 100%, $E$13)</f>
        <v>24.166799999999999</v>
      </c>
      <c r="I782" s="68">
        <f>24.1681 * CHOOSE(CONTROL!$C$22, $C$13, 100%, $E$13)</f>
        <v>24.168099999999999</v>
      </c>
      <c r="J782" s="68">
        <f>14.7035 * CHOOSE(CONTROL!$C$22, $C$13, 100%, $E$13)</f>
        <v>14.7035</v>
      </c>
      <c r="K782" s="68">
        <f>14.7048 * CHOOSE(CONTROL!$C$22, $C$13, 100%, $E$13)</f>
        <v>14.704800000000001</v>
      </c>
    </row>
    <row r="783" spans="1:11" ht="15">
      <c r="A783" s="13">
        <v>64955</v>
      </c>
      <c r="B783" s="67">
        <f>12.8937 * CHOOSE(CONTROL!$C$22, $C$13, 100%, $E$13)</f>
        <v>12.893700000000001</v>
      </c>
      <c r="C783" s="67">
        <f>12.8937 * CHOOSE(CONTROL!$C$22, $C$13, 100%, $E$13)</f>
        <v>12.893700000000001</v>
      </c>
      <c r="D783" s="67">
        <f>12.8947 * CHOOSE(CONTROL!$C$22, $C$13, 100%, $E$13)</f>
        <v>12.8947</v>
      </c>
      <c r="E783" s="68">
        <f>14.7596 * CHOOSE(CONTROL!$C$22, $C$13, 100%, $E$13)</f>
        <v>14.759600000000001</v>
      </c>
      <c r="F783" s="68">
        <f>14.7596 * CHOOSE(CONTROL!$C$22, $C$13, 100%, $E$13)</f>
        <v>14.759600000000001</v>
      </c>
      <c r="G783" s="68">
        <f>14.7608 * CHOOSE(CONTROL!$C$22, $C$13, 100%, $E$13)</f>
        <v>14.7608</v>
      </c>
      <c r="H783" s="68">
        <f>24.2171* CHOOSE(CONTROL!$C$22, $C$13, 100%, $E$13)</f>
        <v>24.217099999999999</v>
      </c>
      <c r="I783" s="68">
        <f>24.2184 * CHOOSE(CONTROL!$C$22, $C$13, 100%, $E$13)</f>
        <v>24.218399999999999</v>
      </c>
      <c r="J783" s="68">
        <f>14.7596 * CHOOSE(CONTROL!$C$22, $C$13, 100%, $E$13)</f>
        <v>14.759600000000001</v>
      </c>
      <c r="K783" s="68">
        <f>14.7608 * CHOOSE(CONTROL!$C$22, $C$13, 100%, $E$13)</f>
        <v>14.7608</v>
      </c>
    </row>
    <row r="784" spans="1:11" ht="15">
      <c r="A784" s="13">
        <v>64985</v>
      </c>
      <c r="B784" s="67">
        <f>12.8937 * CHOOSE(CONTROL!$C$22, $C$13, 100%, $E$13)</f>
        <v>12.893700000000001</v>
      </c>
      <c r="C784" s="67">
        <f>12.8937 * CHOOSE(CONTROL!$C$22, $C$13, 100%, $E$13)</f>
        <v>12.893700000000001</v>
      </c>
      <c r="D784" s="67">
        <f>12.8947 * CHOOSE(CONTROL!$C$22, $C$13, 100%, $E$13)</f>
        <v>12.8947</v>
      </c>
      <c r="E784" s="68">
        <f>14.6246 * CHOOSE(CONTROL!$C$22, $C$13, 100%, $E$13)</f>
        <v>14.624599999999999</v>
      </c>
      <c r="F784" s="68">
        <f>14.6246 * CHOOSE(CONTROL!$C$22, $C$13, 100%, $E$13)</f>
        <v>14.624599999999999</v>
      </c>
      <c r="G784" s="68">
        <f>14.6259 * CHOOSE(CONTROL!$C$22, $C$13, 100%, $E$13)</f>
        <v>14.6259</v>
      </c>
      <c r="H784" s="68">
        <f>24.2676* CHOOSE(CONTROL!$C$22, $C$13, 100%, $E$13)</f>
        <v>24.267600000000002</v>
      </c>
      <c r="I784" s="68">
        <f>24.2689 * CHOOSE(CONTROL!$C$22, $C$13, 100%, $E$13)</f>
        <v>24.268899999999999</v>
      </c>
      <c r="J784" s="68">
        <f>14.6246 * CHOOSE(CONTROL!$C$22, $C$13, 100%, $E$13)</f>
        <v>14.624599999999999</v>
      </c>
      <c r="K784" s="68">
        <f>14.6259 * CHOOSE(CONTROL!$C$22, $C$13, 100%, $E$13)</f>
        <v>14.6259</v>
      </c>
    </row>
    <row r="785" spans="1:11" ht="15">
      <c r="A785" s="13">
        <v>65016</v>
      </c>
      <c r="B785" s="67">
        <f>12.9009 * CHOOSE(CONTROL!$C$22, $C$13, 100%, $E$13)</f>
        <v>12.9009</v>
      </c>
      <c r="C785" s="67">
        <f>12.9009 * CHOOSE(CONTROL!$C$22, $C$13, 100%, $E$13)</f>
        <v>12.9009</v>
      </c>
      <c r="D785" s="67">
        <f>12.9019 * CHOOSE(CONTROL!$C$22, $C$13, 100%, $E$13)</f>
        <v>12.901899999999999</v>
      </c>
      <c r="E785" s="68">
        <f>14.7393 * CHOOSE(CONTROL!$C$22, $C$13, 100%, $E$13)</f>
        <v>14.7393</v>
      </c>
      <c r="F785" s="68">
        <f>14.7393 * CHOOSE(CONTROL!$C$22, $C$13, 100%, $E$13)</f>
        <v>14.7393</v>
      </c>
      <c r="G785" s="68">
        <f>14.7406 * CHOOSE(CONTROL!$C$22, $C$13, 100%, $E$13)</f>
        <v>14.740600000000001</v>
      </c>
      <c r="H785" s="68">
        <f>24.1454* CHOOSE(CONTROL!$C$22, $C$13, 100%, $E$13)</f>
        <v>24.145399999999999</v>
      </c>
      <c r="I785" s="68">
        <f>24.1466 * CHOOSE(CONTROL!$C$22, $C$13, 100%, $E$13)</f>
        <v>24.146599999999999</v>
      </c>
      <c r="J785" s="68">
        <f>14.7393 * CHOOSE(CONTROL!$C$22, $C$13, 100%, $E$13)</f>
        <v>14.7393</v>
      </c>
      <c r="K785" s="68">
        <f>14.7406 * CHOOSE(CONTROL!$C$22, $C$13, 100%, $E$13)</f>
        <v>14.740600000000001</v>
      </c>
    </row>
    <row r="786" spans="1:11" ht="15">
      <c r="A786" s="13">
        <v>65047</v>
      </c>
      <c r="B786" s="67">
        <f>12.8978 * CHOOSE(CONTROL!$C$22, $C$13, 100%, $E$13)</f>
        <v>12.8978</v>
      </c>
      <c r="C786" s="67">
        <f>12.8978 * CHOOSE(CONTROL!$C$22, $C$13, 100%, $E$13)</f>
        <v>12.8978</v>
      </c>
      <c r="D786" s="67">
        <f>12.8988 * CHOOSE(CONTROL!$C$22, $C$13, 100%, $E$13)</f>
        <v>12.8988</v>
      </c>
      <c r="E786" s="68">
        <f>14.4773 * CHOOSE(CONTROL!$C$22, $C$13, 100%, $E$13)</f>
        <v>14.4773</v>
      </c>
      <c r="F786" s="68">
        <f>14.4773 * CHOOSE(CONTROL!$C$22, $C$13, 100%, $E$13)</f>
        <v>14.4773</v>
      </c>
      <c r="G786" s="68">
        <f>14.4786 * CHOOSE(CONTROL!$C$22, $C$13, 100%, $E$13)</f>
        <v>14.4786</v>
      </c>
      <c r="H786" s="68">
        <f>24.1957* CHOOSE(CONTROL!$C$22, $C$13, 100%, $E$13)</f>
        <v>24.195699999999999</v>
      </c>
      <c r="I786" s="68">
        <f>24.1969 * CHOOSE(CONTROL!$C$22, $C$13, 100%, $E$13)</f>
        <v>24.196899999999999</v>
      </c>
      <c r="J786" s="68">
        <f>14.4773 * CHOOSE(CONTROL!$C$22, $C$13, 100%, $E$13)</f>
        <v>14.4773</v>
      </c>
      <c r="K786" s="68">
        <f>14.4786 * CHOOSE(CONTROL!$C$22, $C$13, 100%, $E$13)</f>
        <v>14.4786</v>
      </c>
    </row>
    <row r="787" spans="1:11" ht="15">
      <c r="A787" s="13">
        <v>65075</v>
      </c>
      <c r="B787" s="67">
        <f>12.8948 * CHOOSE(CONTROL!$C$22, $C$13, 100%, $E$13)</f>
        <v>12.8948</v>
      </c>
      <c r="C787" s="67">
        <f>12.8948 * CHOOSE(CONTROL!$C$22, $C$13, 100%, $E$13)</f>
        <v>12.8948</v>
      </c>
      <c r="D787" s="67">
        <f>12.8958 * CHOOSE(CONTROL!$C$22, $C$13, 100%, $E$13)</f>
        <v>12.895799999999999</v>
      </c>
      <c r="E787" s="68">
        <f>14.6801 * CHOOSE(CONTROL!$C$22, $C$13, 100%, $E$13)</f>
        <v>14.680099999999999</v>
      </c>
      <c r="F787" s="68">
        <f>14.6801 * CHOOSE(CONTROL!$C$22, $C$13, 100%, $E$13)</f>
        <v>14.680099999999999</v>
      </c>
      <c r="G787" s="68">
        <f>14.6814 * CHOOSE(CONTROL!$C$22, $C$13, 100%, $E$13)</f>
        <v>14.6814</v>
      </c>
      <c r="H787" s="68">
        <f>24.2461* CHOOSE(CONTROL!$C$22, $C$13, 100%, $E$13)</f>
        <v>24.246099999999998</v>
      </c>
      <c r="I787" s="68">
        <f>24.2474 * CHOOSE(CONTROL!$C$22, $C$13, 100%, $E$13)</f>
        <v>24.247399999999999</v>
      </c>
      <c r="J787" s="68">
        <f>14.6801 * CHOOSE(CONTROL!$C$22, $C$13, 100%, $E$13)</f>
        <v>14.680099999999999</v>
      </c>
      <c r="K787" s="68">
        <f>14.6814 * CHOOSE(CONTROL!$C$22, $C$13, 100%, $E$13)</f>
        <v>14.6814</v>
      </c>
    </row>
    <row r="788" spans="1:11" ht="15">
      <c r="A788" s="13">
        <v>65106</v>
      </c>
      <c r="B788" s="67">
        <f>12.8999 * CHOOSE(CONTROL!$C$22, $C$13, 100%, $E$13)</f>
        <v>12.899900000000001</v>
      </c>
      <c r="C788" s="67">
        <f>12.8999 * CHOOSE(CONTROL!$C$22, $C$13, 100%, $E$13)</f>
        <v>12.899900000000001</v>
      </c>
      <c r="D788" s="67">
        <f>12.9009 * CHOOSE(CONTROL!$C$22, $C$13, 100%, $E$13)</f>
        <v>12.9009</v>
      </c>
      <c r="E788" s="68">
        <f>14.8959 * CHOOSE(CONTROL!$C$22, $C$13, 100%, $E$13)</f>
        <v>14.895899999999999</v>
      </c>
      <c r="F788" s="68">
        <f>14.8959 * CHOOSE(CONTROL!$C$22, $C$13, 100%, $E$13)</f>
        <v>14.895899999999999</v>
      </c>
      <c r="G788" s="68">
        <f>14.8972 * CHOOSE(CONTROL!$C$22, $C$13, 100%, $E$13)</f>
        <v>14.8972</v>
      </c>
      <c r="H788" s="68">
        <f>24.2966* CHOOSE(CONTROL!$C$22, $C$13, 100%, $E$13)</f>
        <v>24.296600000000002</v>
      </c>
      <c r="I788" s="68">
        <f>24.2979 * CHOOSE(CONTROL!$C$22, $C$13, 100%, $E$13)</f>
        <v>24.297899999999998</v>
      </c>
      <c r="J788" s="68">
        <f>14.8959 * CHOOSE(CONTROL!$C$22, $C$13, 100%, $E$13)</f>
        <v>14.895899999999999</v>
      </c>
      <c r="K788" s="68">
        <f>14.8972 * CHOOSE(CONTROL!$C$22, $C$13, 100%, $E$13)</f>
        <v>14.8972</v>
      </c>
    </row>
    <row r="789" spans="1:11" ht="15">
      <c r="A789" s="13">
        <v>65136</v>
      </c>
      <c r="B789" s="67">
        <f>12.8999 * CHOOSE(CONTROL!$C$22, $C$13, 100%, $E$13)</f>
        <v>12.899900000000001</v>
      </c>
      <c r="C789" s="67">
        <f>12.8999 * CHOOSE(CONTROL!$C$22, $C$13, 100%, $E$13)</f>
        <v>12.899900000000001</v>
      </c>
      <c r="D789" s="67">
        <f>12.9025 * CHOOSE(CONTROL!$C$22, $C$13, 100%, $E$13)</f>
        <v>12.9025</v>
      </c>
      <c r="E789" s="68">
        <f>14.9784 * CHOOSE(CONTROL!$C$22, $C$13, 100%, $E$13)</f>
        <v>14.978400000000001</v>
      </c>
      <c r="F789" s="68">
        <f>14.9784 * CHOOSE(CONTROL!$C$22, $C$13, 100%, $E$13)</f>
        <v>14.978400000000001</v>
      </c>
      <c r="G789" s="68">
        <f>14.9817 * CHOOSE(CONTROL!$C$22, $C$13, 100%, $E$13)</f>
        <v>14.9817</v>
      </c>
      <c r="H789" s="68">
        <f>24.3472* CHOOSE(CONTROL!$C$22, $C$13, 100%, $E$13)</f>
        <v>24.347200000000001</v>
      </c>
      <c r="I789" s="68">
        <f>24.3505 * CHOOSE(CONTROL!$C$22, $C$13, 100%, $E$13)</f>
        <v>24.3505</v>
      </c>
      <c r="J789" s="68">
        <f>14.9784 * CHOOSE(CONTROL!$C$22, $C$13, 100%, $E$13)</f>
        <v>14.978400000000001</v>
      </c>
      <c r="K789" s="68">
        <f>14.9817 * CHOOSE(CONTROL!$C$22, $C$13, 100%, $E$13)</f>
        <v>14.9817</v>
      </c>
    </row>
    <row r="790" spans="1:11" ht="15">
      <c r="A790" s="13">
        <v>65167</v>
      </c>
      <c r="B790" s="67">
        <f>12.906 * CHOOSE(CONTROL!$C$22, $C$13, 100%, $E$13)</f>
        <v>12.906000000000001</v>
      </c>
      <c r="C790" s="67">
        <f>12.906 * CHOOSE(CONTROL!$C$22, $C$13, 100%, $E$13)</f>
        <v>12.906000000000001</v>
      </c>
      <c r="D790" s="67">
        <f>12.9086 * CHOOSE(CONTROL!$C$22, $C$13, 100%, $E$13)</f>
        <v>12.9086</v>
      </c>
      <c r="E790" s="68">
        <f>14.9001 * CHOOSE(CONTROL!$C$22, $C$13, 100%, $E$13)</f>
        <v>14.9001</v>
      </c>
      <c r="F790" s="68">
        <f>14.9001 * CHOOSE(CONTROL!$C$22, $C$13, 100%, $E$13)</f>
        <v>14.9001</v>
      </c>
      <c r="G790" s="68">
        <f>14.9034 * CHOOSE(CONTROL!$C$22, $C$13, 100%, $E$13)</f>
        <v>14.9034</v>
      </c>
      <c r="H790" s="68">
        <f>24.3979* CHOOSE(CONTROL!$C$22, $C$13, 100%, $E$13)</f>
        <v>24.3979</v>
      </c>
      <c r="I790" s="68">
        <f>24.4012 * CHOOSE(CONTROL!$C$22, $C$13, 100%, $E$13)</f>
        <v>24.401199999999999</v>
      </c>
      <c r="J790" s="68">
        <f>14.9001 * CHOOSE(CONTROL!$C$22, $C$13, 100%, $E$13)</f>
        <v>14.9001</v>
      </c>
      <c r="K790" s="68">
        <f>14.9034 * CHOOSE(CONTROL!$C$22, $C$13, 100%, $E$13)</f>
        <v>14.9034</v>
      </c>
    </row>
    <row r="791" spans="1:11" ht="15">
      <c r="A791" s="13">
        <v>65197</v>
      </c>
      <c r="B791" s="67">
        <f>13.1025 * CHOOSE(CONTROL!$C$22, $C$13, 100%, $E$13)</f>
        <v>13.102499999999999</v>
      </c>
      <c r="C791" s="67">
        <f>13.1025 * CHOOSE(CONTROL!$C$22, $C$13, 100%, $E$13)</f>
        <v>13.102499999999999</v>
      </c>
      <c r="D791" s="67">
        <f>13.1051 * CHOOSE(CONTROL!$C$22, $C$13, 100%, $E$13)</f>
        <v>13.1051</v>
      </c>
      <c r="E791" s="68">
        <f>15.138 * CHOOSE(CONTROL!$C$22, $C$13, 100%, $E$13)</f>
        <v>15.138</v>
      </c>
      <c r="F791" s="68">
        <f>15.138 * CHOOSE(CONTROL!$C$22, $C$13, 100%, $E$13)</f>
        <v>15.138</v>
      </c>
      <c r="G791" s="68">
        <f>15.1413 * CHOOSE(CONTROL!$C$22, $C$13, 100%, $E$13)</f>
        <v>15.141299999999999</v>
      </c>
      <c r="H791" s="68">
        <f>24.4488* CHOOSE(CONTROL!$C$22, $C$13, 100%, $E$13)</f>
        <v>24.448799999999999</v>
      </c>
      <c r="I791" s="68">
        <f>24.452 * CHOOSE(CONTROL!$C$22, $C$13, 100%, $E$13)</f>
        <v>24.452000000000002</v>
      </c>
      <c r="J791" s="68">
        <f>15.138 * CHOOSE(CONTROL!$C$22, $C$13, 100%, $E$13)</f>
        <v>15.138</v>
      </c>
      <c r="K791" s="68">
        <f>15.1413 * CHOOSE(CONTROL!$C$22, $C$13, 100%, $E$13)</f>
        <v>15.141299999999999</v>
      </c>
    </row>
    <row r="792" spans="1:11" ht="15">
      <c r="A792" s="13">
        <v>65228</v>
      </c>
      <c r="B792" s="67">
        <f>13.1092 * CHOOSE(CONTROL!$C$22, $C$13, 100%, $E$13)</f>
        <v>13.1092</v>
      </c>
      <c r="C792" s="67">
        <f>13.1092 * CHOOSE(CONTROL!$C$22, $C$13, 100%, $E$13)</f>
        <v>13.1092</v>
      </c>
      <c r="D792" s="67">
        <f>13.1118 * CHOOSE(CONTROL!$C$22, $C$13, 100%, $E$13)</f>
        <v>13.111800000000001</v>
      </c>
      <c r="E792" s="68">
        <f>14.8951 * CHOOSE(CONTROL!$C$22, $C$13, 100%, $E$13)</f>
        <v>14.895099999999999</v>
      </c>
      <c r="F792" s="68">
        <f>14.8951 * CHOOSE(CONTROL!$C$22, $C$13, 100%, $E$13)</f>
        <v>14.895099999999999</v>
      </c>
      <c r="G792" s="68">
        <f>14.8984 * CHOOSE(CONTROL!$C$22, $C$13, 100%, $E$13)</f>
        <v>14.898400000000001</v>
      </c>
      <c r="H792" s="68">
        <f>24.4997* CHOOSE(CONTROL!$C$22, $C$13, 100%, $E$13)</f>
        <v>24.499700000000001</v>
      </c>
      <c r="I792" s="68">
        <f>24.5029 * CHOOSE(CONTROL!$C$22, $C$13, 100%, $E$13)</f>
        <v>24.5029</v>
      </c>
      <c r="J792" s="68">
        <f>14.8951 * CHOOSE(CONTROL!$C$22, $C$13, 100%, $E$13)</f>
        <v>14.895099999999999</v>
      </c>
      <c r="K792" s="68">
        <f>14.8984 * CHOOSE(CONTROL!$C$22, $C$13, 100%, $E$13)</f>
        <v>14.898400000000001</v>
      </c>
    </row>
    <row r="793" spans="1:11" ht="15">
      <c r="A793" s="13">
        <v>65259</v>
      </c>
      <c r="B793" s="67">
        <f>13.1062 * CHOOSE(CONTROL!$C$22, $C$13, 100%, $E$13)</f>
        <v>13.106199999999999</v>
      </c>
      <c r="C793" s="67">
        <f>13.1062 * CHOOSE(CONTROL!$C$22, $C$13, 100%, $E$13)</f>
        <v>13.106199999999999</v>
      </c>
      <c r="D793" s="67">
        <f>13.1088 * CHOOSE(CONTROL!$C$22, $C$13, 100%, $E$13)</f>
        <v>13.1088</v>
      </c>
      <c r="E793" s="68">
        <f>14.8655 * CHOOSE(CONTROL!$C$22, $C$13, 100%, $E$13)</f>
        <v>14.865500000000001</v>
      </c>
      <c r="F793" s="68">
        <f>14.8655 * CHOOSE(CONTROL!$C$22, $C$13, 100%, $E$13)</f>
        <v>14.865500000000001</v>
      </c>
      <c r="G793" s="68">
        <f>14.8688 * CHOOSE(CONTROL!$C$22, $C$13, 100%, $E$13)</f>
        <v>14.8688</v>
      </c>
      <c r="H793" s="68">
        <f>24.5507* CHOOSE(CONTROL!$C$22, $C$13, 100%, $E$13)</f>
        <v>24.550699999999999</v>
      </c>
      <c r="I793" s="68">
        <f>24.554 * CHOOSE(CONTROL!$C$22, $C$13, 100%, $E$13)</f>
        <v>24.553999999999998</v>
      </c>
      <c r="J793" s="68">
        <f>14.8655 * CHOOSE(CONTROL!$C$22, $C$13, 100%, $E$13)</f>
        <v>14.865500000000001</v>
      </c>
      <c r="K793" s="68">
        <f>14.8688 * CHOOSE(CONTROL!$C$22, $C$13, 100%, $E$13)</f>
        <v>14.8688</v>
      </c>
    </row>
    <row r="794" spans="1:11" ht="15">
      <c r="A794" s="13">
        <v>65289</v>
      </c>
      <c r="B794" s="67">
        <f>13.1306 * CHOOSE(CONTROL!$C$22, $C$13, 100%, $E$13)</f>
        <v>13.130599999999999</v>
      </c>
      <c r="C794" s="67">
        <f>13.1306 * CHOOSE(CONTROL!$C$22, $C$13, 100%, $E$13)</f>
        <v>13.130599999999999</v>
      </c>
      <c r="D794" s="67">
        <f>13.1316 * CHOOSE(CONTROL!$C$22, $C$13, 100%, $E$13)</f>
        <v>13.131600000000001</v>
      </c>
      <c r="E794" s="68">
        <f>14.9621 * CHOOSE(CONTROL!$C$22, $C$13, 100%, $E$13)</f>
        <v>14.9621</v>
      </c>
      <c r="F794" s="68">
        <f>14.9621 * CHOOSE(CONTROL!$C$22, $C$13, 100%, $E$13)</f>
        <v>14.9621</v>
      </c>
      <c r="G794" s="68">
        <f>14.9634 * CHOOSE(CONTROL!$C$22, $C$13, 100%, $E$13)</f>
        <v>14.9634</v>
      </c>
      <c r="H794" s="68">
        <f>24.6019* CHOOSE(CONTROL!$C$22, $C$13, 100%, $E$13)</f>
        <v>24.601900000000001</v>
      </c>
      <c r="I794" s="68">
        <f>24.6032 * CHOOSE(CONTROL!$C$22, $C$13, 100%, $E$13)</f>
        <v>24.603200000000001</v>
      </c>
      <c r="J794" s="68">
        <f>14.9621 * CHOOSE(CONTROL!$C$22, $C$13, 100%, $E$13)</f>
        <v>14.9621</v>
      </c>
      <c r="K794" s="68">
        <f>14.9634 * CHOOSE(CONTROL!$C$22, $C$13, 100%, $E$13)</f>
        <v>14.9634</v>
      </c>
    </row>
    <row r="795" spans="1:11" ht="15">
      <c r="A795" s="13">
        <v>65320</v>
      </c>
      <c r="B795" s="67">
        <f>13.1336 * CHOOSE(CONTROL!$C$22, $C$13, 100%, $E$13)</f>
        <v>13.133599999999999</v>
      </c>
      <c r="C795" s="67">
        <f>13.1336 * CHOOSE(CONTROL!$C$22, $C$13, 100%, $E$13)</f>
        <v>13.133599999999999</v>
      </c>
      <c r="D795" s="67">
        <f>13.1346 * CHOOSE(CONTROL!$C$22, $C$13, 100%, $E$13)</f>
        <v>13.134600000000001</v>
      </c>
      <c r="E795" s="68">
        <f>15.0192 * CHOOSE(CONTROL!$C$22, $C$13, 100%, $E$13)</f>
        <v>15.0192</v>
      </c>
      <c r="F795" s="68">
        <f>15.0192 * CHOOSE(CONTROL!$C$22, $C$13, 100%, $E$13)</f>
        <v>15.0192</v>
      </c>
      <c r="G795" s="68">
        <f>15.0205 * CHOOSE(CONTROL!$C$22, $C$13, 100%, $E$13)</f>
        <v>15.0205</v>
      </c>
      <c r="H795" s="68">
        <f>24.6531* CHOOSE(CONTROL!$C$22, $C$13, 100%, $E$13)</f>
        <v>24.653099999999998</v>
      </c>
      <c r="I795" s="68">
        <f>24.6544 * CHOOSE(CONTROL!$C$22, $C$13, 100%, $E$13)</f>
        <v>24.654399999999999</v>
      </c>
      <c r="J795" s="68">
        <f>15.0192 * CHOOSE(CONTROL!$C$22, $C$13, 100%, $E$13)</f>
        <v>15.0192</v>
      </c>
      <c r="K795" s="68">
        <f>15.0205 * CHOOSE(CONTROL!$C$22, $C$13, 100%, $E$13)</f>
        <v>15.0205</v>
      </c>
    </row>
    <row r="796" spans="1:11" ht="15">
      <c r="A796" s="13">
        <v>65350</v>
      </c>
      <c r="B796" s="67">
        <f>13.1336 * CHOOSE(CONTROL!$C$22, $C$13, 100%, $E$13)</f>
        <v>13.133599999999999</v>
      </c>
      <c r="C796" s="67">
        <f>13.1336 * CHOOSE(CONTROL!$C$22, $C$13, 100%, $E$13)</f>
        <v>13.133599999999999</v>
      </c>
      <c r="D796" s="67">
        <f>13.1346 * CHOOSE(CONTROL!$C$22, $C$13, 100%, $E$13)</f>
        <v>13.134600000000001</v>
      </c>
      <c r="E796" s="68">
        <f>14.8817 * CHOOSE(CONTROL!$C$22, $C$13, 100%, $E$13)</f>
        <v>14.8817</v>
      </c>
      <c r="F796" s="68">
        <f>14.8817 * CHOOSE(CONTROL!$C$22, $C$13, 100%, $E$13)</f>
        <v>14.8817</v>
      </c>
      <c r="G796" s="68">
        <f>14.883 * CHOOSE(CONTROL!$C$22, $C$13, 100%, $E$13)</f>
        <v>14.882999999999999</v>
      </c>
      <c r="H796" s="68">
        <f>24.7045* CHOOSE(CONTROL!$C$22, $C$13, 100%, $E$13)</f>
        <v>24.704499999999999</v>
      </c>
      <c r="I796" s="68">
        <f>24.7058 * CHOOSE(CONTROL!$C$22, $C$13, 100%, $E$13)</f>
        <v>24.7058</v>
      </c>
      <c r="J796" s="68">
        <f>14.8817 * CHOOSE(CONTROL!$C$22, $C$13, 100%, $E$13)</f>
        <v>14.8817</v>
      </c>
      <c r="K796" s="68">
        <f>14.883 * CHOOSE(CONTROL!$C$22, $C$13, 100%, $E$13)</f>
        <v>14.882999999999999</v>
      </c>
    </row>
    <row r="797" spans="1:11" ht="15">
      <c r="A797" s="13">
        <v>65381</v>
      </c>
      <c r="B797" s="67">
        <f>13.1365 * CHOOSE(CONTROL!$C$22, $C$13, 100%, $E$13)</f>
        <v>13.1365</v>
      </c>
      <c r="C797" s="67">
        <f>13.1365 * CHOOSE(CONTROL!$C$22, $C$13, 100%, $E$13)</f>
        <v>13.1365</v>
      </c>
      <c r="D797" s="67">
        <f>13.1374 * CHOOSE(CONTROL!$C$22, $C$13, 100%, $E$13)</f>
        <v>13.1374</v>
      </c>
      <c r="E797" s="68">
        <f>14.9941 * CHOOSE(CONTROL!$C$22, $C$13, 100%, $E$13)</f>
        <v>14.9941</v>
      </c>
      <c r="F797" s="68">
        <f>14.9941 * CHOOSE(CONTROL!$C$22, $C$13, 100%, $E$13)</f>
        <v>14.9941</v>
      </c>
      <c r="G797" s="68">
        <f>14.9953 * CHOOSE(CONTROL!$C$22, $C$13, 100%, $E$13)</f>
        <v>14.9953</v>
      </c>
      <c r="H797" s="68">
        <f>24.5724* CHOOSE(CONTROL!$C$22, $C$13, 100%, $E$13)</f>
        <v>24.572399999999998</v>
      </c>
      <c r="I797" s="68">
        <f>24.5737 * CHOOSE(CONTROL!$C$22, $C$13, 100%, $E$13)</f>
        <v>24.573699999999999</v>
      </c>
      <c r="J797" s="68">
        <f>14.9941 * CHOOSE(CONTROL!$C$22, $C$13, 100%, $E$13)</f>
        <v>14.9941</v>
      </c>
      <c r="K797" s="68">
        <f>14.9953 * CHOOSE(CONTROL!$C$22, $C$13, 100%, $E$13)</f>
        <v>14.9953</v>
      </c>
    </row>
    <row r="798" spans="1:11" ht="15">
      <c r="A798" s="13">
        <v>65412</v>
      </c>
      <c r="B798" s="67">
        <f>13.1334 * CHOOSE(CONTROL!$C$22, $C$13, 100%, $E$13)</f>
        <v>13.1334</v>
      </c>
      <c r="C798" s="67">
        <f>13.1334 * CHOOSE(CONTROL!$C$22, $C$13, 100%, $E$13)</f>
        <v>13.1334</v>
      </c>
      <c r="D798" s="67">
        <f>13.1344 * CHOOSE(CONTROL!$C$22, $C$13, 100%, $E$13)</f>
        <v>13.134399999999999</v>
      </c>
      <c r="E798" s="68">
        <f>14.7271 * CHOOSE(CONTROL!$C$22, $C$13, 100%, $E$13)</f>
        <v>14.7271</v>
      </c>
      <c r="F798" s="68">
        <f>14.7271 * CHOOSE(CONTROL!$C$22, $C$13, 100%, $E$13)</f>
        <v>14.7271</v>
      </c>
      <c r="G798" s="68">
        <f>14.7284 * CHOOSE(CONTROL!$C$22, $C$13, 100%, $E$13)</f>
        <v>14.728400000000001</v>
      </c>
      <c r="H798" s="68">
        <f>24.6236* CHOOSE(CONTROL!$C$22, $C$13, 100%, $E$13)</f>
        <v>24.6236</v>
      </c>
      <c r="I798" s="68">
        <f>24.6249 * CHOOSE(CONTROL!$C$22, $C$13, 100%, $E$13)</f>
        <v>24.6249</v>
      </c>
      <c r="J798" s="68">
        <f>14.7271 * CHOOSE(CONTROL!$C$22, $C$13, 100%, $E$13)</f>
        <v>14.7271</v>
      </c>
      <c r="K798" s="68">
        <f>14.7284 * CHOOSE(CONTROL!$C$22, $C$13, 100%, $E$13)</f>
        <v>14.728400000000001</v>
      </c>
    </row>
    <row r="799" spans="1:11" ht="15">
      <c r="A799" s="13">
        <v>65440</v>
      </c>
      <c r="B799" s="67">
        <f>13.1304 * CHOOSE(CONTROL!$C$22, $C$13, 100%, $E$13)</f>
        <v>13.1304</v>
      </c>
      <c r="C799" s="67">
        <f>13.1304 * CHOOSE(CONTROL!$C$22, $C$13, 100%, $E$13)</f>
        <v>13.1304</v>
      </c>
      <c r="D799" s="67">
        <f>13.1314 * CHOOSE(CONTROL!$C$22, $C$13, 100%, $E$13)</f>
        <v>13.131399999999999</v>
      </c>
      <c r="E799" s="68">
        <f>14.9338 * CHOOSE(CONTROL!$C$22, $C$13, 100%, $E$13)</f>
        <v>14.9338</v>
      </c>
      <c r="F799" s="68">
        <f>14.9338 * CHOOSE(CONTROL!$C$22, $C$13, 100%, $E$13)</f>
        <v>14.9338</v>
      </c>
      <c r="G799" s="68">
        <f>14.9351 * CHOOSE(CONTROL!$C$22, $C$13, 100%, $E$13)</f>
        <v>14.9351</v>
      </c>
      <c r="H799" s="68">
        <f>24.6749* CHOOSE(CONTROL!$C$22, $C$13, 100%, $E$13)</f>
        <v>24.674900000000001</v>
      </c>
      <c r="I799" s="68">
        <f>24.6762 * CHOOSE(CONTROL!$C$22, $C$13, 100%, $E$13)</f>
        <v>24.676200000000001</v>
      </c>
      <c r="J799" s="68">
        <f>14.9338 * CHOOSE(CONTROL!$C$22, $C$13, 100%, $E$13)</f>
        <v>14.9338</v>
      </c>
      <c r="K799" s="68">
        <f>14.9351 * CHOOSE(CONTROL!$C$22, $C$13, 100%, $E$13)</f>
        <v>14.9351</v>
      </c>
    </row>
    <row r="800" spans="1:11" ht="15">
      <c r="A800" s="13">
        <v>65471</v>
      </c>
      <c r="B800" s="67">
        <f>13.1357 * CHOOSE(CONTROL!$C$22, $C$13, 100%, $E$13)</f>
        <v>13.1357</v>
      </c>
      <c r="C800" s="67">
        <f>13.1357 * CHOOSE(CONTROL!$C$22, $C$13, 100%, $E$13)</f>
        <v>13.1357</v>
      </c>
      <c r="D800" s="67">
        <f>13.1367 * CHOOSE(CONTROL!$C$22, $C$13, 100%, $E$13)</f>
        <v>13.136699999999999</v>
      </c>
      <c r="E800" s="68">
        <f>15.1538 * CHOOSE(CONTROL!$C$22, $C$13, 100%, $E$13)</f>
        <v>15.1538</v>
      </c>
      <c r="F800" s="68">
        <f>15.1538 * CHOOSE(CONTROL!$C$22, $C$13, 100%, $E$13)</f>
        <v>15.1538</v>
      </c>
      <c r="G800" s="68">
        <f>15.155 * CHOOSE(CONTROL!$C$22, $C$13, 100%, $E$13)</f>
        <v>15.154999999999999</v>
      </c>
      <c r="H800" s="68">
        <f>24.7263* CHOOSE(CONTROL!$C$22, $C$13, 100%, $E$13)</f>
        <v>24.726299999999998</v>
      </c>
      <c r="I800" s="68">
        <f>24.7276 * CHOOSE(CONTROL!$C$22, $C$13, 100%, $E$13)</f>
        <v>24.727599999999999</v>
      </c>
      <c r="J800" s="68">
        <f>15.1538 * CHOOSE(CONTROL!$C$22, $C$13, 100%, $E$13)</f>
        <v>15.1538</v>
      </c>
      <c r="K800" s="68">
        <f>15.155 * CHOOSE(CONTROL!$C$22, $C$13, 100%, $E$13)</f>
        <v>15.154999999999999</v>
      </c>
    </row>
    <row r="801" spans="1:11" ht="15">
      <c r="A801" s="13">
        <v>65501</v>
      </c>
      <c r="B801" s="67">
        <f>13.1357 * CHOOSE(CONTROL!$C$22, $C$13, 100%, $E$13)</f>
        <v>13.1357</v>
      </c>
      <c r="C801" s="67">
        <f>13.1357 * CHOOSE(CONTROL!$C$22, $C$13, 100%, $E$13)</f>
        <v>13.1357</v>
      </c>
      <c r="D801" s="67">
        <f>13.1383 * CHOOSE(CONTROL!$C$22, $C$13, 100%, $E$13)</f>
        <v>13.138299999999999</v>
      </c>
      <c r="E801" s="68">
        <f>15.2378 * CHOOSE(CONTROL!$C$22, $C$13, 100%, $E$13)</f>
        <v>15.2378</v>
      </c>
      <c r="F801" s="68">
        <f>15.2378 * CHOOSE(CONTROL!$C$22, $C$13, 100%, $E$13)</f>
        <v>15.2378</v>
      </c>
      <c r="G801" s="68">
        <f>15.2411 * CHOOSE(CONTROL!$C$22, $C$13, 100%, $E$13)</f>
        <v>15.241099999999999</v>
      </c>
      <c r="H801" s="68">
        <f>24.7778* CHOOSE(CONTROL!$C$22, $C$13, 100%, $E$13)</f>
        <v>24.777799999999999</v>
      </c>
      <c r="I801" s="68">
        <f>24.781 * CHOOSE(CONTROL!$C$22, $C$13, 100%, $E$13)</f>
        <v>24.780999999999999</v>
      </c>
      <c r="J801" s="68">
        <f>15.2378 * CHOOSE(CONTROL!$C$22, $C$13, 100%, $E$13)</f>
        <v>15.2378</v>
      </c>
      <c r="K801" s="68">
        <f>15.2411 * CHOOSE(CONTROL!$C$22, $C$13, 100%, $E$13)</f>
        <v>15.241099999999999</v>
      </c>
    </row>
    <row r="802" spans="1:11" ht="15">
      <c r="A802" s="13">
        <v>65532</v>
      </c>
      <c r="B802" s="67">
        <f>13.1418 * CHOOSE(CONTROL!$C$22, $C$13, 100%, $E$13)</f>
        <v>13.1418</v>
      </c>
      <c r="C802" s="67">
        <f>13.1418 * CHOOSE(CONTROL!$C$22, $C$13, 100%, $E$13)</f>
        <v>13.1418</v>
      </c>
      <c r="D802" s="67">
        <f>13.1444 * CHOOSE(CONTROL!$C$22, $C$13, 100%, $E$13)</f>
        <v>13.144399999999999</v>
      </c>
      <c r="E802" s="68">
        <f>15.158 * CHOOSE(CONTROL!$C$22, $C$13, 100%, $E$13)</f>
        <v>15.157999999999999</v>
      </c>
      <c r="F802" s="68">
        <f>15.158 * CHOOSE(CONTROL!$C$22, $C$13, 100%, $E$13)</f>
        <v>15.157999999999999</v>
      </c>
      <c r="G802" s="68">
        <f>15.1613 * CHOOSE(CONTROL!$C$22, $C$13, 100%, $E$13)</f>
        <v>15.161300000000001</v>
      </c>
      <c r="H802" s="68">
        <f>24.8294* CHOOSE(CONTROL!$C$22, $C$13, 100%, $E$13)</f>
        <v>24.8294</v>
      </c>
      <c r="I802" s="68">
        <f>24.8327 * CHOOSE(CONTROL!$C$22, $C$13, 100%, $E$13)</f>
        <v>24.832699999999999</v>
      </c>
      <c r="J802" s="68">
        <f>15.158 * CHOOSE(CONTROL!$C$22, $C$13, 100%, $E$13)</f>
        <v>15.157999999999999</v>
      </c>
      <c r="K802" s="68">
        <f>15.1613 * CHOOSE(CONTROL!$C$22, $C$13, 100%, $E$13)</f>
        <v>15.161300000000001</v>
      </c>
    </row>
    <row r="803" spans="1:11" ht="15">
      <c r="A803" s="13">
        <v>65562</v>
      </c>
      <c r="B803" s="67">
        <f>13.3417 * CHOOSE(CONTROL!$C$22, $C$13, 100%, $E$13)</f>
        <v>13.341699999999999</v>
      </c>
      <c r="C803" s="67">
        <f>13.3417 * CHOOSE(CONTROL!$C$22, $C$13, 100%, $E$13)</f>
        <v>13.341699999999999</v>
      </c>
      <c r="D803" s="67">
        <f>13.3443 * CHOOSE(CONTROL!$C$22, $C$13, 100%, $E$13)</f>
        <v>13.3443</v>
      </c>
      <c r="E803" s="68">
        <f>15.3998 * CHOOSE(CONTROL!$C$22, $C$13, 100%, $E$13)</f>
        <v>15.399800000000001</v>
      </c>
      <c r="F803" s="68">
        <f>15.3998 * CHOOSE(CONTROL!$C$22, $C$13, 100%, $E$13)</f>
        <v>15.399800000000001</v>
      </c>
      <c r="G803" s="68">
        <f>15.4031 * CHOOSE(CONTROL!$C$22, $C$13, 100%, $E$13)</f>
        <v>15.4031</v>
      </c>
      <c r="H803" s="68">
        <f>24.8811* CHOOSE(CONTROL!$C$22, $C$13, 100%, $E$13)</f>
        <v>24.8811</v>
      </c>
      <c r="I803" s="68">
        <f>24.8844 * CHOOSE(CONTROL!$C$22, $C$13, 100%, $E$13)</f>
        <v>24.884399999999999</v>
      </c>
      <c r="J803" s="68">
        <f>15.3998 * CHOOSE(CONTROL!$C$22, $C$13, 100%, $E$13)</f>
        <v>15.399800000000001</v>
      </c>
      <c r="K803" s="68">
        <f>15.4031 * CHOOSE(CONTROL!$C$22, $C$13, 100%, $E$13)</f>
        <v>15.4031</v>
      </c>
    </row>
    <row r="804" spans="1:11" ht="15">
      <c r="A804" s="13">
        <v>65593</v>
      </c>
      <c r="B804" s="67">
        <f>13.3484 * CHOOSE(CONTROL!$C$22, $C$13, 100%, $E$13)</f>
        <v>13.3484</v>
      </c>
      <c r="C804" s="67">
        <f>13.3484 * CHOOSE(CONTROL!$C$22, $C$13, 100%, $E$13)</f>
        <v>13.3484</v>
      </c>
      <c r="D804" s="67">
        <f>13.351 * CHOOSE(CONTROL!$C$22, $C$13, 100%, $E$13)</f>
        <v>13.351000000000001</v>
      </c>
      <c r="E804" s="68">
        <f>15.1522 * CHOOSE(CONTROL!$C$22, $C$13, 100%, $E$13)</f>
        <v>15.152200000000001</v>
      </c>
      <c r="F804" s="68">
        <f>15.1522 * CHOOSE(CONTROL!$C$22, $C$13, 100%, $E$13)</f>
        <v>15.152200000000001</v>
      </c>
      <c r="G804" s="68">
        <f>15.1555 * CHOOSE(CONTROL!$C$22, $C$13, 100%, $E$13)</f>
        <v>15.1555</v>
      </c>
      <c r="H804" s="68">
        <f>24.933* CHOOSE(CONTROL!$C$22, $C$13, 100%, $E$13)</f>
        <v>24.933</v>
      </c>
      <c r="I804" s="68">
        <f>24.9362 * CHOOSE(CONTROL!$C$22, $C$13, 100%, $E$13)</f>
        <v>24.936199999999999</v>
      </c>
      <c r="J804" s="68">
        <f>15.1522 * CHOOSE(CONTROL!$C$22, $C$13, 100%, $E$13)</f>
        <v>15.152200000000001</v>
      </c>
      <c r="K804" s="68">
        <f>15.1555 * CHOOSE(CONTROL!$C$22, $C$13, 100%, $E$13)</f>
        <v>15.1555</v>
      </c>
    </row>
    <row r="805" spans="1:11" ht="15">
      <c r="A805" s="13">
        <v>65624</v>
      </c>
      <c r="B805" s="67">
        <f>13.3454 * CHOOSE(CONTROL!$C$22, $C$13, 100%, $E$13)</f>
        <v>13.3454</v>
      </c>
      <c r="C805" s="67">
        <f>13.3454 * CHOOSE(CONTROL!$C$22, $C$13, 100%, $E$13)</f>
        <v>13.3454</v>
      </c>
      <c r="D805" s="67">
        <f>13.348 * CHOOSE(CONTROL!$C$22, $C$13, 100%, $E$13)</f>
        <v>13.348000000000001</v>
      </c>
      <c r="E805" s="68">
        <f>15.1221 * CHOOSE(CONTROL!$C$22, $C$13, 100%, $E$13)</f>
        <v>15.1221</v>
      </c>
      <c r="F805" s="68">
        <f>15.1221 * CHOOSE(CONTROL!$C$22, $C$13, 100%, $E$13)</f>
        <v>15.1221</v>
      </c>
      <c r="G805" s="68">
        <f>15.1253 * CHOOSE(CONTROL!$C$22, $C$13, 100%, $E$13)</f>
        <v>15.125299999999999</v>
      </c>
      <c r="H805" s="68">
        <f>24.9849* CHOOSE(CONTROL!$C$22, $C$13, 100%, $E$13)</f>
        <v>24.9849</v>
      </c>
      <c r="I805" s="68">
        <f>24.9882 * CHOOSE(CONTROL!$C$22, $C$13, 100%, $E$13)</f>
        <v>24.988199999999999</v>
      </c>
      <c r="J805" s="68">
        <f>15.1221 * CHOOSE(CONTROL!$C$22, $C$13, 100%, $E$13)</f>
        <v>15.1221</v>
      </c>
      <c r="K805" s="68">
        <f>15.1253 * CHOOSE(CONTROL!$C$22, $C$13, 100%, $E$13)</f>
        <v>15.125299999999999</v>
      </c>
    </row>
    <row r="806" spans="1:11" ht="15">
      <c r="A806" s="13">
        <v>65654</v>
      </c>
      <c r="B806" s="67">
        <f>13.3705 * CHOOSE(CONTROL!$C$22, $C$13, 100%, $E$13)</f>
        <v>13.3705</v>
      </c>
      <c r="C806" s="67">
        <f>13.3705 * CHOOSE(CONTROL!$C$22, $C$13, 100%, $E$13)</f>
        <v>13.3705</v>
      </c>
      <c r="D806" s="67">
        <f>13.3715 * CHOOSE(CONTROL!$C$22, $C$13, 100%, $E$13)</f>
        <v>13.371499999999999</v>
      </c>
      <c r="E806" s="68">
        <f>15.2207 * CHOOSE(CONTROL!$C$22, $C$13, 100%, $E$13)</f>
        <v>15.220700000000001</v>
      </c>
      <c r="F806" s="68">
        <f>15.2207 * CHOOSE(CONTROL!$C$22, $C$13, 100%, $E$13)</f>
        <v>15.220700000000001</v>
      </c>
      <c r="G806" s="68">
        <f>15.222 * CHOOSE(CONTROL!$C$22, $C$13, 100%, $E$13)</f>
        <v>15.222</v>
      </c>
      <c r="H806" s="68">
        <f>25.037* CHOOSE(CONTROL!$C$22, $C$13, 100%, $E$13)</f>
        <v>25.036999999999999</v>
      </c>
      <c r="I806" s="68">
        <f>25.0383 * CHOOSE(CONTROL!$C$22, $C$13, 100%, $E$13)</f>
        <v>25.0383</v>
      </c>
      <c r="J806" s="68">
        <f>15.2207 * CHOOSE(CONTROL!$C$22, $C$13, 100%, $E$13)</f>
        <v>15.220700000000001</v>
      </c>
      <c r="K806" s="68">
        <f>15.222 * CHOOSE(CONTROL!$C$22, $C$13, 100%, $E$13)</f>
        <v>15.222</v>
      </c>
    </row>
    <row r="807" spans="1:11" ht="15">
      <c r="A807" s="13">
        <v>65685</v>
      </c>
      <c r="B807" s="67">
        <f>13.3736 * CHOOSE(CONTROL!$C$22, $C$13, 100%, $E$13)</f>
        <v>13.3736</v>
      </c>
      <c r="C807" s="67">
        <f>13.3736 * CHOOSE(CONTROL!$C$22, $C$13, 100%, $E$13)</f>
        <v>13.3736</v>
      </c>
      <c r="D807" s="67">
        <f>13.3746 * CHOOSE(CONTROL!$C$22, $C$13, 100%, $E$13)</f>
        <v>13.374599999999999</v>
      </c>
      <c r="E807" s="68">
        <f>15.2789 * CHOOSE(CONTROL!$C$22, $C$13, 100%, $E$13)</f>
        <v>15.2789</v>
      </c>
      <c r="F807" s="68">
        <f>15.2789 * CHOOSE(CONTROL!$C$22, $C$13, 100%, $E$13)</f>
        <v>15.2789</v>
      </c>
      <c r="G807" s="68">
        <f>15.2802 * CHOOSE(CONTROL!$C$22, $C$13, 100%, $E$13)</f>
        <v>15.280200000000001</v>
      </c>
      <c r="H807" s="68">
        <f>25.0891* CHOOSE(CONTROL!$C$22, $C$13, 100%, $E$13)</f>
        <v>25.089099999999998</v>
      </c>
      <c r="I807" s="68">
        <f>25.0904 * CHOOSE(CONTROL!$C$22, $C$13, 100%, $E$13)</f>
        <v>25.090399999999999</v>
      </c>
      <c r="J807" s="68">
        <f>15.2789 * CHOOSE(CONTROL!$C$22, $C$13, 100%, $E$13)</f>
        <v>15.2789</v>
      </c>
      <c r="K807" s="68">
        <f>15.2802 * CHOOSE(CONTROL!$C$22, $C$13, 100%, $E$13)</f>
        <v>15.280200000000001</v>
      </c>
    </row>
    <row r="808" spans="1:11" ht="15">
      <c r="A808" s="13">
        <v>65715</v>
      </c>
      <c r="B808" s="67">
        <f>13.3736 * CHOOSE(CONTROL!$C$22, $C$13, 100%, $E$13)</f>
        <v>13.3736</v>
      </c>
      <c r="C808" s="67">
        <f>13.3736 * CHOOSE(CONTROL!$C$22, $C$13, 100%, $E$13)</f>
        <v>13.3736</v>
      </c>
      <c r="D808" s="67">
        <f>13.3746 * CHOOSE(CONTROL!$C$22, $C$13, 100%, $E$13)</f>
        <v>13.374599999999999</v>
      </c>
      <c r="E808" s="68">
        <f>15.1388 * CHOOSE(CONTROL!$C$22, $C$13, 100%, $E$13)</f>
        <v>15.1388</v>
      </c>
      <c r="F808" s="68">
        <f>15.1388 * CHOOSE(CONTROL!$C$22, $C$13, 100%, $E$13)</f>
        <v>15.1388</v>
      </c>
      <c r="G808" s="68">
        <f>15.1401 * CHOOSE(CONTROL!$C$22, $C$13, 100%, $E$13)</f>
        <v>15.1401</v>
      </c>
      <c r="H808" s="68">
        <f>25.1414* CHOOSE(CONTROL!$C$22, $C$13, 100%, $E$13)</f>
        <v>25.141400000000001</v>
      </c>
      <c r="I808" s="68">
        <f>25.1427 * CHOOSE(CONTROL!$C$22, $C$13, 100%, $E$13)</f>
        <v>25.142700000000001</v>
      </c>
      <c r="J808" s="68">
        <f>15.1388 * CHOOSE(CONTROL!$C$22, $C$13, 100%, $E$13)</f>
        <v>15.1388</v>
      </c>
      <c r="K808" s="68">
        <f>15.1401 * CHOOSE(CONTROL!$C$22, $C$13, 100%, $E$13)</f>
        <v>15.1401</v>
      </c>
    </row>
    <row r="809" spans="1:11" ht="15">
      <c r="A809" s="13">
        <v>65746</v>
      </c>
      <c r="B809" s="67">
        <f>13.372 * CHOOSE(CONTROL!$C$22, $C$13, 100%, $E$13)</f>
        <v>13.372</v>
      </c>
      <c r="C809" s="67">
        <f>13.372 * CHOOSE(CONTROL!$C$22, $C$13, 100%, $E$13)</f>
        <v>13.372</v>
      </c>
      <c r="D809" s="67">
        <f>13.373 * CHOOSE(CONTROL!$C$22, $C$13, 100%, $E$13)</f>
        <v>13.372999999999999</v>
      </c>
      <c r="E809" s="68">
        <f>15.2488 * CHOOSE(CONTROL!$C$22, $C$13, 100%, $E$13)</f>
        <v>15.248799999999999</v>
      </c>
      <c r="F809" s="68">
        <f>15.2488 * CHOOSE(CONTROL!$C$22, $C$13, 100%, $E$13)</f>
        <v>15.248799999999999</v>
      </c>
      <c r="G809" s="68">
        <f>15.2501 * CHOOSE(CONTROL!$C$22, $C$13, 100%, $E$13)</f>
        <v>15.2501</v>
      </c>
      <c r="H809" s="68">
        <f>24.9994* CHOOSE(CONTROL!$C$22, $C$13, 100%, $E$13)</f>
        <v>24.999400000000001</v>
      </c>
      <c r="I809" s="68">
        <f>25.0007 * CHOOSE(CONTROL!$C$22, $C$13, 100%, $E$13)</f>
        <v>25.000699999999998</v>
      </c>
      <c r="J809" s="68">
        <f>15.2488 * CHOOSE(CONTROL!$C$22, $C$13, 100%, $E$13)</f>
        <v>15.248799999999999</v>
      </c>
      <c r="K809" s="68">
        <f>15.2501 * CHOOSE(CONTROL!$C$22, $C$13, 100%, $E$13)</f>
        <v>15.2501</v>
      </c>
    </row>
    <row r="810" spans="1:11" ht="15">
      <c r="A810" s="13">
        <v>65777</v>
      </c>
      <c r="B810" s="67">
        <f>13.369 * CHOOSE(CONTROL!$C$22, $C$13, 100%, $E$13)</f>
        <v>13.369</v>
      </c>
      <c r="C810" s="67">
        <f>13.369 * CHOOSE(CONTROL!$C$22, $C$13, 100%, $E$13)</f>
        <v>13.369</v>
      </c>
      <c r="D810" s="67">
        <f>13.37 * CHOOSE(CONTROL!$C$22, $C$13, 100%, $E$13)</f>
        <v>13.37</v>
      </c>
      <c r="E810" s="68">
        <f>14.9769 * CHOOSE(CONTROL!$C$22, $C$13, 100%, $E$13)</f>
        <v>14.976900000000001</v>
      </c>
      <c r="F810" s="68">
        <f>14.9769 * CHOOSE(CONTROL!$C$22, $C$13, 100%, $E$13)</f>
        <v>14.976900000000001</v>
      </c>
      <c r="G810" s="68">
        <f>14.9782 * CHOOSE(CONTROL!$C$22, $C$13, 100%, $E$13)</f>
        <v>14.978199999999999</v>
      </c>
      <c r="H810" s="68">
        <f>25.0515* CHOOSE(CONTROL!$C$22, $C$13, 100%, $E$13)</f>
        <v>25.051500000000001</v>
      </c>
      <c r="I810" s="68">
        <f>25.0528 * CHOOSE(CONTROL!$C$22, $C$13, 100%, $E$13)</f>
        <v>25.052800000000001</v>
      </c>
      <c r="J810" s="68">
        <f>14.9769 * CHOOSE(CONTROL!$C$22, $C$13, 100%, $E$13)</f>
        <v>14.976900000000001</v>
      </c>
      <c r="K810" s="68">
        <f>14.9782 * CHOOSE(CONTROL!$C$22, $C$13, 100%, $E$13)</f>
        <v>14.978199999999999</v>
      </c>
    </row>
    <row r="811" spans="1:11" ht="15">
      <c r="A811" s="13">
        <v>65806</v>
      </c>
      <c r="B811" s="67">
        <f>13.3659 * CHOOSE(CONTROL!$C$22, $C$13, 100%, $E$13)</f>
        <v>13.3659</v>
      </c>
      <c r="C811" s="67">
        <f>13.3659 * CHOOSE(CONTROL!$C$22, $C$13, 100%, $E$13)</f>
        <v>13.3659</v>
      </c>
      <c r="D811" s="67">
        <f>13.3669 * CHOOSE(CONTROL!$C$22, $C$13, 100%, $E$13)</f>
        <v>13.366899999999999</v>
      </c>
      <c r="E811" s="68">
        <f>15.1874 * CHOOSE(CONTROL!$C$22, $C$13, 100%, $E$13)</f>
        <v>15.1874</v>
      </c>
      <c r="F811" s="68">
        <f>15.1874 * CHOOSE(CONTROL!$C$22, $C$13, 100%, $E$13)</f>
        <v>15.1874</v>
      </c>
      <c r="G811" s="68">
        <f>15.1887 * CHOOSE(CONTROL!$C$22, $C$13, 100%, $E$13)</f>
        <v>15.188700000000001</v>
      </c>
      <c r="H811" s="68">
        <f>25.1037* CHOOSE(CONTROL!$C$22, $C$13, 100%, $E$13)</f>
        <v>25.1037</v>
      </c>
      <c r="I811" s="68">
        <f>25.105 * CHOOSE(CONTROL!$C$22, $C$13, 100%, $E$13)</f>
        <v>25.105</v>
      </c>
      <c r="J811" s="68">
        <f>15.1874 * CHOOSE(CONTROL!$C$22, $C$13, 100%, $E$13)</f>
        <v>15.1874</v>
      </c>
      <c r="K811" s="68">
        <f>15.1887 * CHOOSE(CONTROL!$C$22, $C$13, 100%, $E$13)</f>
        <v>15.188700000000001</v>
      </c>
    </row>
    <row r="812" spans="1:11" ht="15">
      <c r="A812" s="13">
        <v>65837</v>
      </c>
      <c r="B812" s="67">
        <f>13.3715 * CHOOSE(CONTROL!$C$22, $C$13, 100%, $E$13)</f>
        <v>13.371499999999999</v>
      </c>
      <c r="C812" s="67">
        <f>13.3715 * CHOOSE(CONTROL!$C$22, $C$13, 100%, $E$13)</f>
        <v>13.371499999999999</v>
      </c>
      <c r="D812" s="67">
        <f>13.3724 * CHOOSE(CONTROL!$C$22, $C$13, 100%, $E$13)</f>
        <v>13.372400000000001</v>
      </c>
      <c r="E812" s="68">
        <f>15.4116 * CHOOSE(CONTROL!$C$22, $C$13, 100%, $E$13)</f>
        <v>15.4116</v>
      </c>
      <c r="F812" s="68">
        <f>15.4116 * CHOOSE(CONTROL!$C$22, $C$13, 100%, $E$13)</f>
        <v>15.4116</v>
      </c>
      <c r="G812" s="68">
        <f>15.4129 * CHOOSE(CONTROL!$C$22, $C$13, 100%, $E$13)</f>
        <v>15.4129</v>
      </c>
      <c r="H812" s="68">
        <f>25.156* CHOOSE(CONTROL!$C$22, $C$13, 100%, $E$13)</f>
        <v>25.155999999999999</v>
      </c>
      <c r="I812" s="68">
        <f>25.1573 * CHOOSE(CONTROL!$C$22, $C$13, 100%, $E$13)</f>
        <v>25.157299999999999</v>
      </c>
      <c r="J812" s="68">
        <f>15.4116 * CHOOSE(CONTROL!$C$22, $C$13, 100%, $E$13)</f>
        <v>15.4116</v>
      </c>
      <c r="K812" s="68">
        <f>15.4129 * CHOOSE(CONTROL!$C$22, $C$13, 100%, $E$13)</f>
        <v>15.4129</v>
      </c>
    </row>
    <row r="813" spans="1:11" ht="15">
      <c r="A813" s="13">
        <v>65867</v>
      </c>
      <c r="B813" s="67">
        <f>13.3715 * CHOOSE(CONTROL!$C$22, $C$13, 100%, $E$13)</f>
        <v>13.371499999999999</v>
      </c>
      <c r="C813" s="67">
        <f>13.3715 * CHOOSE(CONTROL!$C$22, $C$13, 100%, $E$13)</f>
        <v>13.371499999999999</v>
      </c>
      <c r="D813" s="67">
        <f>13.3741 * CHOOSE(CONTROL!$C$22, $C$13, 100%, $E$13)</f>
        <v>13.3741</v>
      </c>
      <c r="E813" s="68">
        <f>15.4973 * CHOOSE(CONTROL!$C$22, $C$13, 100%, $E$13)</f>
        <v>15.497299999999999</v>
      </c>
      <c r="F813" s="68">
        <f>15.4973 * CHOOSE(CONTROL!$C$22, $C$13, 100%, $E$13)</f>
        <v>15.497299999999999</v>
      </c>
      <c r="G813" s="68">
        <f>15.5005 * CHOOSE(CONTROL!$C$22, $C$13, 100%, $E$13)</f>
        <v>15.500500000000001</v>
      </c>
      <c r="H813" s="68">
        <f>25.2084* CHOOSE(CONTROL!$C$22, $C$13, 100%, $E$13)</f>
        <v>25.208400000000001</v>
      </c>
      <c r="I813" s="68">
        <f>25.2116 * CHOOSE(CONTROL!$C$22, $C$13, 100%, $E$13)</f>
        <v>25.211600000000001</v>
      </c>
      <c r="J813" s="68">
        <f>15.4973 * CHOOSE(CONTROL!$C$22, $C$13, 100%, $E$13)</f>
        <v>15.497299999999999</v>
      </c>
      <c r="K813" s="68">
        <f>15.5005 * CHOOSE(CONTROL!$C$22, $C$13, 100%, $E$13)</f>
        <v>15.500500000000001</v>
      </c>
    </row>
    <row r="814" spans="1:11" ht="15">
      <c r="A814" s="13">
        <v>65898</v>
      </c>
      <c r="B814" s="67">
        <f>13.3775 * CHOOSE(CONTROL!$C$22, $C$13, 100%, $E$13)</f>
        <v>13.3775</v>
      </c>
      <c r="C814" s="67">
        <f>13.3775 * CHOOSE(CONTROL!$C$22, $C$13, 100%, $E$13)</f>
        <v>13.3775</v>
      </c>
      <c r="D814" s="67">
        <f>13.3801 * CHOOSE(CONTROL!$C$22, $C$13, 100%, $E$13)</f>
        <v>13.380100000000001</v>
      </c>
      <c r="E814" s="68">
        <f>15.4159 * CHOOSE(CONTROL!$C$22, $C$13, 100%, $E$13)</f>
        <v>15.415900000000001</v>
      </c>
      <c r="F814" s="68">
        <f>15.4159 * CHOOSE(CONTROL!$C$22, $C$13, 100%, $E$13)</f>
        <v>15.415900000000001</v>
      </c>
      <c r="G814" s="68">
        <f>15.4191 * CHOOSE(CONTROL!$C$22, $C$13, 100%, $E$13)</f>
        <v>15.4191</v>
      </c>
      <c r="H814" s="68">
        <f>25.2609* CHOOSE(CONTROL!$C$22, $C$13, 100%, $E$13)</f>
        <v>25.260899999999999</v>
      </c>
      <c r="I814" s="68">
        <f>25.2642 * CHOOSE(CONTROL!$C$22, $C$13, 100%, $E$13)</f>
        <v>25.264199999999999</v>
      </c>
      <c r="J814" s="68">
        <f>15.4159 * CHOOSE(CONTROL!$C$22, $C$13, 100%, $E$13)</f>
        <v>15.415900000000001</v>
      </c>
      <c r="K814" s="68">
        <f>15.4191 * CHOOSE(CONTROL!$C$22, $C$13, 100%, $E$13)</f>
        <v>15.4191</v>
      </c>
    </row>
    <row r="815" spans="1:11" ht="15">
      <c r="A815" s="13">
        <v>65928</v>
      </c>
      <c r="B815" s="67">
        <f>13.5809 * CHOOSE(CONTROL!$C$22, $C$13, 100%, $E$13)</f>
        <v>13.5809</v>
      </c>
      <c r="C815" s="67">
        <f>13.5809 * CHOOSE(CONTROL!$C$22, $C$13, 100%, $E$13)</f>
        <v>13.5809</v>
      </c>
      <c r="D815" s="67">
        <f>13.5835 * CHOOSE(CONTROL!$C$22, $C$13, 100%, $E$13)</f>
        <v>13.583500000000001</v>
      </c>
      <c r="E815" s="68">
        <f>15.6616 * CHOOSE(CONTROL!$C$22, $C$13, 100%, $E$13)</f>
        <v>15.6616</v>
      </c>
      <c r="F815" s="68">
        <f>15.6616 * CHOOSE(CONTROL!$C$22, $C$13, 100%, $E$13)</f>
        <v>15.6616</v>
      </c>
      <c r="G815" s="68">
        <f>15.6648 * CHOOSE(CONTROL!$C$22, $C$13, 100%, $E$13)</f>
        <v>15.6648</v>
      </c>
      <c r="H815" s="68">
        <f>25.3135* CHOOSE(CONTROL!$C$22, $C$13, 100%, $E$13)</f>
        <v>25.313500000000001</v>
      </c>
      <c r="I815" s="68">
        <f>25.3168 * CHOOSE(CONTROL!$C$22, $C$13, 100%, $E$13)</f>
        <v>25.316800000000001</v>
      </c>
      <c r="J815" s="68">
        <f>15.6616 * CHOOSE(CONTROL!$C$22, $C$13, 100%, $E$13)</f>
        <v>15.6616</v>
      </c>
      <c r="K815" s="68">
        <f>15.6648 * CHOOSE(CONTROL!$C$22, $C$13, 100%, $E$13)</f>
        <v>15.6648</v>
      </c>
    </row>
    <row r="816" spans="1:11" ht="15">
      <c r="A816" s="13">
        <v>65959</v>
      </c>
      <c r="B816" s="67">
        <f>13.5876 * CHOOSE(CONTROL!$C$22, $C$13, 100%, $E$13)</f>
        <v>13.5876</v>
      </c>
      <c r="C816" s="67">
        <f>13.5876 * CHOOSE(CONTROL!$C$22, $C$13, 100%, $E$13)</f>
        <v>13.5876</v>
      </c>
      <c r="D816" s="67">
        <f>13.5902 * CHOOSE(CONTROL!$C$22, $C$13, 100%, $E$13)</f>
        <v>13.590199999999999</v>
      </c>
      <c r="E816" s="68">
        <f>15.4093 * CHOOSE(CONTROL!$C$22, $C$13, 100%, $E$13)</f>
        <v>15.4093</v>
      </c>
      <c r="F816" s="68">
        <f>15.4093 * CHOOSE(CONTROL!$C$22, $C$13, 100%, $E$13)</f>
        <v>15.4093</v>
      </c>
      <c r="G816" s="68">
        <f>15.4125 * CHOOSE(CONTROL!$C$22, $C$13, 100%, $E$13)</f>
        <v>15.4125</v>
      </c>
      <c r="H816" s="68">
        <f>25.3663* CHOOSE(CONTROL!$C$22, $C$13, 100%, $E$13)</f>
        <v>25.366299999999999</v>
      </c>
      <c r="I816" s="68">
        <f>25.3695 * CHOOSE(CONTROL!$C$22, $C$13, 100%, $E$13)</f>
        <v>25.369499999999999</v>
      </c>
      <c r="J816" s="68">
        <f>15.4093 * CHOOSE(CONTROL!$C$22, $C$13, 100%, $E$13)</f>
        <v>15.4093</v>
      </c>
      <c r="K816" s="68">
        <f>15.4125 * CHOOSE(CONTROL!$C$22, $C$13, 100%, $E$13)</f>
        <v>15.4125</v>
      </c>
    </row>
    <row r="817" spans="1:11" ht="15">
      <c r="A817" s="13">
        <v>65990</v>
      </c>
      <c r="B817" s="67">
        <f>13.5845 * CHOOSE(CONTROL!$C$22, $C$13, 100%, $E$13)</f>
        <v>13.5845</v>
      </c>
      <c r="C817" s="67">
        <f>13.5845 * CHOOSE(CONTROL!$C$22, $C$13, 100%, $E$13)</f>
        <v>13.5845</v>
      </c>
      <c r="D817" s="67">
        <f>13.5871 * CHOOSE(CONTROL!$C$22, $C$13, 100%, $E$13)</f>
        <v>13.5871</v>
      </c>
      <c r="E817" s="68">
        <f>15.3786 * CHOOSE(CONTROL!$C$22, $C$13, 100%, $E$13)</f>
        <v>15.3786</v>
      </c>
      <c r="F817" s="68">
        <f>15.3786 * CHOOSE(CONTROL!$C$22, $C$13, 100%, $E$13)</f>
        <v>15.3786</v>
      </c>
      <c r="G817" s="68">
        <f>15.3819 * CHOOSE(CONTROL!$C$22, $C$13, 100%, $E$13)</f>
        <v>15.3819</v>
      </c>
      <c r="H817" s="68">
        <f>25.4191* CHOOSE(CONTROL!$C$22, $C$13, 100%, $E$13)</f>
        <v>25.4191</v>
      </c>
      <c r="I817" s="68">
        <f>25.4224 * CHOOSE(CONTROL!$C$22, $C$13, 100%, $E$13)</f>
        <v>25.4224</v>
      </c>
      <c r="J817" s="68">
        <f>15.3786 * CHOOSE(CONTROL!$C$22, $C$13, 100%, $E$13)</f>
        <v>15.3786</v>
      </c>
      <c r="K817" s="68">
        <f>15.3819 * CHOOSE(CONTROL!$C$22, $C$13, 100%, $E$13)</f>
        <v>15.3819</v>
      </c>
    </row>
    <row r="818" spans="1:11" ht="15">
      <c r="A818" s="13">
        <v>66020</v>
      </c>
      <c r="B818" s="67">
        <f>13.6105 * CHOOSE(CONTROL!$C$22, $C$13, 100%, $E$13)</f>
        <v>13.6105</v>
      </c>
      <c r="C818" s="67">
        <f>13.6105 * CHOOSE(CONTROL!$C$22, $C$13, 100%, $E$13)</f>
        <v>13.6105</v>
      </c>
      <c r="D818" s="67">
        <f>13.6115 * CHOOSE(CONTROL!$C$22, $C$13, 100%, $E$13)</f>
        <v>13.611499999999999</v>
      </c>
      <c r="E818" s="68">
        <f>15.4794 * CHOOSE(CONTROL!$C$22, $C$13, 100%, $E$13)</f>
        <v>15.4794</v>
      </c>
      <c r="F818" s="68">
        <f>15.4794 * CHOOSE(CONTROL!$C$22, $C$13, 100%, $E$13)</f>
        <v>15.4794</v>
      </c>
      <c r="G818" s="68">
        <f>15.4807 * CHOOSE(CONTROL!$C$22, $C$13, 100%, $E$13)</f>
        <v>15.480700000000001</v>
      </c>
      <c r="H818" s="68">
        <f>25.4721* CHOOSE(CONTROL!$C$22, $C$13, 100%, $E$13)</f>
        <v>25.472100000000001</v>
      </c>
      <c r="I818" s="68">
        <f>25.4733 * CHOOSE(CONTROL!$C$22, $C$13, 100%, $E$13)</f>
        <v>25.473299999999998</v>
      </c>
      <c r="J818" s="68">
        <f>15.4794 * CHOOSE(CONTROL!$C$22, $C$13, 100%, $E$13)</f>
        <v>15.4794</v>
      </c>
      <c r="K818" s="68">
        <f>15.4807 * CHOOSE(CONTROL!$C$22, $C$13, 100%, $E$13)</f>
        <v>15.480700000000001</v>
      </c>
    </row>
    <row r="819" spans="1:11" ht="15">
      <c r="A819" s="13">
        <v>66051</v>
      </c>
      <c r="B819" s="67">
        <f>13.6135 * CHOOSE(CONTROL!$C$22, $C$13, 100%, $E$13)</f>
        <v>13.6135</v>
      </c>
      <c r="C819" s="67">
        <f>13.6135 * CHOOSE(CONTROL!$C$22, $C$13, 100%, $E$13)</f>
        <v>13.6135</v>
      </c>
      <c r="D819" s="67">
        <f>13.6145 * CHOOSE(CONTROL!$C$22, $C$13, 100%, $E$13)</f>
        <v>13.6145</v>
      </c>
      <c r="E819" s="68">
        <f>15.5386 * CHOOSE(CONTROL!$C$22, $C$13, 100%, $E$13)</f>
        <v>15.538600000000001</v>
      </c>
      <c r="F819" s="68">
        <f>15.5386 * CHOOSE(CONTROL!$C$22, $C$13, 100%, $E$13)</f>
        <v>15.538600000000001</v>
      </c>
      <c r="G819" s="68">
        <f>15.5399 * CHOOSE(CONTROL!$C$22, $C$13, 100%, $E$13)</f>
        <v>15.539899999999999</v>
      </c>
      <c r="H819" s="68">
        <f>25.5251* CHOOSE(CONTROL!$C$22, $C$13, 100%, $E$13)</f>
        <v>25.525099999999998</v>
      </c>
      <c r="I819" s="68">
        <f>25.5264 * CHOOSE(CONTROL!$C$22, $C$13, 100%, $E$13)</f>
        <v>25.526399999999999</v>
      </c>
      <c r="J819" s="68">
        <f>15.5386 * CHOOSE(CONTROL!$C$22, $C$13, 100%, $E$13)</f>
        <v>15.538600000000001</v>
      </c>
      <c r="K819" s="68">
        <f>15.5399 * CHOOSE(CONTROL!$C$22, $C$13, 100%, $E$13)</f>
        <v>15.539899999999999</v>
      </c>
    </row>
    <row r="820" spans="1:11" ht="15">
      <c r="A820" s="13">
        <v>66081</v>
      </c>
      <c r="B820" s="67">
        <f>13.6135 * CHOOSE(CONTROL!$C$22, $C$13, 100%, $E$13)</f>
        <v>13.6135</v>
      </c>
      <c r="C820" s="67">
        <f>13.6135 * CHOOSE(CONTROL!$C$22, $C$13, 100%, $E$13)</f>
        <v>13.6135</v>
      </c>
      <c r="D820" s="67">
        <f>13.6145 * CHOOSE(CONTROL!$C$22, $C$13, 100%, $E$13)</f>
        <v>13.6145</v>
      </c>
      <c r="E820" s="68">
        <f>15.3959 * CHOOSE(CONTROL!$C$22, $C$13, 100%, $E$13)</f>
        <v>15.395899999999999</v>
      </c>
      <c r="F820" s="68">
        <f>15.3959 * CHOOSE(CONTROL!$C$22, $C$13, 100%, $E$13)</f>
        <v>15.395899999999999</v>
      </c>
      <c r="G820" s="68">
        <f>15.3971 * CHOOSE(CONTROL!$C$22, $C$13, 100%, $E$13)</f>
        <v>15.3971</v>
      </c>
      <c r="H820" s="68">
        <f>25.5783* CHOOSE(CONTROL!$C$22, $C$13, 100%, $E$13)</f>
        <v>25.578299999999999</v>
      </c>
      <c r="I820" s="68">
        <f>25.5796 * CHOOSE(CONTROL!$C$22, $C$13, 100%, $E$13)</f>
        <v>25.579599999999999</v>
      </c>
      <c r="J820" s="68">
        <f>15.3959 * CHOOSE(CONTROL!$C$22, $C$13, 100%, $E$13)</f>
        <v>15.395899999999999</v>
      </c>
      <c r="K820" s="68">
        <f>15.3971 * CHOOSE(CONTROL!$C$22, $C$13, 100%, $E$13)</f>
        <v>15.3971</v>
      </c>
    </row>
    <row r="821" spans="1:11" ht="15">
      <c r="A821" s="13">
        <v>66112</v>
      </c>
      <c r="B821" s="67">
        <f>13.6076 * CHOOSE(CONTROL!$C$22, $C$13, 100%, $E$13)</f>
        <v>13.6076</v>
      </c>
      <c r="C821" s="67">
        <f>13.6076 * CHOOSE(CONTROL!$C$22, $C$13, 100%, $E$13)</f>
        <v>13.6076</v>
      </c>
      <c r="D821" s="67">
        <f>13.6086 * CHOOSE(CONTROL!$C$22, $C$13, 100%, $E$13)</f>
        <v>13.608599999999999</v>
      </c>
      <c r="E821" s="68">
        <f>15.5035 * CHOOSE(CONTROL!$C$22, $C$13, 100%, $E$13)</f>
        <v>15.503500000000001</v>
      </c>
      <c r="F821" s="68">
        <f>15.5035 * CHOOSE(CONTROL!$C$22, $C$13, 100%, $E$13)</f>
        <v>15.503500000000001</v>
      </c>
      <c r="G821" s="68">
        <f>15.5048 * CHOOSE(CONTROL!$C$22, $C$13, 100%, $E$13)</f>
        <v>15.504799999999999</v>
      </c>
      <c r="H821" s="68">
        <f>25.4264* CHOOSE(CONTROL!$C$22, $C$13, 100%, $E$13)</f>
        <v>25.426400000000001</v>
      </c>
      <c r="I821" s="68">
        <f>25.4277 * CHOOSE(CONTROL!$C$22, $C$13, 100%, $E$13)</f>
        <v>25.427700000000002</v>
      </c>
      <c r="J821" s="68">
        <f>15.5035 * CHOOSE(CONTROL!$C$22, $C$13, 100%, $E$13)</f>
        <v>15.503500000000001</v>
      </c>
      <c r="K821" s="68">
        <f>15.5048 * CHOOSE(CONTROL!$C$22, $C$13, 100%, $E$13)</f>
        <v>15.504799999999999</v>
      </c>
    </row>
    <row r="822" spans="1:11" ht="15">
      <c r="A822" s="13">
        <v>66143</v>
      </c>
      <c r="B822" s="67">
        <f>13.6046 * CHOOSE(CONTROL!$C$22, $C$13, 100%, $E$13)</f>
        <v>13.6046</v>
      </c>
      <c r="C822" s="67">
        <f>13.6046 * CHOOSE(CONTROL!$C$22, $C$13, 100%, $E$13)</f>
        <v>13.6046</v>
      </c>
      <c r="D822" s="67">
        <f>13.6055 * CHOOSE(CONTROL!$C$22, $C$13, 100%, $E$13)</f>
        <v>13.605499999999999</v>
      </c>
      <c r="E822" s="68">
        <f>15.2267 * CHOOSE(CONTROL!$C$22, $C$13, 100%, $E$13)</f>
        <v>15.226699999999999</v>
      </c>
      <c r="F822" s="68">
        <f>15.2267 * CHOOSE(CONTROL!$C$22, $C$13, 100%, $E$13)</f>
        <v>15.226699999999999</v>
      </c>
      <c r="G822" s="68">
        <f>15.228 * CHOOSE(CONTROL!$C$22, $C$13, 100%, $E$13)</f>
        <v>15.228</v>
      </c>
      <c r="H822" s="68">
        <f>25.4794* CHOOSE(CONTROL!$C$22, $C$13, 100%, $E$13)</f>
        <v>25.479399999999998</v>
      </c>
      <c r="I822" s="68">
        <f>25.4807 * CHOOSE(CONTROL!$C$22, $C$13, 100%, $E$13)</f>
        <v>25.480699999999999</v>
      </c>
      <c r="J822" s="68">
        <f>15.2267 * CHOOSE(CONTROL!$C$22, $C$13, 100%, $E$13)</f>
        <v>15.226699999999999</v>
      </c>
      <c r="K822" s="68">
        <f>15.228 * CHOOSE(CONTROL!$C$22, $C$13, 100%, $E$13)</f>
        <v>15.228</v>
      </c>
    </row>
    <row r="823" spans="1:11" ht="15">
      <c r="A823" s="13">
        <v>66171</v>
      </c>
      <c r="B823" s="67">
        <f>13.6015 * CHOOSE(CONTROL!$C$22, $C$13, 100%, $E$13)</f>
        <v>13.6015</v>
      </c>
      <c r="C823" s="67">
        <f>13.6015 * CHOOSE(CONTROL!$C$22, $C$13, 100%, $E$13)</f>
        <v>13.6015</v>
      </c>
      <c r="D823" s="67">
        <f>13.6025 * CHOOSE(CONTROL!$C$22, $C$13, 100%, $E$13)</f>
        <v>13.602499999999999</v>
      </c>
      <c r="E823" s="68">
        <f>15.4411 * CHOOSE(CONTROL!$C$22, $C$13, 100%, $E$13)</f>
        <v>15.4411</v>
      </c>
      <c r="F823" s="68">
        <f>15.4411 * CHOOSE(CONTROL!$C$22, $C$13, 100%, $E$13)</f>
        <v>15.4411</v>
      </c>
      <c r="G823" s="68">
        <f>15.4424 * CHOOSE(CONTROL!$C$22, $C$13, 100%, $E$13)</f>
        <v>15.442399999999999</v>
      </c>
      <c r="H823" s="68">
        <f>25.5325* CHOOSE(CONTROL!$C$22, $C$13, 100%, $E$13)</f>
        <v>25.532499999999999</v>
      </c>
      <c r="I823" s="68">
        <f>25.5338 * CHOOSE(CONTROL!$C$22, $C$13, 100%, $E$13)</f>
        <v>25.533799999999999</v>
      </c>
      <c r="J823" s="68">
        <f>15.4411 * CHOOSE(CONTROL!$C$22, $C$13, 100%, $E$13)</f>
        <v>15.4411</v>
      </c>
      <c r="K823" s="68">
        <f>15.4424 * CHOOSE(CONTROL!$C$22, $C$13, 100%, $E$13)</f>
        <v>15.442399999999999</v>
      </c>
    </row>
    <row r="824" spans="1:11" ht="15">
      <c r="A824" s="13">
        <v>66202</v>
      </c>
      <c r="B824" s="67">
        <f>13.6072 * CHOOSE(CONTROL!$C$22, $C$13, 100%, $E$13)</f>
        <v>13.607200000000001</v>
      </c>
      <c r="C824" s="67">
        <f>13.6072 * CHOOSE(CONTROL!$C$22, $C$13, 100%, $E$13)</f>
        <v>13.607200000000001</v>
      </c>
      <c r="D824" s="67">
        <f>13.6082 * CHOOSE(CONTROL!$C$22, $C$13, 100%, $E$13)</f>
        <v>13.6082</v>
      </c>
      <c r="E824" s="68">
        <f>15.6695 * CHOOSE(CONTROL!$C$22, $C$13, 100%, $E$13)</f>
        <v>15.669499999999999</v>
      </c>
      <c r="F824" s="68">
        <f>15.6695 * CHOOSE(CONTROL!$C$22, $C$13, 100%, $E$13)</f>
        <v>15.669499999999999</v>
      </c>
      <c r="G824" s="68">
        <f>15.6708 * CHOOSE(CONTROL!$C$22, $C$13, 100%, $E$13)</f>
        <v>15.6708</v>
      </c>
      <c r="H824" s="68">
        <f>25.5857* CHOOSE(CONTROL!$C$22, $C$13, 100%, $E$13)</f>
        <v>25.585699999999999</v>
      </c>
      <c r="I824" s="68">
        <f>25.587 * CHOOSE(CONTROL!$C$22, $C$13, 100%, $E$13)</f>
        <v>25.587</v>
      </c>
      <c r="J824" s="68">
        <f>15.6695 * CHOOSE(CONTROL!$C$22, $C$13, 100%, $E$13)</f>
        <v>15.669499999999999</v>
      </c>
      <c r="K824" s="68">
        <f>15.6708 * CHOOSE(CONTROL!$C$22, $C$13, 100%, $E$13)</f>
        <v>15.6708</v>
      </c>
    </row>
    <row r="825" spans="1:11" ht="15">
      <c r="A825" s="13">
        <v>66232</v>
      </c>
      <c r="B825" s="67">
        <f>13.6072 * CHOOSE(CONTROL!$C$22, $C$13, 100%, $E$13)</f>
        <v>13.607200000000001</v>
      </c>
      <c r="C825" s="67">
        <f>13.6072 * CHOOSE(CONTROL!$C$22, $C$13, 100%, $E$13)</f>
        <v>13.607200000000001</v>
      </c>
      <c r="D825" s="67">
        <f>13.6098 * CHOOSE(CONTROL!$C$22, $C$13, 100%, $E$13)</f>
        <v>13.6098</v>
      </c>
      <c r="E825" s="68">
        <f>15.7567 * CHOOSE(CONTROL!$C$22, $C$13, 100%, $E$13)</f>
        <v>15.7567</v>
      </c>
      <c r="F825" s="68">
        <f>15.7567 * CHOOSE(CONTROL!$C$22, $C$13, 100%, $E$13)</f>
        <v>15.7567</v>
      </c>
      <c r="G825" s="68">
        <f>15.76 * CHOOSE(CONTROL!$C$22, $C$13, 100%, $E$13)</f>
        <v>15.76</v>
      </c>
      <c r="H825" s="68">
        <f>25.639* CHOOSE(CONTROL!$C$22, $C$13, 100%, $E$13)</f>
        <v>25.638999999999999</v>
      </c>
      <c r="I825" s="68">
        <f>25.6422 * CHOOSE(CONTROL!$C$22, $C$13, 100%, $E$13)</f>
        <v>25.642199999999999</v>
      </c>
      <c r="J825" s="68">
        <f>15.7567 * CHOOSE(CONTROL!$C$22, $C$13, 100%, $E$13)</f>
        <v>15.7567</v>
      </c>
      <c r="K825" s="68">
        <f>15.76 * CHOOSE(CONTROL!$C$22, $C$13, 100%, $E$13)</f>
        <v>15.76</v>
      </c>
    </row>
    <row r="826" spans="1:11" ht="15">
      <c r="A826" s="13">
        <v>66263</v>
      </c>
      <c r="B826" s="67">
        <f>13.6133 * CHOOSE(CONTROL!$C$22, $C$13, 100%, $E$13)</f>
        <v>13.613300000000001</v>
      </c>
      <c r="C826" s="67">
        <f>13.6133 * CHOOSE(CONTROL!$C$22, $C$13, 100%, $E$13)</f>
        <v>13.613300000000001</v>
      </c>
      <c r="D826" s="67">
        <f>13.6159 * CHOOSE(CONTROL!$C$22, $C$13, 100%, $E$13)</f>
        <v>13.6159</v>
      </c>
      <c r="E826" s="68">
        <f>15.6737 * CHOOSE(CONTROL!$C$22, $C$13, 100%, $E$13)</f>
        <v>15.6737</v>
      </c>
      <c r="F826" s="68">
        <f>15.6737 * CHOOSE(CONTROL!$C$22, $C$13, 100%, $E$13)</f>
        <v>15.6737</v>
      </c>
      <c r="G826" s="68">
        <f>15.677 * CHOOSE(CONTROL!$C$22, $C$13, 100%, $E$13)</f>
        <v>15.677</v>
      </c>
      <c r="H826" s="68">
        <f>25.6924* CHOOSE(CONTROL!$C$22, $C$13, 100%, $E$13)</f>
        <v>25.692399999999999</v>
      </c>
      <c r="I826" s="68">
        <f>25.6956 * CHOOSE(CONTROL!$C$22, $C$13, 100%, $E$13)</f>
        <v>25.695599999999999</v>
      </c>
      <c r="J826" s="68">
        <f>15.6737 * CHOOSE(CONTROL!$C$22, $C$13, 100%, $E$13)</f>
        <v>15.6737</v>
      </c>
      <c r="K826" s="68">
        <f>15.677 * CHOOSE(CONTROL!$C$22, $C$13, 100%, $E$13)</f>
        <v>15.677</v>
      </c>
    </row>
    <row r="827" spans="1:11" ht="15">
      <c r="A827" s="13">
        <v>66293</v>
      </c>
      <c r="B827" s="67">
        <f>13.8201 * CHOOSE(CONTROL!$C$22, $C$13, 100%, $E$13)</f>
        <v>13.8201</v>
      </c>
      <c r="C827" s="67">
        <f>13.8201 * CHOOSE(CONTROL!$C$22, $C$13, 100%, $E$13)</f>
        <v>13.8201</v>
      </c>
      <c r="D827" s="67">
        <f>13.8227 * CHOOSE(CONTROL!$C$22, $C$13, 100%, $E$13)</f>
        <v>13.822699999999999</v>
      </c>
      <c r="E827" s="68">
        <f>15.9233 * CHOOSE(CONTROL!$C$22, $C$13, 100%, $E$13)</f>
        <v>15.923299999999999</v>
      </c>
      <c r="F827" s="68">
        <f>15.9233 * CHOOSE(CONTROL!$C$22, $C$13, 100%, $E$13)</f>
        <v>15.923299999999999</v>
      </c>
      <c r="G827" s="68">
        <f>15.9266 * CHOOSE(CONTROL!$C$22, $C$13, 100%, $E$13)</f>
        <v>15.926600000000001</v>
      </c>
      <c r="H827" s="68">
        <f>25.7459* CHOOSE(CONTROL!$C$22, $C$13, 100%, $E$13)</f>
        <v>25.745899999999999</v>
      </c>
      <c r="I827" s="68">
        <f>25.7492 * CHOOSE(CONTROL!$C$22, $C$13, 100%, $E$13)</f>
        <v>25.749199999999998</v>
      </c>
      <c r="J827" s="68">
        <f>15.9233 * CHOOSE(CONTROL!$C$22, $C$13, 100%, $E$13)</f>
        <v>15.923299999999999</v>
      </c>
      <c r="K827" s="68">
        <f>15.9266 * CHOOSE(CONTROL!$C$22, $C$13, 100%, $E$13)</f>
        <v>15.926600000000001</v>
      </c>
    </row>
    <row r="828" spans="1:11" ht="15">
      <c r="A828" s="13">
        <v>66324</v>
      </c>
      <c r="B828" s="67">
        <f>13.8268 * CHOOSE(CONTROL!$C$22, $C$13, 100%, $E$13)</f>
        <v>13.8268</v>
      </c>
      <c r="C828" s="67">
        <f>13.8268 * CHOOSE(CONTROL!$C$22, $C$13, 100%, $E$13)</f>
        <v>13.8268</v>
      </c>
      <c r="D828" s="67">
        <f>13.8294 * CHOOSE(CONTROL!$C$22, $C$13, 100%, $E$13)</f>
        <v>13.8294</v>
      </c>
      <c r="E828" s="68">
        <f>15.6663 * CHOOSE(CONTROL!$C$22, $C$13, 100%, $E$13)</f>
        <v>15.6663</v>
      </c>
      <c r="F828" s="68">
        <f>15.6663 * CHOOSE(CONTROL!$C$22, $C$13, 100%, $E$13)</f>
        <v>15.6663</v>
      </c>
      <c r="G828" s="68">
        <f>15.6696 * CHOOSE(CONTROL!$C$22, $C$13, 100%, $E$13)</f>
        <v>15.669600000000001</v>
      </c>
      <c r="H828" s="68">
        <f>25.7995* CHOOSE(CONTROL!$C$22, $C$13, 100%, $E$13)</f>
        <v>25.799499999999998</v>
      </c>
      <c r="I828" s="68">
        <f>25.8028 * CHOOSE(CONTROL!$C$22, $C$13, 100%, $E$13)</f>
        <v>25.802800000000001</v>
      </c>
      <c r="J828" s="68">
        <f>15.6663 * CHOOSE(CONTROL!$C$22, $C$13, 100%, $E$13)</f>
        <v>15.6663</v>
      </c>
      <c r="K828" s="68">
        <f>15.6696 * CHOOSE(CONTROL!$C$22, $C$13, 100%, $E$13)</f>
        <v>15.669600000000001</v>
      </c>
    </row>
    <row r="829" spans="1:11" ht="15">
      <c r="A829" s="13">
        <v>66355</v>
      </c>
      <c r="B829" s="67">
        <f>13.8237 * CHOOSE(CONTROL!$C$22, $C$13, 100%, $E$13)</f>
        <v>13.823700000000001</v>
      </c>
      <c r="C829" s="67">
        <f>13.8237 * CHOOSE(CONTROL!$C$22, $C$13, 100%, $E$13)</f>
        <v>13.823700000000001</v>
      </c>
      <c r="D829" s="67">
        <f>13.8263 * CHOOSE(CONTROL!$C$22, $C$13, 100%, $E$13)</f>
        <v>13.8263</v>
      </c>
      <c r="E829" s="68">
        <f>15.6351 * CHOOSE(CONTROL!$C$22, $C$13, 100%, $E$13)</f>
        <v>15.6351</v>
      </c>
      <c r="F829" s="68">
        <f>15.6351 * CHOOSE(CONTROL!$C$22, $C$13, 100%, $E$13)</f>
        <v>15.6351</v>
      </c>
      <c r="G829" s="68">
        <f>15.6384 * CHOOSE(CONTROL!$C$22, $C$13, 100%, $E$13)</f>
        <v>15.638400000000001</v>
      </c>
      <c r="H829" s="68">
        <f>25.8533* CHOOSE(CONTROL!$C$22, $C$13, 100%, $E$13)</f>
        <v>25.853300000000001</v>
      </c>
      <c r="I829" s="68">
        <f>25.8566 * CHOOSE(CONTROL!$C$22, $C$13, 100%, $E$13)</f>
        <v>25.8566</v>
      </c>
      <c r="J829" s="68">
        <f>15.6351 * CHOOSE(CONTROL!$C$22, $C$13, 100%, $E$13)</f>
        <v>15.6351</v>
      </c>
      <c r="K829" s="68">
        <f>15.6384 * CHOOSE(CONTROL!$C$22, $C$13, 100%, $E$13)</f>
        <v>15.638400000000001</v>
      </c>
    </row>
    <row r="830" spans="1:11" ht="15">
      <c r="A830" s="13">
        <v>66385</v>
      </c>
      <c r="B830" s="67">
        <f>13.8504 * CHOOSE(CONTROL!$C$22, $C$13, 100%, $E$13)</f>
        <v>13.8504</v>
      </c>
      <c r="C830" s="67">
        <f>13.8504 * CHOOSE(CONTROL!$C$22, $C$13, 100%, $E$13)</f>
        <v>13.8504</v>
      </c>
      <c r="D830" s="67">
        <f>13.8514 * CHOOSE(CONTROL!$C$22, $C$13, 100%, $E$13)</f>
        <v>13.8514</v>
      </c>
      <c r="E830" s="68">
        <f>15.738 * CHOOSE(CONTROL!$C$22, $C$13, 100%, $E$13)</f>
        <v>15.738</v>
      </c>
      <c r="F830" s="68">
        <f>15.738 * CHOOSE(CONTROL!$C$22, $C$13, 100%, $E$13)</f>
        <v>15.738</v>
      </c>
      <c r="G830" s="68">
        <f>15.7393 * CHOOSE(CONTROL!$C$22, $C$13, 100%, $E$13)</f>
        <v>15.7393</v>
      </c>
      <c r="H830" s="68">
        <f>25.9072* CHOOSE(CONTROL!$C$22, $C$13, 100%, $E$13)</f>
        <v>25.9072</v>
      </c>
      <c r="I830" s="68">
        <f>25.9084 * CHOOSE(CONTROL!$C$22, $C$13, 100%, $E$13)</f>
        <v>25.9084</v>
      </c>
      <c r="J830" s="68">
        <f>15.738 * CHOOSE(CONTROL!$C$22, $C$13, 100%, $E$13)</f>
        <v>15.738</v>
      </c>
      <c r="K830" s="68">
        <f>15.7393 * CHOOSE(CONTROL!$C$22, $C$13, 100%, $E$13)</f>
        <v>15.7393</v>
      </c>
    </row>
    <row r="831" spans="1:11" ht="15">
      <c r="A831" s="13">
        <v>66416</v>
      </c>
      <c r="B831" s="67">
        <f>13.8535 * CHOOSE(CONTROL!$C$22, $C$13, 100%, $E$13)</f>
        <v>13.8535</v>
      </c>
      <c r="C831" s="67">
        <f>13.8535 * CHOOSE(CONTROL!$C$22, $C$13, 100%, $E$13)</f>
        <v>13.8535</v>
      </c>
      <c r="D831" s="67">
        <f>13.8544 * CHOOSE(CONTROL!$C$22, $C$13, 100%, $E$13)</f>
        <v>13.8544</v>
      </c>
      <c r="E831" s="68">
        <f>15.7983 * CHOOSE(CONTROL!$C$22, $C$13, 100%, $E$13)</f>
        <v>15.798299999999999</v>
      </c>
      <c r="F831" s="68">
        <f>15.7983 * CHOOSE(CONTROL!$C$22, $C$13, 100%, $E$13)</f>
        <v>15.798299999999999</v>
      </c>
      <c r="G831" s="68">
        <f>15.7996 * CHOOSE(CONTROL!$C$22, $C$13, 100%, $E$13)</f>
        <v>15.7996</v>
      </c>
      <c r="H831" s="68">
        <f>25.9611* CHOOSE(CONTROL!$C$22, $C$13, 100%, $E$13)</f>
        <v>25.961099999999998</v>
      </c>
      <c r="I831" s="68">
        <f>25.9624 * CHOOSE(CONTROL!$C$22, $C$13, 100%, $E$13)</f>
        <v>25.962399999999999</v>
      </c>
      <c r="J831" s="68">
        <f>15.7983 * CHOOSE(CONTROL!$C$22, $C$13, 100%, $E$13)</f>
        <v>15.798299999999999</v>
      </c>
      <c r="K831" s="68">
        <f>15.7996 * CHOOSE(CONTROL!$C$22, $C$13, 100%, $E$13)</f>
        <v>15.7996</v>
      </c>
    </row>
    <row r="832" spans="1:11" ht="15">
      <c r="A832" s="13">
        <v>66446</v>
      </c>
      <c r="B832" s="67">
        <f>13.8535 * CHOOSE(CONTROL!$C$22, $C$13, 100%, $E$13)</f>
        <v>13.8535</v>
      </c>
      <c r="C832" s="67">
        <f>13.8535 * CHOOSE(CONTROL!$C$22, $C$13, 100%, $E$13)</f>
        <v>13.8535</v>
      </c>
      <c r="D832" s="67">
        <f>13.8544 * CHOOSE(CONTROL!$C$22, $C$13, 100%, $E$13)</f>
        <v>13.8544</v>
      </c>
      <c r="E832" s="68">
        <f>15.6529 * CHOOSE(CONTROL!$C$22, $C$13, 100%, $E$13)</f>
        <v>15.652900000000001</v>
      </c>
      <c r="F832" s="68">
        <f>15.6529 * CHOOSE(CONTROL!$C$22, $C$13, 100%, $E$13)</f>
        <v>15.652900000000001</v>
      </c>
      <c r="G832" s="68">
        <f>15.6542 * CHOOSE(CONTROL!$C$22, $C$13, 100%, $E$13)</f>
        <v>15.654199999999999</v>
      </c>
      <c r="H832" s="68">
        <f>26.0152* CHOOSE(CONTROL!$C$22, $C$13, 100%, $E$13)</f>
        <v>26.0152</v>
      </c>
      <c r="I832" s="68">
        <f>26.0165 * CHOOSE(CONTROL!$C$22, $C$13, 100%, $E$13)</f>
        <v>26.016500000000001</v>
      </c>
      <c r="J832" s="68">
        <f>15.6529 * CHOOSE(CONTROL!$C$22, $C$13, 100%, $E$13)</f>
        <v>15.652900000000001</v>
      </c>
      <c r="K832" s="68">
        <f>15.6542 * CHOOSE(CONTROL!$C$22, $C$13, 100%, $E$13)</f>
        <v>15.654199999999999</v>
      </c>
    </row>
    <row r="833" spans="1:11" ht="15">
      <c r="A833" s="13">
        <v>66477</v>
      </c>
      <c r="B833" s="67">
        <f>13.8432 * CHOOSE(CONTROL!$C$22, $C$13, 100%, $E$13)</f>
        <v>13.8432</v>
      </c>
      <c r="C833" s="67">
        <f>13.8432 * CHOOSE(CONTROL!$C$22, $C$13, 100%, $E$13)</f>
        <v>13.8432</v>
      </c>
      <c r="D833" s="67">
        <f>13.8441 * CHOOSE(CONTROL!$C$22, $C$13, 100%, $E$13)</f>
        <v>13.844099999999999</v>
      </c>
      <c r="E833" s="68">
        <f>15.7582 * CHOOSE(CONTROL!$C$22, $C$13, 100%, $E$13)</f>
        <v>15.7582</v>
      </c>
      <c r="F833" s="68">
        <f>15.7582 * CHOOSE(CONTROL!$C$22, $C$13, 100%, $E$13)</f>
        <v>15.7582</v>
      </c>
      <c r="G833" s="68">
        <f>15.7595 * CHOOSE(CONTROL!$C$22, $C$13, 100%, $E$13)</f>
        <v>15.759499999999999</v>
      </c>
      <c r="H833" s="68">
        <f>25.8534* CHOOSE(CONTROL!$C$22, $C$13, 100%, $E$13)</f>
        <v>25.853400000000001</v>
      </c>
      <c r="I833" s="68">
        <f>25.8547 * CHOOSE(CONTROL!$C$22, $C$13, 100%, $E$13)</f>
        <v>25.854700000000001</v>
      </c>
      <c r="J833" s="68">
        <f>15.7582 * CHOOSE(CONTROL!$C$22, $C$13, 100%, $E$13)</f>
        <v>15.7582</v>
      </c>
      <c r="K833" s="68">
        <f>15.7595 * CHOOSE(CONTROL!$C$22, $C$13, 100%, $E$13)</f>
        <v>15.759499999999999</v>
      </c>
    </row>
    <row r="834" spans="1:11" ht="15">
      <c r="A834" s="13">
        <v>66508</v>
      </c>
      <c r="B834" s="67">
        <f>13.8401 * CHOOSE(CONTROL!$C$22, $C$13, 100%, $E$13)</f>
        <v>13.8401</v>
      </c>
      <c r="C834" s="67">
        <f>13.8401 * CHOOSE(CONTROL!$C$22, $C$13, 100%, $E$13)</f>
        <v>13.8401</v>
      </c>
      <c r="D834" s="67">
        <f>13.8411 * CHOOSE(CONTROL!$C$22, $C$13, 100%, $E$13)</f>
        <v>13.841100000000001</v>
      </c>
      <c r="E834" s="68">
        <f>15.4765 * CHOOSE(CONTROL!$C$22, $C$13, 100%, $E$13)</f>
        <v>15.4765</v>
      </c>
      <c r="F834" s="68">
        <f>15.4765 * CHOOSE(CONTROL!$C$22, $C$13, 100%, $E$13)</f>
        <v>15.4765</v>
      </c>
      <c r="G834" s="68">
        <f>15.4777 * CHOOSE(CONTROL!$C$22, $C$13, 100%, $E$13)</f>
        <v>15.4777</v>
      </c>
      <c r="H834" s="68">
        <f>25.9073* CHOOSE(CONTROL!$C$22, $C$13, 100%, $E$13)</f>
        <v>25.907299999999999</v>
      </c>
      <c r="I834" s="68">
        <f>25.9086 * CHOOSE(CONTROL!$C$22, $C$13, 100%, $E$13)</f>
        <v>25.9086</v>
      </c>
      <c r="J834" s="68">
        <f>15.4765 * CHOOSE(CONTROL!$C$22, $C$13, 100%, $E$13)</f>
        <v>15.4765</v>
      </c>
      <c r="K834" s="68">
        <f>15.4777 * CHOOSE(CONTROL!$C$22, $C$13, 100%, $E$13)</f>
        <v>15.4777</v>
      </c>
    </row>
    <row r="835" spans="1:11" ht="15">
      <c r="A835" s="13">
        <v>66536</v>
      </c>
      <c r="B835" s="67">
        <f>13.8371 * CHOOSE(CONTROL!$C$22, $C$13, 100%, $E$13)</f>
        <v>13.8371</v>
      </c>
      <c r="C835" s="67">
        <f>13.8371 * CHOOSE(CONTROL!$C$22, $C$13, 100%, $E$13)</f>
        <v>13.8371</v>
      </c>
      <c r="D835" s="67">
        <f>13.8381 * CHOOSE(CONTROL!$C$22, $C$13, 100%, $E$13)</f>
        <v>13.838100000000001</v>
      </c>
      <c r="E835" s="68">
        <f>15.6948 * CHOOSE(CONTROL!$C$22, $C$13, 100%, $E$13)</f>
        <v>15.694800000000001</v>
      </c>
      <c r="F835" s="68">
        <f>15.6948 * CHOOSE(CONTROL!$C$22, $C$13, 100%, $E$13)</f>
        <v>15.694800000000001</v>
      </c>
      <c r="G835" s="68">
        <f>15.6961 * CHOOSE(CONTROL!$C$22, $C$13, 100%, $E$13)</f>
        <v>15.696099999999999</v>
      </c>
      <c r="H835" s="68">
        <f>25.9613* CHOOSE(CONTROL!$C$22, $C$13, 100%, $E$13)</f>
        <v>25.961300000000001</v>
      </c>
      <c r="I835" s="68">
        <f>25.9626 * CHOOSE(CONTROL!$C$22, $C$13, 100%, $E$13)</f>
        <v>25.962599999999998</v>
      </c>
      <c r="J835" s="68">
        <f>15.6948 * CHOOSE(CONTROL!$C$22, $C$13, 100%, $E$13)</f>
        <v>15.694800000000001</v>
      </c>
      <c r="K835" s="68">
        <f>15.6961 * CHOOSE(CONTROL!$C$22, $C$13, 100%, $E$13)</f>
        <v>15.696099999999999</v>
      </c>
    </row>
    <row r="836" spans="1:11" ht="15">
      <c r="A836" s="13">
        <v>66567</v>
      </c>
      <c r="B836" s="67">
        <f>13.843 * CHOOSE(CONTROL!$C$22, $C$13, 100%, $E$13)</f>
        <v>13.843</v>
      </c>
      <c r="C836" s="67">
        <f>13.843 * CHOOSE(CONTROL!$C$22, $C$13, 100%, $E$13)</f>
        <v>13.843</v>
      </c>
      <c r="D836" s="67">
        <f>13.844 * CHOOSE(CONTROL!$C$22, $C$13, 100%, $E$13)</f>
        <v>13.843999999999999</v>
      </c>
      <c r="E836" s="68">
        <f>15.9273 * CHOOSE(CONTROL!$C$22, $C$13, 100%, $E$13)</f>
        <v>15.927300000000001</v>
      </c>
      <c r="F836" s="68">
        <f>15.9273 * CHOOSE(CONTROL!$C$22, $C$13, 100%, $E$13)</f>
        <v>15.927300000000001</v>
      </c>
      <c r="G836" s="68">
        <f>15.9286 * CHOOSE(CONTROL!$C$22, $C$13, 100%, $E$13)</f>
        <v>15.928599999999999</v>
      </c>
      <c r="H836" s="68">
        <f>26.0154* CHOOSE(CONTROL!$C$22, $C$13, 100%, $E$13)</f>
        <v>26.0154</v>
      </c>
      <c r="I836" s="68">
        <f>26.0166 * CHOOSE(CONTROL!$C$22, $C$13, 100%, $E$13)</f>
        <v>26.0166</v>
      </c>
      <c r="J836" s="68">
        <f>15.9273 * CHOOSE(CONTROL!$C$22, $C$13, 100%, $E$13)</f>
        <v>15.927300000000001</v>
      </c>
      <c r="K836" s="68">
        <f>15.9286 * CHOOSE(CONTROL!$C$22, $C$13, 100%, $E$13)</f>
        <v>15.928599999999999</v>
      </c>
    </row>
    <row r="837" spans="1:11" ht="15">
      <c r="A837" s="13">
        <v>66597</v>
      </c>
      <c r="B837" s="67">
        <f>13.843 * CHOOSE(CONTROL!$C$22, $C$13, 100%, $E$13)</f>
        <v>13.843</v>
      </c>
      <c r="C837" s="67">
        <f>13.843 * CHOOSE(CONTROL!$C$22, $C$13, 100%, $E$13)</f>
        <v>13.843</v>
      </c>
      <c r="D837" s="67">
        <f>13.8456 * CHOOSE(CONTROL!$C$22, $C$13, 100%, $E$13)</f>
        <v>13.845599999999999</v>
      </c>
      <c r="E837" s="68">
        <f>16.0161 * CHOOSE(CONTROL!$C$22, $C$13, 100%, $E$13)</f>
        <v>16.016100000000002</v>
      </c>
      <c r="F837" s="68">
        <f>16.0161 * CHOOSE(CONTROL!$C$22, $C$13, 100%, $E$13)</f>
        <v>16.016100000000002</v>
      </c>
      <c r="G837" s="68">
        <f>16.0194 * CHOOSE(CONTROL!$C$22, $C$13, 100%, $E$13)</f>
        <v>16.019400000000001</v>
      </c>
      <c r="H837" s="68">
        <f>26.0696* CHOOSE(CONTROL!$C$22, $C$13, 100%, $E$13)</f>
        <v>26.069600000000001</v>
      </c>
      <c r="I837" s="68">
        <f>26.0728 * CHOOSE(CONTROL!$C$22, $C$13, 100%, $E$13)</f>
        <v>26.072800000000001</v>
      </c>
      <c r="J837" s="68">
        <f>16.0161 * CHOOSE(CONTROL!$C$22, $C$13, 100%, $E$13)</f>
        <v>16.016100000000002</v>
      </c>
      <c r="K837" s="68">
        <f>16.0194 * CHOOSE(CONTROL!$C$22, $C$13, 100%, $E$13)</f>
        <v>16.019400000000001</v>
      </c>
    </row>
    <row r="838" spans="1:11" ht="15">
      <c r="A838" s="13">
        <v>66628</v>
      </c>
      <c r="B838" s="67">
        <f>13.8491 * CHOOSE(CONTROL!$C$22, $C$13, 100%, $E$13)</f>
        <v>13.8491</v>
      </c>
      <c r="C838" s="67">
        <f>13.8491 * CHOOSE(CONTROL!$C$22, $C$13, 100%, $E$13)</f>
        <v>13.8491</v>
      </c>
      <c r="D838" s="67">
        <f>13.8517 * CHOOSE(CONTROL!$C$22, $C$13, 100%, $E$13)</f>
        <v>13.851699999999999</v>
      </c>
      <c r="E838" s="68">
        <f>15.9316 * CHOOSE(CONTROL!$C$22, $C$13, 100%, $E$13)</f>
        <v>15.9316</v>
      </c>
      <c r="F838" s="68">
        <f>15.9316 * CHOOSE(CONTROL!$C$22, $C$13, 100%, $E$13)</f>
        <v>15.9316</v>
      </c>
      <c r="G838" s="68">
        <f>15.9348 * CHOOSE(CONTROL!$C$22, $C$13, 100%, $E$13)</f>
        <v>15.934799999999999</v>
      </c>
      <c r="H838" s="68">
        <f>26.1239* CHOOSE(CONTROL!$C$22, $C$13, 100%, $E$13)</f>
        <v>26.123899999999999</v>
      </c>
      <c r="I838" s="68">
        <f>26.1271 * CHOOSE(CONTROL!$C$22, $C$13, 100%, $E$13)</f>
        <v>26.127099999999999</v>
      </c>
      <c r="J838" s="68">
        <f>15.9316 * CHOOSE(CONTROL!$C$22, $C$13, 100%, $E$13)</f>
        <v>15.9316</v>
      </c>
      <c r="K838" s="68">
        <f>15.9348 * CHOOSE(CONTROL!$C$22, $C$13, 100%, $E$13)</f>
        <v>15.934799999999999</v>
      </c>
    </row>
    <row r="839" spans="1:11" ht="15">
      <c r="A839" s="13">
        <v>66658</v>
      </c>
      <c r="B839" s="67">
        <f>14.0592 * CHOOSE(CONTROL!$C$22, $C$13, 100%, $E$13)</f>
        <v>14.059200000000001</v>
      </c>
      <c r="C839" s="67">
        <f>14.0592 * CHOOSE(CONTROL!$C$22, $C$13, 100%, $E$13)</f>
        <v>14.059200000000001</v>
      </c>
      <c r="D839" s="67">
        <f>14.0619 * CHOOSE(CONTROL!$C$22, $C$13, 100%, $E$13)</f>
        <v>14.0619</v>
      </c>
      <c r="E839" s="68">
        <f>16.1851 * CHOOSE(CONTROL!$C$22, $C$13, 100%, $E$13)</f>
        <v>16.185099999999998</v>
      </c>
      <c r="F839" s="68">
        <f>16.1851 * CHOOSE(CONTROL!$C$22, $C$13, 100%, $E$13)</f>
        <v>16.185099999999998</v>
      </c>
      <c r="G839" s="68">
        <f>16.1884 * CHOOSE(CONTROL!$C$22, $C$13, 100%, $E$13)</f>
        <v>16.188400000000001</v>
      </c>
      <c r="H839" s="68">
        <f>26.1783* CHOOSE(CONTROL!$C$22, $C$13, 100%, $E$13)</f>
        <v>26.1783</v>
      </c>
      <c r="I839" s="68">
        <f>26.1816 * CHOOSE(CONTROL!$C$22, $C$13, 100%, $E$13)</f>
        <v>26.1816</v>
      </c>
      <c r="J839" s="68">
        <f>16.1851 * CHOOSE(CONTROL!$C$22, $C$13, 100%, $E$13)</f>
        <v>16.185099999999998</v>
      </c>
      <c r="K839" s="68">
        <f>16.1884 * CHOOSE(CONTROL!$C$22, $C$13, 100%, $E$13)</f>
        <v>16.188400000000001</v>
      </c>
    </row>
    <row r="840" spans="1:11" ht="15">
      <c r="A840" s="13">
        <v>66689</v>
      </c>
      <c r="B840" s="67">
        <f>14.0659 * CHOOSE(CONTROL!$C$22, $C$13, 100%, $E$13)</f>
        <v>14.065899999999999</v>
      </c>
      <c r="C840" s="67">
        <f>14.0659 * CHOOSE(CONTROL!$C$22, $C$13, 100%, $E$13)</f>
        <v>14.065899999999999</v>
      </c>
      <c r="D840" s="67">
        <f>14.0685 * CHOOSE(CONTROL!$C$22, $C$13, 100%, $E$13)</f>
        <v>14.0685</v>
      </c>
      <c r="E840" s="68">
        <f>15.9234 * CHOOSE(CONTROL!$C$22, $C$13, 100%, $E$13)</f>
        <v>15.923400000000001</v>
      </c>
      <c r="F840" s="68">
        <f>15.9234 * CHOOSE(CONTROL!$C$22, $C$13, 100%, $E$13)</f>
        <v>15.923400000000001</v>
      </c>
      <c r="G840" s="68">
        <f>15.9267 * CHOOSE(CONTROL!$C$22, $C$13, 100%, $E$13)</f>
        <v>15.9267</v>
      </c>
      <c r="H840" s="68">
        <f>26.2328* CHOOSE(CONTROL!$C$22, $C$13, 100%, $E$13)</f>
        <v>26.232800000000001</v>
      </c>
      <c r="I840" s="68">
        <f>26.2361 * CHOOSE(CONTROL!$C$22, $C$13, 100%, $E$13)</f>
        <v>26.2361</v>
      </c>
      <c r="J840" s="68">
        <f>15.9234 * CHOOSE(CONTROL!$C$22, $C$13, 100%, $E$13)</f>
        <v>15.923400000000001</v>
      </c>
      <c r="K840" s="68">
        <f>15.9267 * CHOOSE(CONTROL!$C$22, $C$13, 100%, $E$13)</f>
        <v>15.9267</v>
      </c>
    </row>
    <row r="841" spans="1:11" ht="15">
      <c r="A841" s="13">
        <v>66720</v>
      </c>
      <c r="B841" s="67">
        <f>14.0629 * CHOOSE(CONTROL!$C$22, $C$13, 100%, $E$13)</f>
        <v>14.062900000000001</v>
      </c>
      <c r="C841" s="67">
        <f>14.0629 * CHOOSE(CONTROL!$C$22, $C$13, 100%, $E$13)</f>
        <v>14.062900000000001</v>
      </c>
      <c r="D841" s="67">
        <f>14.0655 * CHOOSE(CONTROL!$C$22, $C$13, 100%, $E$13)</f>
        <v>14.0655</v>
      </c>
      <c r="E841" s="68">
        <f>15.8917 * CHOOSE(CONTROL!$C$22, $C$13, 100%, $E$13)</f>
        <v>15.8917</v>
      </c>
      <c r="F841" s="68">
        <f>15.8917 * CHOOSE(CONTROL!$C$22, $C$13, 100%, $E$13)</f>
        <v>15.8917</v>
      </c>
      <c r="G841" s="68">
        <f>15.8949 * CHOOSE(CONTROL!$C$22, $C$13, 100%, $E$13)</f>
        <v>15.8949</v>
      </c>
      <c r="H841" s="68">
        <f>26.2875* CHOOSE(CONTROL!$C$22, $C$13, 100%, $E$13)</f>
        <v>26.287500000000001</v>
      </c>
      <c r="I841" s="68">
        <f>26.2907 * CHOOSE(CONTROL!$C$22, $C$13, 100%, $E$13)</f>
        <v>26.290700000000001</v>
      </c>
      <c r="J841" s="68">
        <f>15.8917 * CHOOSE(CONTROL!$C$22, $C$13, 100%, $E$13)</f>
        <v>15.8917</v>
      </c>
      <c r="K841" s="68">
        <f>15.8949 * CHOOSE(CONTROL!$C$22, $C$13, 100%, $E$13)</f>
        <v>15.8949</v>
      </c>
    </row>
    <row r="842" spans="1:11" ht="15">
      <c r="A842" s="13">
        <v>66750</v>
      </c>
      <c r="B842" s="67">
        <f>14.0904 * CHOOSE(CONTROL!$C$22, $C$13, 100%, $E$13)</f>
        <v>14.090400000000001</v>
      </c>
      <c r="C842" s="67">
        <f>14.0904 * CHOOSE(CONTROL!$C$22, $C$13, 100%, $E$13)</f>
        <v>14.090400000000001</v>
      </c>
      <c r="D842" s="67">
        <f>14.0913 * CHOOSE(CONTROL!$C$22, $C$13, 100%, $E$13)</f>
        <v>14.0913</v>
      </c>
      <c r="E842" s="68">
        <f>15.9967 * CHOOSE(CONTROL!$C$22, $C$13, 100%, $E$13)</f>
        <v>15.996700000000001</v>
      </c>
      <c r="F842" s="68">
        <f>15.9967 * CHOOSE(CONTROL!$C$22, $C$13, 100%, $E$13)</f>
        <v>15.996700000000001</v>
      </c>
      <c r="G842" s="68">
        <f>15.9979 * CHOOSE(CONTROL!$C$22, $C$13, 100%, $E$13)</f>
        <v>15.9979</v>
      </c>
      <c r="H842" s="68">
        <f>26.3423* CHOOSE(CONTROL!$C$22, $C$13, 100%, $E$13)</f>
        <v>26.342300000000002</v>
      </c>
      <c r="I842" s="68">
        <f>26.3435 * CHOOSE(CONTROL!$C$22, $C$13, 100%, $E$13)</f>
        <v>26.343499999999999</v>
      </c>
      <c r="J842" s="68">
        <f>15.9967 * CHOOSE(CONTROL!$C$22, $C$13, 100%, $E$13)</f>
        <v>15.996700000000001</v>
      </c>
      <c r="K842" s="68">
        <f>15.9979 * CHOOSE(CONTROL!$C$22, $C$13, 100%, $E$13)</f>
        <v>15.9979</v>
      </c>
    </row>
    <row r="843" spans="1:11" ht="15">
      <c r="A843" s="13">
        <v>66781</v>
      </c>
      <c r="B843" s="67">
        <f>14.0934 * CHOOSE(CONTROL!$C$22, $C$13, 100%, $E$13)</f>
        <v>14.093400000000001</v>
      </c>
      <c r="C843" s="67">
        <f>14.0934 * CHOOSE(CONTROL!$C$22, $C$13, 100%, $E$13)</f>
        <v>14.093400000000001</v>
      </c>
      <c r="D843" s="67">
        <f>14.0944 * CHOOSE(CONTROL!$C$22, $C$13, 100%, $E$13)</f>
        <v>14.0944</v>
      </c>
      <c r="E843" s="68">
        <f>16.058 * CHOOSE(CONTROL!$C$22, $C$13, 100%, $E$13)</f>
        <v>16.058</v>
      </c>
      <c r="F843" s="68">
        <f>16.058 * CHOOSE(CONTROL!$C$22, $C$13, 100%, $E$13)</f>
        <v>16.058</v>
      </c>
      <c r="G843" s="68">
        <f>16.0593 * CHOOSE(CONTROL!$C$22, $C$13, 100%, $E$13)</f>
        <v>16.0593</v>
      </c>
      <c r="H843" s="68">
        <f>26.3971* CHOOSE(CONTROL!$C$22, $C$13, 100%, $E$13)</f>
        <v>26.397099999999998</v>
      </c>
      <c r="I843" s="68">
        <f>26.3984 * CHOOSE(CONTROL!$C$22, $C$13, 100%, $E$13)</f>
        <v>26.398399999999999</v>
      </c>
      <c r="J843" s="68">
        <f>16.058 * CHOOSE(CONTROL!$C$22, $C$13, 100%, $E$13)</f>
        <v>16.058</v>
      </c>
      <c r="K843" s="68">
        <f>16.0593 * CHOOSE(CONTROL!$C$22, $C$13, 100%, $E$13)</f>
        <v>16.0593</v>
      </c>
    </row>
    <row r="844" spans="1:11" ht="15">
      <c r="A844" s="13">
        <v>66811</v>
      </c>
      <c r="B844" s="67">
        <f>14.0934 * CHOOSE(CONTROL!$C$22, $C$13, 100%, $E$13)</f>
        <v>14.093400000000001</v>
      </c>
      <c r="C844" s="67">
        <f>14.0934 * CHOOSE(CONTROL!$C$22, $C$13, 100%, $E$13)</f>
        <v>14.093400000000001</v>
      </c>
      <c r="D844" s="67">
        <f>14.0944 * CHOOSE(CONTROL!$C$22, $C$13, 100%, $E$13)</f>
        <v>14.0944</v>
      </c>
      <c r="E844" s="68">
        <f>15.91 * CHOOSE(CONTROL!$C$22, $C$13, 100%, $E$13)</f>
        <v>15.91</v>
      </c>
      <c r="F844" s="68">
        <f>15.91 * CHOOSE(CONTROL!$C$22, $C$13, 100%, $E$13)</f>
        <v>15.91</v>
      </c>
      <c r="G844" s="68">
        <f>15.9113 * CHOOSE(CONTROL!$C$22, $C$13, 100%, $E$13)</f>
        <v>15.911300000000001</v>
      </c>
      <c r="H844" s="68">
        <f>26.4521* CHOOSE(CONTROL!$C$22, $C$13, 100%, $E$13)</f>
        <v>26.452100000000002</v>
      </c>
      <c r="I844" s="68">
        <f>26.4534 * CHOOSE(CONTROL!$C$22, $C$13, 100%, $E$13)</f>
        <v>26.453399999999998</v>
      </c>
      <c r="J844" s="68">
        <f>15.91 * CHOOSE(CONTROL!$C$22, $C$13, 100%, $E$13)</f>
        <v>15.91</v>
      </c>
      <c r="K844" s="68">
        <f>15.9113 * CHOOSE(CONTROL!$C$22, $C$13, 100%, $E$13)</f>
        <v>15.911300000000001</v>
      </c>
    </row>
    <row r="845" spans="1:11" ht="15">
      <c r="A845" s="13">
        <v>66842</v>
      </c>
      <c r="B845" s="67">
        <f>14.0787 * CHOOSE(CONTROL!$C$22, $C$13, 100%, $E$13)</f>
        <v>14.0787</v>
      </c>
      <c r="C845" s="67">
        <f>14.0787 * CHOOSE(CONTROL!$C$22, $C$13, 100%, $E$13)</f>
        <v>14.0787</v>
      </c>
      <c r="D845" s="67">
        <f>14.0797 * CHOOSE(CONTROL!$C$22, $C$13, 100%, $E$13)</f>
        <v>14.079700000000001</v>
      </c>
      <c r="E845" s="68">
        <f>16.013 * CHOOSE(CONTROL!$C$22, $C$13, 100%, $E$13)</f>
        <v>16.013000000000002</v>
      </c>
      <c r="F845" s="68">
        <f>16.013 * CHOOSE(CONTROL!$C$22, $C$13, 100%, $E$13)</f>
        <v>16.013000000000002</v>
      </c>
      <c r="G845" s="68">
        <f>16.0142 * CHOOSE(CONTROL!$C$22, $C$13, 100%, $E$13)</f>
        <v>16.014199999999999</v>
      </c>
      <c r="H845" s="68">
        <f>26.2805* CHOOSE(CONTROL!$C$22, $C$13, 100%, $E$13)</f>
        <v>26.2805</v>
      </c>
      <c r="I845" s="68">
        <f>26.2817 * CHOOSE(CONTROL!$C$22, $C$13, 100%, $E$13)</f>
        <v>26.281700000000001</v>
      </c>
      <c r="J845" s="68">
        <f>16.013 * CHOOSE(CONTROL!$C$22, $C$13, 100%, $E$13)</f>
        <v>16.013000000000002</v>
      </c>
      <c r="K845" s="68">
        <f>16.0142 * CHOOSE(CONTROL!$C$22, $C$13, 100%, $E$13)</f>
        <v>16.014199999999999</v>
      </c>
    </row>
    <row r="846" spans="1:11" ht="15">
      <c r="A846" s="13">
        <v>66873</v>
      </c>
      <c r="B846" s="67">
        <f>14.0757 * CHOOSE(CONTROL!$C$22, $C$13, 100%, $E$13)</f>
        <v>14.075699999999999</v>
      </c>
      <c r="C846" s="67">
        <f>14.0757 * CHOOSE(CONTROL!$C$22, $C$13, 100%, $E$13)</f>
        <v>14.075699999999999</v>
      </c>
      <c r="D846" s="67">
        <f>14.0767 * CHOOSE(CONTROL!$C$22, $C$13, 100%, $E$13)</f>
        <v>14.076700000000001</v>
      </c>
      <c r="E846" s="68">
        <f>15.7262 * CHOOSE(CONTROL!$C$22, $C$13, 100%, $E$13)</f>
        <v>15.7262</v>
      </c>
      <c r="F846" s="68">
        <f>15.7262 * CHOOSE(CONTROL!$C$22, $C$13, 100%, $E$13)</f>
        <v>15.7262</v>
      </c>
      <c r="G846" s="68">
        <f>15.7275 * CHOOSE(CONTROL!$C$22, $C$13, 100%, $E$13)</f>
        <v>15.727499999999999</v>
      </c>
      <c r="H846" s="68">
        <f>26.3352* CHOOSE(CONTROL!$C$22, $C$13, 100%, $E$13)</f>
        <v>26.3352</v>
      </c>
      <c r="I846" s="68">
        <f>26.3365 * CHOOSE(CONTROL!$C$22, $C$13, 100%, $E$13)</f>
        <v>26.336500000000001</v>
      </c>
      <c r="J846" s="68">
        <f>15.7262 * CHOOSE(CONTROL!$C$22, $C$13, 100%, $E$13)</f>
        <v>15.7262</v>
      </c>
      <c r="K846" s="68">
        <f>15.7275 * CHOOSE(CONTROL!$C$22, $C$13, 100%, $E$13)</f>
        <v>15.727499999999999</v>
      </c>
    </row>
    <row r="847" spans="1:11" ht="15">
      <c r="A847" s="13">
        <v>66901</v>
      </c>
      <c r="B847" s="67">
        <f>14.0727 * CHOOSE(CONTROL!$C$22, $C$13, 100%, $E$13)</f>
        <v>14.072699999999999</v>
      </c>
      <c r="C847" s="67">
        <f>14.0727 * CHOOSE(CONTROL!$C$22, $C$13, 100%, $E$13)</f>
        <v>14.072699999999999</v>
      </c>
      <c r="D847" s="67">
        <f>14.0736 * CHOOSE(CONTROL!$C$22, $C$13, 100%, $E$13)</f>
        <v>14.073600000000001</v>
      </c>
      <c r="E847" s="68">
        <f>15.9485 * CHOOSE(CONTROL!$C$22, $C$13, 100%, $E$13)</f>
        <v>15.948499999999999</v>
      </c>
      <c r="F847" s="68">
        <f>15.9485 * CHOOSE(CONTROL!$C$22, $C$13, 100%, $E$13)</f>
        <v>15.948499999999999</v>
      </c>
      <c r="G847" s="68">
        <f>15.9498 * CHOOSE(CONTROL!$C$22, $C$13, 100%, $E$13)</f>
        <v>15.9498</v>
      </c>
      <c r="H847" s="68">
        <f>26.3901* CHOOSE(CONTROL!$C$22, $C$13, 100%, $E$13)</f>
        <v>26.3901</v>
      </c>
      <c r="I847" s="68">
        <f>26.3914 * CHOOSE(CONTROL!$C$22, $C$13, 100%, $E$13)</f>
        <v>26.391400000000001</v>
      </c>
      <c r="J847" s="68">
        <f>15.9485 * CHOOSE(CONTROL!$C$22, $C$13, 100%, $E$13)</f>
        <v>15.948499999999999</v>
      </c>
      <c r="K847" s="68">
        <f>15.9498 * CHOOSE(CONTROL!$C$22, $C$13, 100%, $E$13)</f>
        <v>15.9498</v>
      </c>
    </row>
    <row r="848" spans="1:11" ht="15">
      <c r="A848" s="13">
        <v>66932</v>
      </c>
      <c r="B848" s="67">
        <f>14.0787 * CHOOSE(CONTROL!$C$22, $C$13, 100%, $E$13)</f>
        <v>14.0787</v>
      </c>
      <c r="C848" s="67">
        <f>14.0787 * CHOOSE(CONTROL!$C$22, $C$13, 100%, $E$13)</f>
        <v>14.0787</v>
      </c>
      <c r="D848" s="67">
        <f>14.0797 * CHOOSE(CONTROL!$C$22, $C$13, 100%, $E$13)</f>
        <v>14.079700000000001</v>
      </c>
      <c r="E848" s="68">
        <f>16.1852 * CHOOSE(CONTROL!$C$22, $C$13, 100%, $E$13)</f>
        <v>16.185199999999998</v>
      </c>
      <c r="F848" s="68">
        <f>16.1852 * CHOOSE(CONTROL!$C$22, $C$13, 100%, $E$13)</f>
        <v>16.185199999999998</v>
      </c>
      <c r="G848" s="68">
        <f>16.1865 * CHOOSE(CONTROL!$C$22, $C$13, 100%, $E$13)</f>
        <v>16.186499999999999</v>
      </c>
      <c r="H848" s="68">
        <f>26.4451* CHOOSE(CONTROL!$C$22, $C$13, 100%, $E$13)</f>
        <v>26.4451</v>
      </c>
      <c r="I848" s="68">
        <f>26.4463 * CHOOSE(CONTROL!$C$22, $C$13, 100%, $E$13)</f>
        <v>26.446300000000001</v>
      </c>
      <c r="J848" s="68">
        <f>16.1852 * CHOOSE(CONTROL!$C$22, $C$13, 100%, $E$13)</f>
        <v>16.185199999999998</v>
      </c>
      <c r="K848" s="68">
        <f>16.1865 * CHOOSE(CONTROL!$C$22, $C$13, 100%, $E$13)</f>
        <v>16.186499999999999</v>
      </c>
    </row>
    <row r="849" spans="1:11" ht="15">
      <c r="A849" s="13">
        <v>66962</v>
      </c>
      <c r="B849" s="67">
        <f>14.0787 * CHOOSE(CONTROL!$C$22, $C$13, 100%, $E$13)</f>
        <v>14.0787</v>
      </c>
      <c r="C849" s="67">
        <f>14.0787 * CHOOSE(CONTROL!$C$22, $C$13, 100%, $E$13)</f>
        <v>14.0787</v>
      </c>
      <c r="D849" s="67">
        <f>14.0814 * CHOOSE(CONTROL!$C$22, $C$13, 100%, $E$13)</f>
        <v>14.0814</v>
      </c>
      <c r="E849" s="68">
        <f>16.2756 * CHOOSE(CONTROL!$C$22, $C$13, 100%, $E$13)</f>
        <v>16.275600000000001</v>
      </c>
      <c r="F849" s="68">
        <f>16.2756 * CHOOSE(CONTROL!$C$22, $C$13, 100%, $E$13)</f>
        <v>16.275600000000001</v>
      </c>
      <c r="G849" s="68">
        <f>16.2788 * CHOOSE(CONTROL!$C$22, $C$13, 100%, $E$13)</f>
        <v>16.2788</v>
      </c>
      <c r="H849" s="68">
        <f>26.5002* CHOOSE(CONTROL!$C$22, $C$13, 100%, $E$13)</f>
        <v>26.5002</v>
      </c>
      <c r="I849" s="68">
        <f>26.5034 * CHOOSE(CONTROL!$C$22, $C$13, 100%, $E$13)</f>
        <v>26.503399999999999</v>
      </c>
      <c r="J849" s="68">
        <f>16.2756 * CHOOSE(CONTROL!$C$22, $C$13, 100%, $E$13)</f>
        <v>16.275600000000001</v>
      </c>
      <c r="K849" s="68">
        <f>16.2788 * CHOOSE(CONTROL!$C$22, $C$13, 100%, $E$13)</f>
        <v>16.2788</v>
      </c>
    </row>
    <row r="850" spans="1:11" ht="15">
      <c r="A850" s="13">
        <v>66993</v>
      </c>
      <c r="B850" s="67">
        <f>14.0848 * CHOOSE(CONTROL!$C$22, $C$13, 100%, $E$13)</f>
        <v>14.0848</v>
      </c>
      <c r="C850" s="67">
        <f>14.0848 * CHOOSE(CONTROL!$C$22, $C$13, 100%, $E$13)</f>
        <v>14.0848</v>
      </c>
      <c r="D850" s="67">
        <f>14.0874 * CHOOSE(CONTROL!$C$22, $C$13, 100%, $E$13)</f>
        <v>14.087400000000001</v>
      </c>
      <c r="E850" s="68">
        <f>16.1894 * CHOOSE(CONTROL!$C$22, $C$13, 100%, $E$13)</f>
        <v>16.189399999999999</v>
      </c>
      <c r="F850" s="68">
        <f>16.1894 * CHOOSE(CONTROL!$C$22, $C$13, 100%, $E$13)</f>
        <v>16.189399999999999</v>
      </c>
      <c r="G850" s="68">
        <f>16.1927 * CHOOSE(CONTROL!$C$22, $C$13, 100%, $E$13)</f>
        <v>16.192699999999999</v>
      </c>
      <c r="H850" s="68">
        <f>26.5554* CHOOSE(CONTROL!$C$22, $C$13, 100%, $E$13)</f>
        <v>26.555399999999999</v>
      </c>
      <c r="I850" s="68">
        <f>26.5586 * CHOOSE(CONTROL!$C$22, $C$13, 100%, $E$13)</f>
        <v>26.558599999999998</v>
      </c>
      <c r="J850" s="68">
        <f>16.1894 * CHOOSE(CONTROL!$C$22, $C$13, 100%, $E$13)</f>
        <v>16.189399999999999</v>
      </c>
      <c r="K850" s="68">
        <f>16.1927 * CHOOSE(CONTROL!$C$22, $C$13, 100%, $E$13)</f>
        <v>16.192699999999999</v>
      </c>
    </row>
    <row r="851" spans="1:11" ht="15">
      <c r="A851" s="13">
        <v>67023</v>
      </c>
      <c r="B851" s="67">
        <f>14.2984 * CHOOSE(CONTROL!$C$22, $C$13, 100%, $E$13)</f>
        <v>14.298400000000001</v>
      </c>
      <c r="C851" s="67">
        <f>14.2984 * CHOOSE(CONTROL!$C$22, $C$13, 100%, $E$13)</f>
        <v>14.298400000000001</v>
      </c>
      <c r="D851" s="67">
        <f>14.301 * CHOOSE(CONTROL!$C$22, $C$13, 100%, $E$13)</f>
        <v>14.301</v>
      </c>
      <c r="E851" s="68">
        <f>16.4469 * CHOOSE(CONTROL!$C$22, $C$13, 100%, $E$13)</f>
        <v>16.446899999999999</v>
      </c>
      <c r="F851" s="68">
        <f>16.4469 * CHOOSE(CONTROL!$C$22, $C$13, 100%, $E$13)</f>
        <v>16.446899999999999</v>
      </c>
      <c r="G851" s="68">
        <f>16.4501 * CHOOSE(CONTROL!$C$22, $C$13, 100%, $E$13)</f>
        <v>16.450099999999999</v>
      </c>
      <c r="H851" s="68">
        <f>26.6107* CHOOSE(CONTROL!$C$22, $C$13, 100%, $E$13)</f>
        <v>26.610700000000001</v>
      </c>
      <c r="I851" s="68">
        <f>26.6139 * CHOOSE(CONTROL!$C$22, $C$13, 100%, $E$13)</f>
        <v>26.613900000000001</v>
      </c>
      <c r="J851" s="68">
        <f>16.4469 * CHOOSE(CONTROL!$C$22, $C$13, 100%, $E$13)</f>
        <v>16.446899999999999</v>
      </c>
      <c r="K851" s="68">
        <f>16.4501 * CHOOSE(CONTROL!$C$22, $C$13, 100%, $E$13)</f>
        <v>16.450099999999999</v>
      </c>
    </row>
    <row r="852" spans="1:11" ht="15">
      <c r="A852" s="13">
        <v>67054</v>
      </c>
      <c r="B852" s="67">
        <f>14.3051 * CHOOSE(CONTROL!$C$22, $C$13, 100%, $E$13)</f>
        <v>14.305099999999999</v>
      </c>
      <c r="C852" s="67">
        <f>14.3051 * CHOOSE(CONTROL!$C$22, $C$13, 100%, $E$13)</f>
        <v>14.305099999999999</v>
      </c>
      <c r="D852" s="67">
        <f>14.3077 * CHOOSE(CONTROL!$C$22, $C$13, 100%, $E$13)</f>
        <v>14.307700000000001</v>
      </c>
      <c r="E852" s="68">
        <f>16.1805 * CHOOSE(CONTROL!$C$22, $C$13, 100%, $E$13)</f>
        <v>16.180499999999999</v>
      </c>
      <c r="F852" s="68">
        <f>16.1805 * CHOOSE(CONTROL!$C$22, $C$13, 100%, $E$13)</f>
        <v>16.180499999999999</v>
      </c>
      <c r="G852" s="68">
        <f>16.1837 * CHOOSE(CONTROL!$C$22, $C$13, 100%, $E$13)</f>
        <v>16.183700000000002</v>
      </c>
      <c r="H852" s="68">
        <f>26.6661* CHOOSE(CONTROL!$C$22, $C$13, 100%, $E$13)</f>
        <v>26.6661</v>
      </c>
      <c r="I852" s="68">
        <f>26.6694 * CHOOSE(CONTROL!$C$22, $C$13, 100%, $E$13)</f>
        <v>26.6694</v>
      </c>
      <c r="J852" s="68">
        <f>16.1805 * CHOOSE(CONTROL!$C$22, $C$13, 100%, $E$13)</f>
        <v>16.180499999999999</v>
      </c>
      <c r="K852" s="68">
        <f>16.1837 * CHOOSE(CONTROL!$C$22, $C$13, 100%, $E$13)</f>
        <v>16.183700000000002</v>
      </c>
    </row>
    <row r="853" spans="1:11" ht="15">
      <c r="A853" s="13">
        <v>67085</v>
      </c>
      <c r="B853" s="67">
        <f>14.3021 * CHOOSE(CONTROL!$C$22, $C$13, 100%, $E$13)</f>
        <v>14.302099999999999</v>
      </c>
      <c r="C853" s="67">
        <f>14.3021 * CHOOSE(CONTROL!$C$22, $C$13, 100%, $E$13)</f>
        <v>14.302099999999999</v>
      </c>
      <c r="D853" s="67">
        <f>14.3047 * CHOOSE(CONTROL!$C$22, $C$13, 100%, $E$13)</f>
        <v>14.3047</v>
      </c>
      <c r="E853" s="68">
        <f>16.1482 * CHOOSE(CONTROL!$C$22, $C$13, 100%, $E$13)</f>
        <v>16.148199999999999</v>
      </c>
      <c r="F853" s="68">
        <f>16.1482 * CHOOSE(CONTROL!$C$22, $C$13, 100%, $E$13)</f>
        <v>16.148199999999999</v>
      </c>
      <c r="G853" s="68">
        <f>16.1515 * CHOOSE(CONTROL!$C$22, $C$13, 100%, $E$13)</f>
        <v>16.151499999999999</v>
      </c>
      <c r="H853" s="68">
        <f>26.7217* CHOOSE(CONTROL!$C$22, $C$13, 100%, $E$13)</f>
        <v>26.721699999999998</v>
      </c>
      <c r="I853" s="68">
        <f>26.7249 * CHOOSE(CONTROL!$C$22, $C$13, 100%, $E$13)</f>
        <v>26.724900000000002</v>
      </c>
      <c r="J853" s="68">
        <f>16.1482 * CHOOSE(CONTROL!$C$22, $C$13, 100%, $E$13)</f>
        <v>16.148199999999999</v>
      </c>
      <c r="K853" s="68">
        <f>16.1515 * CHOOSE(CONTROL!$C$22, $C$13, 100%, $E$13)</f>
        <v>16.151499999999999</v>
      </c>
    </row>
    <row r="854" spans="1:11" ht="15">
      <c r="A854" s="13">
        <v>67115</v>
      </c>
      <c r="B854" s="67">
        <f>14.3303 * CHOOSE(CONTROL!$C$22, $C$13, 100%, $E$13)</f>
        <v>14.330299999999999</v>
      </c>
      <c r="C854" s="67">
        <f>14.3303 * CHOOSE(CONTROL!$C$22, $C$13, 100%, $E$13)</f>
        <v>14.330299999999999</v>
      </c>
      <c r="D854" s="67">
        <f>14.3313 * CHOOSE(CONTROL!$C$22, $C$13, 100%, $E$13)</f>
        <v>14.331300000000001</v>
      </c>
      <c r="E854" s="68">
        <f>16.2553 * CHOOSE(CONTROL!$C$22, $C$13, 100%, $E$13)</f>
        <v>16.255299999999998</v>
      </c>
      <c r="F854" s="68">
        <f>16.2553 * CHOOSE(CONTROL!$C$22, $C$13, 100%, $E$13)</f>
        <v>16.255299999999998</v>
      </c>
      <c r="G854" s="68">
        <f>16.2566 * CHOOSE(CONTROL!$C$22, $C$13, 100%, $E$13)</f>
        <v>16.256599999999999</v>
      </c>
      <c r="H854" s="68">
        <f>26.7773* CHOOSE(CONTROL!$C$22, $C$13, 100%, $E$13)</f>
        <v>26.7773</v>
      </c>
      <c r="I854" s="68">
        <f>26.7786 * CHOOSE(CONTROL!$C$22, $C$13, 100%, $E$13)</f>
        <v>26.778600000000001</v>
      </c>
      <c r="J854" s="68">
        <f>16.2553 * CHOOSE(CONTROL!$C$22, $C$13, 100%, $E$13)</f>
        <v>16.255299999999998</v>
      </c>
      <c r="K854" s="68">
        <f>16.2566 * CHOOSE(CONTROL!$C$22, $C$13, 100%, $E$13)</f>
        <v>16.256599999999999</v>
      </c>
    </row>
    <row r="855" spans="1:11" ht="15">
      <c r="A855" s="13">
        <v>67146</v>
      </c>
      <c r="B855" s="67">
        <f>14.3333 * CHOOSE(CONTROL!$C$22, $C$13, 100%, $E$13)</f>
        <v>14.333299999999999</v>
      </c>
      <c r="C855" s="67">
        <f>14.3333 * CHOOSE(CONTROL!$C$22, $C$13, 100%, $E$13)</f>
        <v>14.333299999999999</v>
      </c>
      <c r="D855" s="67">
        <f>14.3343 * CHOOSE(CONTROL!$C$22, $C$13, 100%, $E$13)</f>
        <v>14.334300000000001</v>
      </c>
      <c r="E855" s="68">
        <f>16.3177 * CHOOSE(CONTROL!$C$22, $C$13, 100%, $E$13)</f>
        <v>16.317699999999999</v>
      </c>
      <c r="F855" s="68">
        <f>16.3177 * CHOOSE(CONTROL!$C$22, $C$13, 100%, $E$13)</f>
        <v>16.317699999999999</v>
      </c>
      <c r="G855" s="68">
        <f>16.3189 * CHOOSE(CONTROL!$C$22, $C$13, 100%, $E$13)</f>
        <v>16.318899999999999</v>
      </c>
      <c r="H855" s="68">
        <f>26.8331* CHOOSE(CONTROL!$C$22, $C$13, 100%, $E$13)</f>
        <v>26.833100000000002</v>
      </c>
      <c r="I855" s="68">
        <f>26.8344 * CHOOSE(CONTROL!$C$22, $C$13, 100%, $E$13)</f>
        <v>26.834399999999999</v>
      </c>
      <c r="J855" s="68">
        <f>16.3177 * CHOOSE(CONTROL!$C$22, $C$13, 100%, $E$13)</f>
        <v>16.317699999999999</v>
      </c>
      <c r="K855" s="68">
        <f>16.3189 * CHOOSE(CONTROL!$C$22, $C$13, 100%, $E$13)</f>
        <v>16.318899999999999</v>
      </c>
    </row>
    <row r="856" spans="1:11" ht="15">
      <c r="A856" s="13">
        <v>67176</v>
      </c>
      <c r="B856" s="67">
        <f>14.3333 * CHOOSE(CONTROL!$C$22, $C$13, 100%, $E$13)</f>
        <v>14.333299999999999</v>
      </c>
      <c r="C856" s="67">
        <f>14.3333 * CHOOSE(CONTROL!$C$22, $C$13, 100%, $E$13)</f>
        <v>14.333299999999999</v>
      </c>
      <c r="D856" s="67">
        <f>14.3343 * CHOOSE(CONTROL!$C$22, $C$13, 100%, $E$13)</f>
        <v>14.334300000000001</v>
      </c>
      <c r="E856" s="68">
        <f>16.1671 * CHOOSE(CONTROL!$C$22, $C$13, 100%, $E$13)</f>
        <v>16.167100000000001</v>
      </c>
      <c r="F856" s="68">
        <f>16.1671 * CHOOSE(CONTROL!$C$22, $C$13, 100%, $E$13)</f>
        <v>16.167100000000001</v>
      </c>
      <c r="G856" s="68">
        <f>16.1683 * CHOOSE(CONTROL!$C$22, $C$13, 100%, $E$13)</f>
        <v>16.168299999999999</v>
      </c>
      <c r="H856" s="68">
        <f>26.889* CHOOSE(CONTROL!$C$22, $C$13, 100%, $E$13)</f>
        <v>26.888999999999999</v>
      </c>
      <c r="I856" s="68">
        <f>26.8903 * CHOOSE(CONTROL!$C$22, $C$13, 100%, $E$13)</f>
        <v>26.8903</v>
      </c>
      <c r="J856" s="68">
        <f>16.1671 * CHOOSE(CONTROL!$C$22, $C$13, 100%, $E$13)</f>
        <v>16.167100000000001</v>
      </c>
      <c r="K856" s="68">
        <f>16.1683 * CHOOSE(CONTROL!$C$22, $C$13, 100%, $E$13)</f>
        <v>16.168299999999999</v>
      </c>
    </row>
    <row r="857" spans="1:11" ht="15">
      <c r="A857" s="13">
        <v>67207</v>
      </c>
      <c r="B857" s="67">
        <f>14.3143 * CHOOSE(CONTROL!$C$22, $C$13, 100%, $E$13)</f>
        <v>14.314299999999999</v>
      </c>
      <c r="C857" s="67">
        <f>14.3143 * CHOOSE(CONTROL!$C$22, $C$13, 100%, $E$13)</f>
        <v>14.314299999999999</v>
      </c>
      <c r="D857" s="67">
        <f>14.3153 * CHOOSE(CONTROL!$C$22, $C$13, 100%, $E$13)</f>
        <v>14.315300000000001</v>
      </c>
      <c r="E857" s="68">
        <f>16.2677 * CHOOSE(CONTROL!$C$22, $C$13, 100%, $E$13)</f>
        <v>16.267700000000001</v>
      </c>
      <c r="F857" s="68">
        <f>16.2677 * CHOOSE(CONTROL!$C$22, $C$13, 100%, $E$13)</f>
        <v>16.267700000000001</v>
      </c>
      <c r="G857" s="68">
        <f>16.269 * CHOOSE(CONTROL!$C$22, $C$13, 100%, $E$13)</f>
        <v>16.268999999999998</v>
      </c>
      <c r="H857" s="68">
        <f>26.7075* CHOOSE(CONTROL!$C$22, $C$13, 100%, $E$13)</f>
        <v>26.7075</v>
      </c>
      <c r="I857" s="68">
        <f>26.7088 * CHOOSE(CONTROL!$C$22, $C$13, 100%, $E$13)</f>
        <v>26.7088</v>
      </c>
      <c r="J857" s="68">
        <f>16.2677 * CHOOSE(CONTROL!$C$22, $C$13, 100%, $E$13)</f>
        <v>16.267700000000001</v>
      </c>
      <c r="K857" s="68">
        <f>16.269 * CHOOSE(CONTROL!$C$22, $C$13, 100%, $E$13)</f>
        <v>16.268999999999998</v>
      </c>
    </row>
    <row r="858" spans="1:11" ht="15">
      <c r="A858" s="13">
        <v>67238</v>
      </c>
      <c r="B858" s="67">
        <f>14.3113 * CHOOSE(CONTROL!$C$22, $C$13, 100%, $E$13)</f>
        <v>14.311299999999999</v>
      </c>
      <c r="C858" s="67">
        <f>14.3113 * CHOOSE(CONTROL!$C$22, $C$13, 100%, $E$13)</f>
        <v>14.311299999999999</v>
      </c>
      <c r="D858" s="67">
        <f>14.3122 * CHOOSE(CONTROL!$C$22, $C$13, 100%, $E$13)</f>
        <v>14.312200000000001</v>
      </c>
      <c r="E858" s="68">
        <f>15.976 * CHOOSE(CONTROL!$C$22, $C$13, 100%, $E$13)</f>
        <v>15.976000000000001</v>
      </c>
      <c r="F858" s="68">
        <f>15.976 * CHOOSE(CONTROL!$C$22, $C$13, 100%, $E$13)</f>
        <v>15.976000000000001</v>
      </c>
      <c r="G858" s="68">
        <f>15.9773 * CHOOSE(CONTROL!$C$22, $C$13, 100%, $E$13)</f>
        <v>15.9773</v>
      </c>
      <c r="H858" s="68">
        <f>26.7631* CHOOSE(CONTROL!$C$22, $C$13, 100%, $E$13)</f>
        <v>26.763100000000001</v>
      </c>
      <c r="I858" s="68">
        <f>26.7644 * CHOOSE(CONTROL!$C$22, $C$13, 100%, $E$13)</f>
        <v>26.764399999999998</v>
      </c>
      <c r="J858" s="68">
        <f>15.976 * CHOOSE(CONTROL!$C$22, $C$13, 100%, $E$13)</f>
        <v>15.976000000000001</v>
      </c>
      <c r="K858" s="68">
        <f>15.9773 * CHOOSE(CONTROL!$C$22, $C$13, 100%, $E$13)</f>
        <v>15.9773</v>
      </c>
    </row>
    <row r="859" spans="1:11" ht="15">
      <c r="A859" s="13">
        <v>67267</v>
      </c>
      <c r="B859" s="67">
        <f>14.3082 * CHOOSE(CONTROL!$C$22, $C$13, 100%, $E$13)</f>
        <v>14.308199999999999</v>
      </c>
      <c r="C859" s="67">
        <f>14.3082 * CHOOSE(CONTROL!$C$22, $C$13, 100%, $E$13)</f>
        <v>14.308199999999999</v>
      </c>
      <c r="D859" s="67">
        <f>14.3092 * CHOOSE(CONTROL!$C$22, $C$13, 100%, $E$13)</f>
        <v>14.309200000000001</v>
      </c>
      <c r="E859" s="68">
        <f>16.2022 * CHOOSE(CONTROL!$C$22, $C$13, 100%, $E$13)</f>
        <v>16.202200000000001</v>
      </c>
      <c r="F859" s="68">
        <f>16.2022 * CHOOSE(CONTROL!$C$22, $C$13, 100%, $E$13)</f>
        <v>16.202200000000001</v>
      </c>
      <c r="G859" s="68">
        <f>16.2034 * CHOOSE(CONTROL!$C$22, $C$13, 100%, $E$13)</f>
        <v>16.203399999999998</v>
      </c>
      <c r="H859" s="68">
        <f>26.8189* CHOOSE(CONTROL!$C$22, $C$13, 100%, $E$13)</f>
        <v>26.818899999999999</v>
      </c>
      <c r="I859" s="68">
        <f>26.8202 * CHOOSE(CONTROL!$C$22, $C$13, 100%, $E$13)</f>
        <v>26.8202</v>
      </c>
      <c r="J859" s="68">
        <f>16.2022 * CHOOSE(CONTROL!$C$22, $C$13, 100%, $E$13)</f>
        <v>16.202200000000001</v>
      </c>
      <c r="K859" s="68">
        <f>16.2034 * CHOOSE(CONTROL!$C$22, $C$13, 100%, $E$13)</f>
        <v>16.203399999999998</v>
      </c>
    </row>
    <row r="860" spans="1:11" ht="15">
      <c r="A860" s="13">
        <v>67298</v>
      </c>
      <c r="B860" s="67">
        <f>14.3145 * CHOOSE(CONTROL!$C$22, $C$13, 100%, $E$13)</f>
        <v>14.314500000000001</v>
      </c>
      <c r="C860" s="67">
        <f>14.3145 * CHOOSE(CONTROL!$C$22, $C$13, 100%, $E$13)</f>
        <v>14.314500000000001</v>
      </c>
      <c r="D860" s="67">
        <f>14.3155 * CHOOSE(CONTROL!$C$22, $C$13, 100%, $E$13)</f>
        <v>14.3155</v>
      </c>
      <c r="E860" s="68">
        <f>16.4431 * CHOOSE(CONTROL!$C$22, $C$13, 100%, $E$13)</f>
        <v>16.443100000000001</v>
      </c>
      <c r="F860" s="68">
        <f>16.4431 * CHOOSE(CONTROL!$C$22, $C$13, 100%, $E$13)</f>
        <v>16.443100000000001</v>
      </c>
      <c r="G860" s="68">
        <f>16.4443 * CHOOSE(CONTROL!$C$22, $C$13, 100%, $E$13)</f>
        <v>16.444299999999998</v>
      </c>
      <c r="H860" s="68">
        <f>26.8748* CHOOSE(CONTROL!$C$22, $C$13, 100%, $E$13)</f>
        <v>26.8748</v>
      </c>
      <c r="I860" s="68">
        <f>26.876 * CHOOSE(CONTROL!$C$22, $C$13, 100%, $E$13)</f>
        <v>26.876000000000001</v>
      </c>
      <c r="J860" s="68">
        <f>16.4431 * CHOOSE(CONTROL!$C$22, $C$13, 100%, $E$13)</f>
        <v>16.443100000000001</v>
      </c>
      <c r="K860" s="68">
        <f>16.4443 * CHOOSE(CONTROL!$C$22, $C$13, 100%, $E$13)</f>
        <v>16.444299999999998</v>
      </c>
    </row>
    <row r="861" spans="1:11" ht="15">
      <c r="A861" s="13">
        <v>67328</v>
      </c>
      <c r="B861" s="67">
        <f>14.3145 * CHOOSE(CONTROL!$C$22, $C$13, 100%, $E$13)</f>
        <v>14.314500000000001</v>
      </c>
      <c r="C861" s="67">
        <f>14.3145 * CHOOSE(CONTROL!$C$22, $C$13, 100%, $E$13)</f>
        <v>14.314500000000001</v>
      </c>
      <c r="D861" s="67">
        <f>14.3171 * CHOOSE(CONTROL!$C$22, $C$13, 100%, $E$13)</f>
        <v>14.3171</v>
      </c>
      <c r="E861" s="68">
        <f>16.535 * CHOOSE(CONTROL!$C$22, $C$13, 100%, $E$13)</f>
        <v>16.535</v>
      </c>
      <c r="F861" s="68">
        <f>16.535 * CHOOSE(CONTROL!$C$22, $C$13, 100%, $E$13)</f>
        <v>16.535</v>
      </c>
      <c r="G861" s="68">
        <f>16.5382 * CHOOSE(CONTROL!$C$22, $C$13, 100%, $E$13)</f>
        <v>16.5382</v>
      </c>
      <c r="H861" s="68">
        <f>26.9307* CHOOSE(CONTROL!$C$22, $C$13, 100%, $E$13)</f>
        <v>26.930700000000002</v>
      </c>
      <c r="I861" s="68">
        <f>26.934 * CHOOSE(CONTROL!$C$22, $C$13, 100%, $E$13)</f>
        <v>26.934000000000001</v>
      </c>
      <c r="J861" s="68">
        <f>16.535 * CHOOSE(CONTROL!$C$22, $C$13, 100%, $E$13)</f>
        <v>16.535</v>
      </c>
      <c r="K861" s="68">
        <f>16.5382 * CHOOSE(CONTROL!$C$22, $C$13, 100%, $E$13)</f>
        <v>16.5382</v>
      </c>
    </row>
    <row r="862" spans="1:11" ht="15">
      <c r="A862" s="13">
        <v>67359</v>
      </c>
      <c r="B862" s="67">
        <f>14.3206 * CHOOSE(CONTROL!$C$22, $C$13, 100%, $E$13)</f>
        <v>14.320600000000001</v>
      </c>
      <c r="C862" s="67">
        <f>14.3206 * CHOOSE(CONTROL!$C$22, $C$13, 100%, $E$13)</f>
        <v>14.320600000000001</v>
      </c>
      <c r="D862" s="67">
        <f>14.3232 * CHOOSE(CONTROL!$C$22, $C$13, 100%, $E$13)</f>
        <v>14.3232</v>
      </c>
      <c r="E862" s="68">
        <f>16.4473 * CHOOSE(CONTROL!$C$22, $C$13, 100%, $E$13)</f>
        <v>16.447299999999998</v>
      </c>
      <c r="F862" s="68">
        <f>16.4473 * CHOOSE(CONTROL!$C$22, $C$13, 100%, $E$13)</f>
        <v>16.447299999999998</v>
      </c>
      <c r="G862" s="68">
        <f>16.4506 * CHOOSE(CONTROL!$C$22, $C$13, 100%, $E$13)</f>
        <v>16.450600000000001</v>
      </c>
      <c r="H862" s="68">
        <f>26.9868* CHOOSE(CONTROL!$C$22, $C$13, 100%, $E$13)</f>
        <v>26.986799999999999</v>
      </c>
      <c r="I862" s="68">
        <f>26.9901 * CHOOSE(CONTROL!$C$22, $C$13, 100%, $E$13)</f>
        <v>26.990100000000002</v>
      </c>
      <c r="J862" s="68">
        <f>16.4473 * CHOOSE(CONTROL!$C$22, $C$13, 100%, $E$13)</f>
        <v>16.447299999999998</v>
      </c>
      <c r="K862" s="68">
        <f>16.4506 * CHOOSE(CONTROL!$C$22, $C$13, 100%, $E$13)</f>
        <v>16.450600000000001</v>
      </c>
    </row>
    <row r="863" spans="1:11" ht="15">
      <c r="A863" s="13">
        <v>67389</v>
      </c>
      <c r="B863" s="67">
        <f>14.5376 * CHOOSE(CONTROL!$C$22, $C$13, 100%, $E$13)</f>
        <v>14.537599999999999</v>
      </c>
      <c r="C863" s="67">
        <f>14.5376 * CHOOSE(CONTROL!$C$22, $C$13, 100%, $E$13)</f>
        <v>14.537599999999999</v>
      </c>
      <c r="D863" s="67">
        <f>14.5402 * CHOOSE(CONTROL!$C$22, $C$13, 100%, $E$13)</f>
        <v>14.5402</v>
      </c>
      <c r="E863" s="68">
        <f>16.7087 * CHOOSE(CONTROL!$C$22, $C$13, 100%, $E$13)</f>
        <v>16.7087</v>
      </c>
      <c r="F863" s="68">
        <f>16.7087 * CHOOSE(CONTROL!$C$22, $C$13, 100%, $E$13)</f>
        <v>16.7087</v>
      </c>
      <c r="G863" s="68">
        <f>16.7119 * CHOOSE(CONTROL!$C$22, $C$13, 100%, $E$13)</f>
        <v>16.7119</v>
      </c>
      <c r="H863" s="68">
        <f>27.0431* CHOOSE(CONTROL!$C$22, $C$13, 100%, $E$13)</f>
        <v>27.043099999999999</v>
      </c>
      <c r="I863" s="68">
        <f>27.0463 * CHOOSE(CONTROL!$C$22, $C$13, 100%, $E$13)</f>
        <v>27.046299999999999</v>
      </c>
      <c r="J863" s="68">
        <f>16.7087 * CHOOSE(CONTROL!$C$22, $C$13, 100%, $E$13)</f>
        <v>16.7087</v>
      </c>
      <c r="K863" s="68">
        <f>16.7119 * CHOOSE(CONTROL!$C$22, $C$13, 100%, $E$13)</f>
        <v>16.7119</v>
      </c>
    </row>
    <row r="864" spans="1:11" ht="15">
      <c r="A864" s="13">
        <v>67420</v>
      </c>
      <c r="B864" s="67">
        <f>14.5443 * CHOOSE(CONTROL!$C$22, $C$13, 100%, $E$13)</f>
        <v>14.5443</v>
      </c>
      <c r="C864" s="67">
        <f>14.5443 * CHOOSE(CONTROL!$C$22, $C$13, 100%, $E$13)</f>
        <v>14.5443</v>
      </c>
      <c r="D864" s="67">
        <f>14.5469 * CHOOSE(CONTROL!$C$22, $C$13, 100%, $E$13)</f>
        <v>14.546900000000001</v>
      </c>
      <c r="E864" s="68">
        <f>16.4375 * CHOOSE(CONTROL!$C$22, $C$13, 100%, $E$13)</f>
        <v>16.4375</v>
      </c>
      <c r="F864" s="68">
        <f>16.4375 * CHOOSE(CONTROL!$C$22, $C$13, 100%, $E$13)</f>
        <v>16.4375</v>
      </c>
      <c r="G864" s="68">
        <f>16.4408 * CHOOSE(CONTROL!$C$22, $C$13, 100%, $E$13)</f>
        <v>16.440799999999999</v>
      </c>
      <c r="H864" s="68">
        <f>27.0994* CHOOSE(CONTROL!$C$22, $C$13, 100%, $E$13)</f>
        <v>27.099399999999999</v>
      </c>
      <c r="I864" s="68">
        <f>27.1027 * CHOOSE(CONTROL!$C$22, $C$13, 100%, $E$13)</f>
        <v>27.102699999999999</v>
      </c>
      <c r="J864" s="68">
        <f>16.4375 * CHOOSE(CONTROL!$C$22, $C$13, 100%, $E$13)</f>
        <v>16.4375</v>
      </c>
      <c r="K864" s="68">
        <f>16.4408 * CHOOSE(CONTROL!$C$22, $C$13, 100%, $E$13)</f>
        <v>16.440799999999999</v>
      </c>
    </row>
    <row r="865" spans="1:11" ht="15">
      <c r="A865" s="13">
        <v>67451</v>
      </c>
      <c r="B865" s="67">
        <f>14.5412 * CHOOSE(CONTROL!$C$22, $C$13, 100%, $E$13)</f>
        <v>14.5412</v>
      </c>
      <c r="C865" s="67">
        <f>14.5412 * CHOOSE(CONTROL!$C$22, $C$13, 100%, $E$13)</f>
        <v>14.5412</v>
      </c>
      <c r="D865" s="67">
        <f>14.5439 * CHOOSE(CONTROL!$C$22, $C$13, 100%, $E$13)</f>
        <v>14.543900000000001</v>
      </c>
      <c r="E865" s="68">
        <f>16.4048 * CHOOSE(CONTROL!$C$22, $C$13, 100%, $E$13)</f>
        <v>16.404800000000002</v>
      </c>
      <c r="F865" s="68">
        <f>16.4048 * CHOOSE(CONTROL!$C$22, $C$13, 100%, $E$13)</f>
        <v>16.404800000000002</v>
      </c>
      <c r="G865" s="68">
        <f>16.408 * CHOOSE(CONTROL!$C$22, $C$13, 100%, $E$13)</f>
        <v>16.408000000000001</v>
      </c>
      <c r="H865" s="68">
        <f>27.1559* CHOOSE(CONTROL!$C$22, $C$13, 100%, $E$13)</f>
        <v>27.155899999999999</v>
      </c>
      <c r="I865" s="68">
        <f>27.1591 * CHOOSE(CONTROL!$C$22, $C$13, 100%, $E$13)</f>
        <v>27.159099999999999</v>
      </c>
      <c r="J865" s="68">
        <f>16.4048 * CHOOSE(CONTROL!$C$22, $C$13, 100%, $E$13)</f>
        <v>16.404800000000002</v>
      </c>
      <c r="K865" s="68">
        <f>16.408 * CHOOSE(CONTROL!$C$22, $C$13, 100%, $E$13)</f>
        <v>16.408000000000001</v>
      </c>
    </row>
    <row r="866" spans="1:11" ht="15">
      <c r="A866" s="13">
        <v>67481</v>
      </c>
      <c r="B866" s="67">
        <f>14.5702 * CHOOSE(CONTROL!$C$22, $C$13, 100%, $E$13)</f>
        <v>14.5702</v>
      </c>
      <c r="C866" s="67">
        <f>14.5702 * CHOOSE(CONTROL!$C$22, $C$13, 100%, $E$13)</f>
        <v>14.5702</v>
      </c>
      <c r="D866" s="67">
        <f>14.5712 * CHOOSE(CONTROL!$C$22, $C$13, 100%, $E$13)</f>
        <v>14.571199999999999</v>
      </c>
      <c r="E866" s="68">
        <f>16.5139 * CHOOSE(CONTROL!$C$22, $C$13, 100%, $E$13)</f>
        <v>16.5139</v>
      </c>
      <c r="F866" s="68">
        <f>16.5139 * CHOOSE(CONTROL!$C$22, $C$13, 100%, $E$13)</f>
        <v>16.5139</v>
      </c>
      <c r="G866" s="68">
        <f>16.5152 * CHOOSE(CONTROL!$C$22, $C$13, 100%, $E$13)</f>
        <v>16.5152</v>
      </c>
      <c r="H866" s="68">
        <f>27.2124* CHOOSE(CONTROL!$C$22, $C$13, 100%, $E$13)</f>
        <v>27.212399999999999</v>
      </c>
      <c r="I866" s="68">
        <f>27.2137 * CHOOSE(CONTROL!$C$22, $C$13, 100%, $E$13)</f>
        <v>27.213699999999999</v>
      </c>
      <c r="J866" s="68">
        <f>16.5139 * CHOOSE(CONTROL!$C$22, $C$13, 100%, $E$13)</f>
        <v>16.5139</v>
      </c>
      <c r="K866" s="68">
        <f>16.5152 * CHOOSE(CONTROL!$C$22, $C$13, 100%, $E$13)</f>
        <v>16.5152</v>
      </c>
    </row>
    <row r="867" spans="1:11" ht="15">
      <c r="A867" s="13">
        <v>67512</v>
      </c>
      <c r="B867" s="67">
        <f>14.5733 * CHOOSE(CONTROL!$C$22, $C$13, 100%, $E$13)</f>
        <v>14.5733</v>
      </c>
      <c r="C867" s="67">
        <f>14.5733 * CHOOSE(CONTROL!$C$22, $C$13, 100%, $E$13)</f>
        <v>14.5733</v>
      </c>
      <c r="D867" s="67">
        <f>14.5743 * CHOOSE(CONTROL!$C$22, $C$13, 100%, $E$13)</f>
        <v>14.574299999999999</v>
      </c>
      <c r="E867" s="68">
        <f>16.5773 * CHOOSE(CONTROL!$C$22, $C$13, 100%, $E$13)</f>
        <v>16.577300000000001</v>
      </c>
      <c r="F867" s="68">
        <f>16.5773 * CHOOSE(CONTROL!$C$22, $C$13, 100%, $E$13)</f>
        <v>16.577300000000001</v>
      </c>
      <c r="G867" s="68">
        <f>16.5786 * CHOOSE(CONTROL!$C$22, $C$13, 100%, $E$13)</f>
        <v>16.578600000000002</v>
      </c>
      <c r="H867" s="68">
        <f>27.2691* CHOOSE(CONTROL!$C$22, $C$13, 100%, $E$13)</f>
        <v>27.269100000000002</v>
      </c>
      <c r="I867" s="68">
        <f>27.2704 * CHOOSE(CONTROL!$C$22, $C$13, 100%, $E$13)</f>
        <v>27.270399999999999</v>
      </c>
      <c r="J867" s="68">
        <f>16.5773 * CHOOSE(CONTROL!$C$22, $C$13, 100%, $E$13)</f>
        <v>16.577300000000001</v>
      </c>
      <c r="K867" s="68">
        <f>16.5786 * CHOOSE(CONTROL!$C$22, $C$13, 100%, $E$13)</f>
        <v>16.578600000000002</v>
      </c>
    </row>
    <row r="868" spans="1:11" ht="15">
      <c r="A868" s="13">
        <v>67542</v>
      </c>
      <c r="B868" s="67">
        <f>14.5733 * CHOOSE(CONTROL!$C$22, $C$13, 100%, $E$13)</f>
        <v>14.5733</v>
      </c>
      <c r="C868" s="67">
        <f>14.5733 * CHOOSE(CONTROL!$C$22, $C$13, 100%, $E$13)</f>
        <v>14.5733</v>
      </c>
      <c r="D868" s="67">
        <f>14.5743 * CHOOSE(CONTROL!$C$22, $C$13, 100%, $E$13)</f>
        <v>14.574299999999999</v>
      </c>
      <c r="E868" s="68">
        <f>16.4241 * CHOOSE(CONTROL!$C$22, $C$13, 100%, $E$13)</f>
        <v>16.424099999999999</v>
      </c>
      <c r="F868" s="68">
        <f>16.4241 * CHOOSE(CONTROL!$C$22, $C$13, 100%, $E$13)</f>
        <v>16.424099999999999</v>
      </c>
      <c r="G868" s="68">
        <f>16.4254 * CHOOSE(CONTROL!$C$22, $C$13, 100%, $E$13)</f>
        <v>16.4254</v>
      </c>
      <c r="H868" s="68">
        <f>27.3259* CHOOSE(CONTROL!$C$22, $C$13, 100%, $E$13)</f>
        <v>27.325900000000001</v>
      </c>
      <c r="I868" s="68">
        <f>27.3272 * CHOOSE(CONTROL!$C$22, $C$13, 100%, $E$13)</f>
        <v>27.327200000000001</v>
      </c>
      <c r="J868" s="68">
        <f>16.4241 * CHOOSE(CONTROL!$C$22, $C$13, 100%, $E$13)</f>
        <v>16.424099999999999</v>
      </c>
      <c r="K868" s="68">
        <f>16.4254 * CHOOSE(CONTROL!$C$22, $C$13, 100%, $E$13)</f>
        <v>16.4254</v>
      </c>
    </row>
    <row r="869" spans="1:11" ht="15">
      <c r="A869" s="13">
        <v>67573</v>
      </c>
      <c r="B869" s="67">
        <f>14.5499 * CHOOSE(CONTROL!$C$22, $C$13, 100%, $E$13)</f>
        <v>14.549899999999999</v>
      </c>
      <c r="C869" s="67">
        <f>14.5499 * CHOOSE(CONTROL!$C$22, $C$13, 100%, $E$13)</f>
        <v>14.549899999999999</v>
      </c>
      <c r="D869" s="67">
        <f>14.5509 * CHOOSE(CONTROL!$C$22, $C$13, 100%, $E$13)</f>
        <v>14.5509</v>
      </c>
      <c r="E869" s="68">
        <f>16.5224 * CHOOSE(CONTROL!$C$22, $C$13, 100%, $E$13)</f>
        <v>16.522400000000001</v>
      </c>
      <c r="F869" s="68">
        <f>16.5224 * CHOOSE(CONTROL!$C$22, $C$13, 100%, $E$13)</f>
        <v>16.522400000000001</v>
      </c>
      <c r="G869" s="68">
        <f>16.5237 * CHOOSE(CONTROL!$C$22, $C$13, 100%, $E$13)</f>
        <v>16.523700000000002</v>
      </c>
      <c r="H869" s="68">
        <f>27.1345* CHOOSE(CONTROL!$C$22, $C$13, 100%, $E$13)</f>
        <v>27.134499999999999</v>
      </c>
      <c r="I869" s="68">
        <f>27.1358 * CHOOSE(CONTROL!$C$22, $C$13, 100%, $E$13)</f>
        <v>27.1358</v>
      </c>
      <c r="J869" s="68">
        <f>16.5224 * CHOOSE(CONTROL!$C$22, $C$13, 100%, $E$13)</f>
        <v>16.522400000000001</v>
      </c>
      <c r="K869" s="68">
        <f>16.5237 * CHOOSE(CONTROL!$C$22, $C$13, 100%, $E$13)</f>
        <v>16.523700000000002</v>
      </c>
    </row>
    <row r="870" spans="1:11" ht="15">
      <c r="A870" s="13">
        <v>67604</v>
      </c>
      <c r="B870" s="67">
        <f>14.5468 * CHOOSE(CONTROL!$C$22, $C$13, 100%, $E$13)</f>
        <v>14.546799999999999</v>
      </c>
      <c r="C870" s="67">
        <f>14.5468 * CHOOSE(CONTROL!$C$22, $C$13, 100%, $E$13)</f>
        <v>14.546799999999999</v>
      </c>
      <c r="D870" s="67">
        <f>14.5478 * CHOOSE(CONTROL!$C$22, $C$13, 100%, $E$13)</f>
        <v>14.547800000000001</v>
      </c>
      <c r="E870" s="68">
        <f>16.2258 * CHOOSE(CONTROL!$C$22, $C$13, 100%, $E$13)</f>
        <v>16.2258</v>
      </c>
      <c r="F870" s="68">
        <f>16.2258 * CHOOSE(CONTROL!$C$22, $C$13, 100%, $E$13)</f>
        <v>16.2258</v>
      </c>
      <c r="G870" s="68">
        <f>16.2271 * CHOOSE(CONTROL!$C$22, $C$13, 100%, $E$13)</f>
        <v>16.2271</v>
      </c>
      <c r="H870" s="68">
        <f>27.191* CHOOSE(CONTROL!$C$22, $C$13, 100%, $E$13)</f>
        <v>27.190999999999999</v>
      </c>
      <c r="I870" s="68">
        <f>27.1923 * CHOOSE(CONTROL!$C$22, $C$13, 100%, $E$13)</f>
        <v>27.192299999999999</v>
      </c>
      <c r="J870" s="68">
        <f>16.2258 * CHOOSE(CONTROL!$C$22, $C$13, 100%, $E$13)</f>
        <v>16.2258</v>
      </c>
      <c r="K870" s="68">
        <f>16.2271 * CHOOSE(CONTROL!$C$22, $C$13, 100%, $E$13)</f>
        <v>16.2271</v>
      </c>
    </row>
    <row r="871" spans="1:11" ht="15">
      <c r="A871" s="13">
        <v>67632</v>
      </c>
      <c r="B871" s="67">
        <f>14.5438 * CHOOSE(CONTROL!$C$22, $C$13, 100%, $E$13)</f>
        <v>14.543799999999999</v>
      </c>
      <c r="C871" s="67">
        <f>14.5438 * CHOOSE(CONTROL!$C$22, $C$13, 100%, $E$13)</f>
        <v>14.543799999999999</v>
      </c>
      <c r="D871" s="67">
        <f>14.5448 * CHOOSE(CONTROL!$C$22, $C$13, 100%, $E$13)</f>
        <v>14.5448</v>
      </c>
      <c r="E871" s="68">
        <f>16.4558 * CHOOSE(CONTROL!$C$22, $C$13, 100%, $E$13)</f>
        <v>16.4558</v>
      </c>
      <c r="F871" s="68">
        <f>16.4558 * CHOOSE(CONTROL!$C$22, $C$13, 100%, $E$13)</f>
        <v>16.4558</v>
      </c>
      <c r="G871" s="68">
        <f>16.4571 * CHOOSE(CONTROL!$C$22, $C$13, 100%, $E$13)</f>
        <v>16.457100000000001</v>
      </c>
      <c r="H871" s="68">
        <f>27.2477* CHOOSE(CONTROL!$C$22, $C$13, 100%, $E$13)</f>
        <v>27.247699999999998</v>
      </c>
      <c r="I871" s="68">
        <f>27.249 * CHOOSE(CONTROL!$C$22, $C$13, 100%, $E$13)</f>
        <v>27.248999999999999</v>
      </c>
      <c r="J871" s="68">
        <f>16.4558 * CHOOSE(CONTROL!$C$22, $C$13, 100%, $E$13)</f>
        <v>16.4558</v>
      </c>
      <c r="K871" s="68">
        <f>16.4571 * CHOOSE(CONTROL!$C$22, $C$13, 100%, $E$13)</f>
        <v>16.457100000000001</v>
      </c>
    </row>
    <row r="872" spans="1:11" ht="15">
      <c r="A872" s="13">
        <v>67663</v>
      </c>
      <c r="B872" s="67">
        <f>14.5503 * CHOOSE(CONTROL!$C$22, $C$13, 100%, $E$13)</f>
        <v>14.5503</v>
      </c>
      <c r="C872" s="67">
        <f>14.5503 * CHOOSE(CONTROL!$C$22, $C$13, 100%, $E$13)</f>
        <v>14.5503</v>
      </c>
      <c r="D872" s="67">
        <f>14.5513 * CHOOSE(CONTROL!$C$22, $C$13, 100%, $E$13)</f>
        <v>14.551299999999999</v>
      </c>
      <c r="E872" s="68">
        <f>16.7009 * CHOOSE(CONTROL!$C$22, $C$13, 100%, $E$13)</f>
        <v>16.700900000000001</v>
      </c>
      <c r="F872" s="68">
        <f>16.7009 * CHOOSE(CONTROL!$C$22, $C$13, 100%, $E$13)</f>
        <v>16.700900000000001</v>
      </c>
      <c r="G872" s="68">
        <f>16.7022 * CHOOSE(CONTROL!$C$22, $C$13, 100%, $E$13)</f>
        <v>16.702200000000001</v>
      </c>
      <c r="H872" s="68">
        <f>27.3044* CHOOSE(CONTROL!$C$22, $C$13, 100%, $E$13)</f>
        <v>27.304400000000001</v>
      </c>
      <c r="I872" s="68">
        <f>27.3057 * CHOOSE(CONTROL!$C$22, $C$13, 100%, $E$13)</f>
        <v>27.305700000000002</v>
      </c>
      <c r="J872" s="68">
        <f>16.7009 * CHOOSE(CONTROL!$C$22, $C$13, 100%, $E$13)</f>
        <v>16.700900000000001</v>
      </c>
      <c r="K872" s="68">
        <f>16.7022 * CHOOSE(CONTROL!$C$22, $C$13, 100%, $E$13)</f>
        <v>16.702200000000001</v>
      </c>
    </row>
    <row r="873" spans="1:11" ht="15">
      <c r="A873" s="13">
        <v>67693</v>
      </c>
      <c r="B873" s="67">
        <f>14.5503 * CHOOSE(CONTROL!$C$22, $C$13, 100%, $E$13)</f>
        <v>14.5503</v>
      </c>
      <c r="C873" s="67">
        <f>14.5503 * CHOOSE(CONTROL!$C$22, $C$13, 100%, $E$13)</f>
        <v>14.5503</v>
      </c>
      <c r="D873" s="67">
        <f>14.5529 * CHOOSE(CONTROL!$C$22, $C$13, 100%, $E$13)</f>
        <v>14.552899999999999</v>
      </c>
      <c r="E873" s="68">
        <f>16.7944 * CHOOSE(CONTROL!$C$22, $C$13, 100%, $E$13)</f>
        <v>16.7944</v>
      </c>
      <c r="F873" s="68">
        <f>16.7944 * CHOOSE(CONTROL!$C$22, $C$13, 100%, $E$13)</f>
        <v>16.7944</v>
      </c>
      <c r="G873" s="68">
        <f>16.7977 * CHOOSE(CONTROL!$C$22, $C$13, 100%, $E$13)</f>
        <v>16.797699999999999</v>
      </c>
      <c r="H873" s="68">
        <f>27.3613* CHOOSE(CONTROL!$C$22, $C$13, 100%, $E$13)</f>
        <v>27.3613</v>
      </c>
      <c r="I873" s="68">
        <f>27.3646 * CHOOSE(CONTROL!$C$22, $C$13, 100%, $E$13)</f>
        <v>27.364599999999999</v>
      </c>
      <c r="J873" s="68">
        <f>16.7944 * CHOOSE(CONTROL!$C$22, $C$13, 100%, $E$13)</f>
        <v>16.7944</v>
      </c>
      <c r="K873" s="68">
        <f>16.7977 * CHOOSE(CONTROL!$C$22, $C$13, 100%, $E$13)</f>
        <v>16.797699999999999</v>
      </c>
    </row>
    <row r="874" spans="1:11" ht="15">
      <c r="A874" s="13">
        <v>67724</v>
      </c>
      <c r="B874" s="67">
        <f>14.5564 * CHOOSE(CONTROL!$C$22, $C$13, 100%, $E$13)</f>
        <v>14.5564</v>
      </c>
      <c r="C874" s="67">
        <f>14.5564 * CHOOSE(CONTROL!$C$22, $C$13, 100%, $E$13)</f>
        <v>14.5564</v>
      </c>
      <c r="D874" s="67">
        <f>14.559 * CHOOSE(CONTROL!$C$22, $C$13, 100%, $E$13)</f>
        <v>14.558999999999999</v>
      </c>
      <c r="E874" s="68">
        <f>16.7052 * CHOOSE(CONTROL!$C$22, $C$13, 100%, $E$13)</f>
        <v>16.705200000000001</v>
      </c>
      <c r="F874" s="68">
        <f>16.7052 * CHOOSE(CONTROL!$C$22, $C$13, 100%, $E$13)</f>
        <v>16.705200000000001</v>
      </c>
      <c r="G874" s="68">
        <f>16.7084 * CHOOSE(CONTROL!$C$22, $C$13, 100%, $E$13)</f>
        <v>16.708400000000001</v>
      </c>
      <c r="H874" s="68">
        <f>27.4183* CHOOSE(CONTROL!$C$22, $C$13, 100%, $E$13)</f>
        <v>27.418299999999999</v>
      </c>
      <c r="I874" s="68">
        <f>27.4216 * CHOOSE(CONTROL!$C$22, $C$13, 100%, $E$13)</f>
        <v>27.421600000000002</v>
      </c>
      <c r="J874" s="68">
        <f>16.7052 * CHOOSE(CONTROL!$C$22, $C$13, 100%, $E$13)</f>
        <v>16.705200000000001</v>
      </c>
      <c r="K874" s="68">
        <f>16.7084 * CHOOSE(CONTROL!$C$22, $C$13, 100%, $E$13)</f>
        <v>16.708400000000001</v>
      </c>
    </row>
    <row r="875" spans="1:11" ht="15">
      <c r="A875" s="13">
        <v>67754</v>
      </c>
      <c r="B875" s="67">
        <f>14.7768 * CHOOSE(CONTROL!$C$22, $C$13, 100%, $E$13)</f>
        <v>14.7768</v>
      </c>
      <c r="C875" s="67">
        <f>14.7768 * CHOOSE(CONTROL!$C$22, $C$13, 100%, $E$13)</f>
        <v>14.7768</v>
      </c>
      <c r="D875" s="67">
        <f>14.7794 * CHOOSE(CONTROL!$C$22, $C$13, 100%, $E$13)</f>
        <v>14.779400000000001</v>
      </c>
      <c r="E875" s="68">
        <f>16.9704 * CHOOSE(CONTROL!$C$22, $C$13, 100%, $E$13)</f>
        <v>16.970400000000001</v>
      </c>
      <c r="F875" s="68">
        <f>16.9704 * CHOOSE(CONTROL!$C$22, $C$13, 100%, $E$13)</f>
        <v>16.970400000000001</v>
      </c>
      <c r="G875" s="68">
        <f>16.9737 * CHOOSE(CONTROL!$C$22, $C$13, 100%, $E$13)</f>
        <v>16.973700000000001</v>
      </c>
      <c r="H875" s="68">
        <f>27.4755* CHOOSE(CONTROL!$C$22, $C$13, 100%, $E$13)</f>
        <v>27.4755</v>
      </c>
      <c r="I875" s="68">
        <f>27.4787 * CHOOSE(CONTROL!$C$22, $C$13, 100%, $E$13)</f>
        <v>27.4787</v>
      </c>
      <c r="J875" s="68">
        <f>16.9704 * CHOOSE(CONTROL!$C$22, $C$13, 100%, $E$13)</f>
        <v>16.970400000000001</v>
      </c>
      <c r="K875" s="68">
        <f>16.9737 * CHOOSE(CONTROL!$C$22, $C$13, 100%, $E$13)</f>
        <v>16.973700000000001</v>
      </c>
    </row>
    <row r="876" spans="1:11" ht="15">
      <c r="A876" s="13">
        <v>67785</v>
      </c>
      <c r="B876" s="67">
        <f>14.7835 * CHOOSE(CONTROL!$C$22, $C$13, 100%, $E$13)</f>
        <v>14.7835</v>
      </c>
      <c r="C876" s="67">
        <f>14.7835 * CHOOSE(CONTROL!$C$22, $C$13, 100%, $E$13)</f>
        <v>14.7835</v>
      </c>
      <c r="D876" s="67">
        <f>14.7861 * CHOOSE(CONTROL!$C$22, $C$13, 100%, $E$13)</f>
        <v>14.786099999999999</v>
      </c>
      <c r="E876" s="68">
        <f>16.6946 * CHOOSE(CONTROL!$C$22, $C$13, 100%, $E$13)</f>
        <v>16.694600000000001</v>
      </c>
      <c r="F876" s="68">
        <f>16.6946 * CHOOSE(CONTROL!$C$22, $C$13, 100%, $E$13)</f>
        <v>16.694600000000001</v>
      </c>
      <c r="G876" s="68">
        <f>16.6979 * CHOOSE(CONTROL!$C$22, $C$13, 100%, $E$13)</f>
        <v>16.697900000000001</v>
      </c>
      <c r="H876" s="68">
        <f>27.5327* CHOOSE(CONTROL!$C$22, $C$13, 100%, $E$13)</f>
        <v>27.532699999999998</v>
      </c>
      <c r="I876" s="68">
        <f>27.536 * CHOOSE(CONTROL!$C$22, $C$13, 100%, $E$13)</f>
        <v>27.536000000000001</v>
      </c>
      <c r="J876" s="68">
        <f>16.6946 * CHOOSE(CONTROL!$C$22, $C$13, 100%, $E$13)</f>
        <v>16.694600000000001</v>
      </c>
      <c r="K876" s="68">
        <f>16.6979 * CHOOSE(CONTROL!$C$22, $C$13, 100%, $E$13)</f>
        <v>16.697900000000001</v>
      </c>
    </row>
    <row r="877" spans="1:11" ht="15">
      <c r="A877" s="13">
        <v>67816</v>
      </c>
      <c r="B877" s="67">
        <f>14.7804 * CHOOSE(CONTROL!$C$22, $C$13, 100%, $E$13)</f>
        <v>14.7804</v>
      </c>
      <c r="C877" s="67">
        <f>14.7804 * CHOOSE(CONTROL!$C$22, $C$13, 100%, $E$13)</f>
        <v>14.7804</v>
      </c>
      <c r="D877" s="67">
        <f>14.783 * CHOOSE(CONTROL!$C$22, $C$13, 100%, $E$13)</f>
        <v>14.782999999999999</v>
      </c>
      <c r="E877" s="68">
        <f>16.6613 * CHOOSE(CONTROL!$C$22, $C$13, 100%, $E$13)</f>
        <v>16.661300000000001</v>
      </c>
      <c r="F877" s="68">
        <f>16.6613 * CHOOSE(CONTROL!$C$22, $C$13, 100%, $E$13)</f>
        <v>16.661300000000001</v>
      </c>
      <c r="G877" s="68">
        <f>16.6646 * CHOOSE(CONTROL!$C$22, $C$13, 100%, $E$13)</f>
        <v>16.6646</v>
      </c>
      <c r="H877" s="68">
        <f>27.5901* CHOOSE(CONTROL!$C$22, $C$13, 100%, $E$13)</f>
        <v>27.5901</v>
      </c>
      <c r="I877" s="68">
        <f>27.5933 * CHOOSE(CONTROL!$C$22, $C$13, 100%, $E$13)</f>
        <v>27.593299999999999</v>
      </c>
      <c r="J877" s="68">
        <f>16.6613 * CHOOSE(CONTROL!$C$22, $C$13, 100%, $E$13)</f>
        <v>16.661300000000001</v>
      </c>
      <c r="K877" s="68">
        <f>16.6646 * CHOOSE(CONTROL!$C$22, $C$13, 100%, $E$13)</f>
        <v>16.6646</v>
      </c>
    </row>
    <row r="878" spans="1:11" ht="15">
      <c r="A878" s="13">
        <v>67846</v>
      </c>
      <c r="B878" s="67">
        <f>14.8102 * CHOOSE(CONTROL!$C$22, $C$13, 100%, $E$13)</f>
        <v>14.8102</v>
      </c>
      <c r="C878" s="67">
        <f>14.8102 * CHOOSE(CONTROL!$C$22, $C$13, 100%, $E$13)</f>
        <v>14.8102</v>
      </c>
      <c r="D878" s="67">
        <f>14.8112 * CHOOSE(CONTROL!$C$22, $C$13, 100%, $E$13)</f>
        <v>14.811199999999999</v>
      </c>
      <c r="E878" s="68">
        <f>16.7726 * CHOOSE(CONTROL!$C$22, $C$13, 100%, $E$13)</f>
        <v>16.772600000000001</v>
      </c>
      <c r="F878" s="68">
        <f>16.7726 * CHOOSE(CONTROL!$C$22, $C$13, 100%, $E$13)</f>
        <v>16.772600000000001</v>
      </c>
      <c r="G878" s="68">
        <f>16.7739 * CHOOSE(CONTROL!$C$22, $C$13, 100%, $E$13)</f>
        <v>16.773900000000001</v>
      </c>
      <c r="H878" s="68">
        <f>27.6475* CHOOSE(CONTROL!$C$22, $C$13, 100%, $E$13)</f>
        <v>27.647500000000001</v>
      </c>
      <c r="I878" s="68">
        <f>27.6488 * CHOOSE(CONTROL!$C$22, $C$13, 100%, $E$13)</f>
        <v>27.648800000000001</v>
      </c>
      <c r="J878" s="68">
        <f>16.7726 * CHOOSE(CONTROL!$C$22, $C$13, 100%, $E$13)</f>
        <v>16.772600000000001</v>
      </c>
      <c r="K878" s="68">
        <f>16.7739 * CHOOSE(CONTROL!$C$22, $C$13, 100%, $E$13)</f>
        <v>16.773900000000001</v>
      </c>
    </row>
    <row r="879" spans="1:11" ht="15">
      <c r="A879" s="13">
        <v>67877</v>
      </c>
      <c r="B879" s="67">
        <f>14.8132 * CHOOSE(CONTROL!$C$22, $C$13, 100%, $E$13)</f>
        <v>14.8132</v>
      </c>
      <c r="C879" s="67">
        <f>14.8132 * CHOOSE(CONTROL!$C$22, $C$13, 100%, $E$13)</f>
        <v>14.8132</v>
      </c>
      <c r="D879" s="67">
        <f>14.8142 * CHOOSE(CONTROL!$C$22, $C$13, 100%, $E$13)</f>
        <v>14.8142</v>
      </c>
      <c r="E879" s="68">
        <f>16.837 * CHOOSE(CONTROL!$C$22, $C$13, 100%, $E$13)</f>
        <v>16.837</v>
      </c>
      <c r="F879" s="68">
        <f>16.837 * CHOOSE(CONTROL!$C$22, $C$13, 100%, $E$13)</f>
        <v>16.837</v>
      </c>
      <c r="G879" s="68">
        <f>16.8383 * CHOOSE(CONTROL!$C$22, $C$13, 100%, $E$13)</f>
        <v>16.8383</v>
      </c>
      <c r="H879" s="68">
        <f>27.7051* CHOOSE(CONTROL!$C$22, $C$13, 100%, $E$13)</f>
        <v>27.705100000000002</v>
      </c>
      <c r="I879" s="68">
        <f>27.7064 * CHOOSE(CONTROL!$C$22, $C$13, 100%, $E$13)</f>
        <v>27.706399999999999</v>
      </c>
      <c r="J879" s="68">
        <f>16.837 * CHOOSE(CONTROL!$C$22, $C$13, 100%, $E$13)</f>
        <v>16.837</v>
      </c>
      <c r="K879" s="68">
        <f>16.8383 * CHOOSE(CONTROL!$C$22, $C$13, 100%, $E$13)</f>
        <v>16.8383</v>
      </c>
    </row>
    <row r="880" spans="1:11" ht="15">
      <c r="A880" s="13">
        <v>67907</v>
      </c>
      <c r="B880" s="67">
        <f>14.8132 * CHOOSE(CONTROL!$C$22, $C$13, 100%, $E$13)</f>
        <v>14.8132</v>
      </c>
      <c r="C880" s="67">
        <f>14.8132 * CHOOSE(CONTROL!$C$22, $C$13, 100%, $E$13)</f>
        <v>14.8132</v>
      </c>
      <c r="D880" s="67">
        <f>14.8142 * CHOOSE(CONTROL!$C$22, $C$13, 100%, $E$13)</f>
        <v>14.8142</v>
      </c>
      <c r="E880" s="68">
        <f>16.6812 * CHOOSE(CONTROL!$C$22, $C$13, 100%, $E$13)</f>
        <v>16.6812</v>
      </c>
      <c r="F880" s="68">
        <f>16.6812 * CHOOSE(CONTROL!$C$22, $C$13, 100%, $E$13)</f>
        <v>16.6812</v>
      </c>
      <c r="G880" s="68">
        <f>16.6825 * CHOOSE(CONTROL!$C$22, $C$13, 100%, $E$13)</f>
        <v>16.682500000000001</v>
      </c>
      <c r="H880" s="68">
        <f>27.7629* CHOOSE(CONTROL!$C$22, $C$13, 100%, $E$13)</f>
        <v>27.762899999999998</v>
      </c>
      <c r="I880" s="68">
        <f>27.7641 * CHOOSE(CONTROL!$C$22, $C$13, 100%, $E$13)</f>
        <v>27.764099999999999</v>
      </c>
      <c r="J880" s="68">
        <f>16.6812 * CHOOSE(CONTROL!$C$22, $C$13, 100%, $E$13)</f>
        <v>16.6812</v>
      </c>
      <c r="K880" s="68">
        <f>16.6825 * CHOOSE(CONTROL!$C$22, $C$13, 100%, $E$13)</f>
        <v>16.682500000000001</v>
      </c>
    </row>
    <row r="881" spans="1:11" ht="15">
      <c r="A881" s="13">
        <v>67938</v>
      </c>
      <c r="B881" s="67">
        <f>14.7854 * CHOOSE(CONTROL!$C$22, $C$13, 100%, $E$13)</f>
        <v>14.785399999999999</v>
      </c>
      <c r="C881" s="67">
        <f>14.7854 * CHOOSE(CONTROL!$C$22, $C$13, 100%, $E$13)</f>
        <v>14.785399999999999</v>
      </c>
      <c r="D881" s="67">
        <f>14.7864 * CHOOSE(CONTROL!$C$22, $C$13, 100%, $E$13)</f>
        <v>14.7864</v>
      </c>
      <c r="E881" s="68">
        <f>16.7771 * CHOOSE(CONTROL!$C$22, $C$13, 100%, $E$13)</f>
        <v>16.777100000000001</v>
      </c>
      <c r="F881" s="68">
        <f>16.7771 * CHOOSE(CONTROL!$C$22, $C$13, 100%, $E$13)</f>
        <v>16.777100000000001</v>
      </c>
      <c r="G881" s="68">
        <f>16.7784 * CHOOSE(CONTROL!$C$22, $C$13, 100%, $E$13)</f>
        <v>16.778400000000001</v>
      </c>
      <c r="H881" s="68">
        <f>27.5615* CHOOSE(CONTROL!$C$22, $C$13, 100%, $E$13)</f>
        <v>27.561499999999999</v>
      </c>
      <c r="I881" s="68">
        <f>27.5628 * CHOOSE(CONTROL!$C$22, $C$13, 100%, $E$13)</f>
        <v>27.562799999999999</v>
      </c>
      <c r="J881" s="68">
        <f>16.7771 * CHOOSE(CONTROL!$C$22, $C$13, 100%, $E$13)</f>
        <v>16.777100000000001</v>
      </c>
      <c r="K881" s="68">
        <f>16.7784 * CHOOSE(CONTROL!$C$22, $C$13, 100%, $E$13)</f>
        <v>16.778400000000001</v>
      </c>
    </row>
    <row r="882" spans="1:11" ht="15">
      <c r="A882" s="13">
        <v>67969</v>
      </c>
      <c r="B882" s="67">
        <f>14.7824 * CHOOSE(CONTROL!$C$22, $C$13, 100%, $E$13)</f>
        <v>14.782400000000001</v>
      </c>
      <c r="C882" s="67">
        <f>14.7824 * CHOOSE(CONTROL!$C$22, $C$13, 100%, $E$13)</f>
        <v>14.782400000000001</v>
      </c>
      <c r="D882" s="67">
        <f>14.7834 * CHOOSE(CONTROL!$C$22, $C$13, 100%, $E$13)</f>
        <v>14.7834</v>
      </c>
      <c r="E882" s="68">
        <f>16.4756 * CHOOSE(CONTROL!$C$22, $C$13, 100%, $E$13)</f>
        <v>16.4756</v>
      </c>
      <c r="F882" s="68">
        <f>16.4756 * CHOOSE(CONTROL!$C$22, $C$13, 100%, $E$13)</f>
        <v>16.4756</v>
      </c>
      <c r="G882" s="68">
        <f>16.4769 * CHOOSE(CONTROL!$C$22, $C$13, 100%, $E$13)</f>
        <v>16.476900000000001</v>
      </c>
      <c r="H882" s="68">
        <f>27.6189* CHOOSE(CONTROL!$C$22, $C$13, 100%, $E$13)</f>
        <v>27.6189</v>
      </c>
      <c r="I882" s="68">
        <f>27.6202 * CHOOSE(CONTROL!$C$22, $C$13, 100%, $E$13)</f>
        <v>27.620200000000001</v>
      </c>
      <c r="J882" s="68">
        <f>16.4756 * CHOOSE(CONTROL!$C$22, $C$13, 100%, $E$13)</f>
        <v>16.4756</v>
      </c>
      <c r="K882" s="68">
        <f>16.4769 * CHOOSE(CONTROL!$C$22, $C$13, 100%, $E$13)</f>
        <v>16.476900000000001</v>
      </c>
    </row>
    <row r="883" spans="1:11" ht="15">
      <c r="A883" s="13">
        <v>67997</v>
      </c>
      <c r="B883" s="67">
        <f>14.7794 * CHOOSE(CONTROL!$C$22, $C$13, 100%, $E$13)</f>
        <v>14.779400000000001</v>
      </c>
      <c r="C883" s="67">
        <f>14.7794 * CHOOSE(CONTROL!$C$22, $C$13, 100%, $E$13)</f>
        <v>14.779400000000001</v>
      </c>
      <c r="D883" s="67">
        <f>14.7804 * CHOOSE(CONTROL!$C$22, $C$13, 100%, $E$13)</f>
        <v>14.7804</v>
      </c>
      <c r="E883" s="68">
        <f>16.7095 * CHOOSE(CONTROL!$C$22, $C$13, 100%, $E$13)</f>
        <v>16.709499999999998</v>
      </c>
      <c r="F883" s="68">
        <f>16.7095 * CHOOSE(CONTROL!$C$22, $C$13, 100%, $E$13)</f>
        <v>16.709499999999998</v>
      </c>
      <c r="G883" s="68">
        <f>16.7108 * CHOOSE(CONTROL!$C$22, $C$13, 100%, $E$13)</f>
        <v>16.710799999999999</v>
      </c>
      <c r="H883" s="68">
        <f>27.6765* CHOOSE(CONTROL!$C$22, $C$13, 100%, $E$13)</f>
        <v>27.676500000000001</v>
      </c>
      <c r="I883" s="68">
        <f>27.6778 * CHOOSE(CONTROL!$C$22, $C$13, 100%, $E$13)</f>
        <v>27.677800000000001</v>
      </c>
      <c r="J883" s="68">
        <f>16.7095 * CHOOSE(CONTROL!$C$22, $C$13, 100%, $E$13)</f>
        <v>16.709499999999998</v>
      </c>
      <c r="K883" s="68">
        <f>16.7108 * CHOOSE(CONTROL!$C$22, $C$13, 100%, $E$13)</f>
        <v>16.710799999999999</v>
      </c>
    </row>
    <row r="884" spans="1:11" ht="15">
      <c r="A884" s="13">
        <v>68028</v>
      </c>
      <c r="B884" s="67">
        <f>14.786 * CHOOSE(CONTROL!$C$22, $C$13, 100%, $E$13)</f>
        <v>14.786</v>
      </c>
      <c r="C884" s="67">
        <f>14.786 * CHOOSE(CONTROL!$C$22, $C$13, 100%, $E$13)</f>
        <v>14.786</v>
      </c>
      <c r="D884" s="67">
        <f>14.787 * CHOOSE(CONTROL!$C$22, $C$13, 100%, $E$13)</f>
        <v>14.787000000000001</v>
      </c>
      <c r="E884" s="68">
        <f>16.9588 * CHOOSE(CONTROL!$C$22, $C$13, 100%, $E$13)</f>
        <v>16.9588</v>
      </c>
      <c r="F884" s="68">
        <f>16.9588 * CHOOSE(CONTROL!$C$22, $C$13, 100%, $E$13)</f>
        <v>16.9588</v>
      </c>
      <c r="G884" s="68">
        <f>16.9601 * CHOOSE(CONTROL!$C$22, $C$13, 100%, $E$13)</f>
        <v>16.960100000000001</v>
      </c>
      <c r="H884" s="68">
        <f>27.7341* CHOOSE(CONTROL!$C$22, $C$13, 100%, $E$13)</f>
        <v>27.734100000000002</v>
      </c>
      <c r="I884" s="68">
        <f>27.7354 * CHOOSE(CONTROL!$C$22, $C$13, 100%, $E$13)</f>
        <v>27.735399999999998</v>
      </c>
      <c r="J884" s="68">
        <f>16.9588 * CHOOSE(CONTROL!$C$22, $C$13, 100%, $E$13)</f>
        <v>16.9588</v>
      </c>
      <c r="K884" s="68">
        <f>16.9601 * CHOOSE(CONTROL!$C$22, $C$13, 100%, $E$13)</f>
        <v>16.960100000000001</v>
      </c>
    </row>
    <row r="885" spans="1:11" ht="15">
      <c r="A885" s="13">
        <v>68058</v>
      </c>
      <c r="B885" s="67">
        <f>14.786 * CHOOSE(CONTROL!$C$22, $C$13, 100%, $E$13)</f>
        <v>14.786</v>
      </c>
      <c r="C885" s="67">
        <f>14.786 * CHOOSE(CONTROL!$C$22, $C$13, 100%, $E$13)</f>
        <v>14.786</v>
      </c>
      <c r="D885" s="67">
        <f>14.7887 * CHOOSE(CONTROL!$C$22, $C$13, 100%, $E$13)</f>
        <v>14.7887</v>
      </c>
      <c r="E885" s="68">
        <f>17.0538 * CHOOSE(CONTROL!$C$22, $C$13, 100%, $E$13)</f>
        <v>17.053799999999999</v>
      </c>
      <c r="F885" s="68">
        <f>17.0538 * CHOOSE(CONTROL!$C$22, $C$13, 100%, $E$13)</f>
        <v>17.053799999999999</v>
      </c>
      <c r="G885" s="68">
        <f>17.0571 * CHOOSE(CONTROL!$C$22, $C$13, 100%, $E$13)</f>
        <v>17.057099999999998</v>
      </c>
      <c r="H885" s="68">
        <f>27.7919* CHOOSE(CONTROL!$C$22, $C$13, 100%, $E$13)</f>
        <v>27.791899999999998</v>
      </c>
      <c r="I885" s="68">
        <f>27.7952 * CHOOSE(CONTROL!$C$22, $C$13, 100%, $E$13)</f>
        <v>27.795200000000001</v>
      </c>
      <c r="J885" s="68">
        <f>17.0538 * CHOOSE(CONTROL!$C$22, $C$13, 100%, $E$13)</f>
        <v>17.053799999999999</v>
      </c>
      <c r="K885" s="68">
        <f>17.0571 * CHOOSE(CONTROL!$C$22, $C$13, 100%, $E$13)</f>
        <v>17.057099999999998</v>
      </c>
    </row>
    <row r="886" spans="1:11" ht="15">
      <c r="A886" s="13">
        <v>68089</v>
      </c>
      <c r="B886" s="67">
        <f>14.7921 * CHOOSE(CONTROL!$C$22, $C$13, 100%, $E$13)</f>
        <v>14.7921</v>
      </c>
      <c r="C886" s="67">
        <f>14.7921 * CHOOSE(CONTROL!$C$22, $C$13, 100%, $E$13)</f>
        <v>14.7921</v>
      </c>
      <c r="D886" s="67">
        <f>14.7947 * CHOOSE(CONTROL!$C$22, $C$13, 100%, $E$13)</f>
        <v>14.794700000000001</v>
      </c>
      <c r="E886" s="68">
        <f>16.963 * CHOOSE(CONTROL!$C$22, $C$13, 100%, $E$13)</f>
        <v>16.963000000000001</v>
      </c>
      <c r="F886" s="68">
        <f>16.963 * CHOOSE(CONTROL!$C$22, $C$13, 100%, $E$13)</f>
        <v>16.963000000000001</v>
      </c>
      <c r="G886" s="68">
        <f>16.9663 * CHOOSE(CONTROL!$C$22, $C$13, 100%, $E$13)</f>
        <v>16.9663</v>
      </c>
      <c r="H886" s="68">
        <f>27.8498* CHOOSE(CONTROL!$C$22, $C$13, 100%, $E$13)</f>
        <v>27.849799999999998</v>
      </c>
      <c r="I886" s="68">
        <f>27.8531 * CHOOSE(CONTROL!$C$22, $C$13, 100%, $E$13)</f>
        <v>27.853100000000001</v>
      </c>
      <c r="J886" s="68">
        <f>16.963 * CHOOSE(CONTROL!$C$22, $C$13, 100%, $E$13)</f>
        <v>16.963000000000001</v>
      </c>
      <c r="K886" s="68">
        <f>16.9663 * CHOOSE(CONTROL!$C$22, $C$13, 100%, $E$13)</f>
        <v>16.9663</v>
      </c>
    </row>
    <row r="887" spans="1:11" ht="15">
      <c r="A887" s="13">
        <v>68119</v>
      </c>
      <c r="B887" s="67">
        <f>15.016 * CHOOSE(CONTROL!$C$22, $C$13, 100%, $E$13)</f>
        <v>15.016</v>
      </c>
      <c r="C887" s="67">
        <f>15.016 * CHOOSE(CONTROL!$C$22, $C$13, 100%, $E$13)</f>
        <v>15.016</v>
      </c>
      <c r="D887" s="67">
        <f>15.0186 * CHOOSE(CONTROL!$C$22, $C$13, 100%, $E$13)</f>
        <v>15.018599999999999</v>
      </c>
      <c r="E887" s="68">
        <f>17.2322 * CHOOSE(CONTROL!$C$22, $C$13, 100%, $E$13)</f>
        <v>17.232199999999999</v>
      </c>
      <c r="F887" s="68">
        <f>17.2322 * CHOOSE(CONTROL!$C$22, $C$13, 100%, $E$13)</f>
        <v>17.232199999999999</v>
      </c>
      <c r="G887" s="68">
        <f>17.2355 * CHOOSE(CONTROL!$C$22, $C$13, 100%, $E$13)</f>
        <v>17.235499999999998</v>
      </c>
      <c r="H887" s="68">
        <f>27.9078* CHOOSE(CONTROL!$C$22, $C$13, 100%, $E$13)</f>
        <v>27.907800000000002</v>
      </c>
      <c r="I887" s="68">
        <f>27.9111 * CHOOSE(CONTROL!$C$22, $C$13, 100%, $E$13)</f>
        <v>27.911100000000001</v>
      </c>
      <c r="J887" s="68">
        <f>17.2322 * CHOOSE(CONTROL!$C$22, $C$13, 100%, $E$13)</f>
        <v>17.232199999999999</v>
      </c>
      <c r="K887" s="68">
        <f>17.2355 * CHOOSE(CONTROL!$C$22, $C$13, 100%, $E$13)</f>
        <v>17.235499999999998</v>
      </c>
    </row>
    <row r="888" spans="1:11" ht="15">
      <c r="A888" s="13">
        <v>68150</v>
      </c>
      <c r="B888" s="67">
        <f>15.0226 * CHOOSE(CONTROL!$C$22, $C$13, 100%, $E$13)</f>
        <v>15.022600000000001</v>
      </c>
      <c r="C888" s="67">
        <f>15.0226 * CHOOSE(CONTROL!$C$22, $C$13, 100%, $E$13)</f>
        <v>15.022600000000001</v>
      </c>
      <c r="D888" s="67">
        <f>15.0253 * CHOOSE(CONTROL!$C$22, $C$13, 100%, $E$13)</f>
        <v>15.0253</v>
      </c>
      <c r="E888" s="68">
        <f>16.9517 * CHOOSE(CONTROL!$C$22, $C$13, 100%, $E$13)</f>
        <v>16.951699999999999</v>
      </c>
      <c r="F888" s="68">
        <f>16.9517 * CHOOSE(CONTROL!$C$22, $C$13, 100%, $E$13)</f>
        <v>16.951699999999999</v>
      </c>
      <c r="G888" s="68">
        <f>16.9549 * CHOOSE(CONTROL!$C$22, $C$13, 100%, $E$13)</f>
        <v>16.954899999999999</v>
      </c>
      <c r="H888" s="68">
        <f>27.966* CHOOSE(CONTROL!$C$22, $C$13, 100%, $E$13)</f>
        <v>27.966000000000001</v>
      </c>
      <c r="I888" s="68">
        <f>27.9692 * CHOOSE(CONTROL!$C$22, $C$13, 100%, $E$13)</f>
        <v>27.969200000000001</v>
      </c>
      <c r="J888" s="68">
        <f>16.9517 * CHOOSE(CONTROL!$C$22, $C$13, 100%, $E$13)</f>
        <v>16.951699999999999</v>
      </c>
      <c r="K888" s="68">
        <f>16.9549 * CHOOSE(CONTROL!$C$22, $C$13, 100%, $E$13)</f>
        <v>16.954899999999999</v>
      </c>
    </row>
    <row r="889" spans="1:11" ht="15">
      <c r="A889" s="13">
        <v>68181</v>
      </c>
      <c r="B889" s="67">
        <f>15.0196 * CHOOSE(CONTROL!$C$22, $C$13, 100%, $E$13)</f>
        <v>15.019600000000001</v>
      </c>
      <c r="C889" s="67">
        <f>15.0196 * CHOOSE(CONTROL!$C$22, $C$13, 100%, $E$13)</f>
        <v>15.019600000000001</v>
      </c>
      <c r="D889" s="67">
        <f>15.0222 * CHOOSE(CONTROL!$C$22, $C$13, 100%, $E$13)</f>
        <v>15.0222</v>
      </c>
      <c r="E889" s="68">
        <f>16.9179 * CHOOSE(CONTROL!$C$22, $C$13, 100%, $E$13)</f>
        <v>16.917899999999999</v>
      </c>
      <c r="F889" s="68">
        <f>16.9179 * CHOOSE(CONTROL!$C$22, $C$13, 100%, $E$13)</f>
        <v>16.917899999999999</v>
      </c>
      <c r="G889" s="68">
        <f>16.9211 * CHOOSE(CONTROL!$C$22, $C$13, 100%, $E$13)</f>
        <v>16.921099999999999</v>
      </c>
      <c r="H889" s="68">
        <f>28.0242* CHOOSE(CONTROL!$C$22, $C$13, 100%, $E$13)</f>
        <v>28.0242</v>
      </c>
      <c r="I889" s="68">
        <f>28.0275 * CHOOSE(CONTROL!$C$22, $C$13, 100%, $E$13)</f>
        <v>28.0275</v>
      </c>
      <c r="J889" s="68">
        <f>16.9179 * CHOOSE(CONTROL!$C$22, $C$13, 100%, $E$13)</f>
        <v>16.917899999999999</v>
      </c>
      <c r="K889" s="68">
        <f>16.9211 * CHOOSE(CONTROL!$C$22, $C$13, 100%, $E$13)</f>
        <v>16.921099999999999</v>
      </c>
    </row>
    <row r="890" spans="1:11" ht="15">
      <c r="A890" s="13">
        <v>68211</v>
      </c>
      <c r="B890" s="67">
        <f>15.0501 * CHOOSE(CONTROL!$C$22, $C$13, 100%, $E$13)</f>
        <v>15.0501</v>
      </c>
      <c r="C890" s="67">
        <f>15.0501 * CHOOSE(CONTROL!$C$22, $C$13, 100%, $E$13)</f>
        <v>15.0501</v>
      </c>
      <c r="D890" s="67">
        <f>15.0511 * CHOOSE(CONTROL!$C$22, $C$13, 100%, $E$13)</f>
        <v>15.0511</v>
      </c>
      <c r="E890" s="68">
        <f>17.0312 * CHOOSE(CONTROL!$C$22, $C$13, 100%, $E$13)</f>
        <v>17.031199999999998</v>
      </c>
      <c r="F890" s="68">
        <f>17.0312 * CHOOSE(CONTROL!$C$22, $C$13, 100%, $E$13)</f>
        <v>17.031199999999998</v>
      </c>
      <c r="G890" s="68">
        <f>17.0325 * CHOOSE(CONTROL!$C$22, $C$13, 100%, $E$13)</f>
        <v>17.032499999999999</v>
      </c>
      <c r="H890" s="68">
        <f>28.0826* CHOOSE(CONTROL!$C$22, $C$13, 100%, $E$13)</f>
        <v>28.082599999999999</v>
      </c>
      <c r="I890" s="68">
        <f>28.0839 * CHOOSE(CONTROL!$C$22, $C$13, 100%, $E$13)</f>
        <v>28.0839</v>
      </c>
      <c r="J890" s="68">
        <f>17.0312 * CHOOSE(CONTROL!$C$22, $C$13, 100%, $E$13)</f>
        <v>17.031199999999998</v>
      </c>
      <c r="K890" s="68">
        <f>17.0325 * CHOOSE(CONTROL!$C$22, $C$13, 100%, $E$13)</f>
        <v>17.032499999999999</v>
      </c>
    </row>
    <row r="891" spans="1:11" ht="15">
      <c r="A891" s="13">
        <v>68242</v>
      </c>
      <c r="B891" s="67">
        <f>15.0532 * CHOOSE(CONTROL!$C$22, $C$13, 100%, $E$13)</f>
        <v>15.0532</v>
      </c>
      <c r="C891" s="67">
        <f>15.0532 * CHOOSE(CONTROL!$C$22, $C$13, 100%, $E$13)</f>
        <v>15.0532</v>
      </c>
      <c r="D891" s="67">
        <f>15.0541 * CHOOSE(CONTROL!$C$22, $C$13, 100%, $E$13)</f>
        <v>15.0541</v>
      </c>
      <c r="E891" s="68">
        <f>17.0967 * CHOOSE(CONTROL!$C$22, $C$13, 100%, $E$13)</f>
        <v>17.096699999999998</v>
      </c>
      <c r="F891" s="68">
        <f>17.0967 * CHOOSE(CONTROL!$C$22, $C$13, 100%, $E$13)</f>
        <v>17.096699999999998</v>
      </c>
      <c r="G891" s="68">
        <f>17.098 * CHOOSE(CONTROL!$C$22, $C$13, 100%, $E$13)</f>
        <v>17.097999999999999</v>
      </c>
      <c r="H891" s="68">
        <f>28.1411* CHOOSE(CONTROL!$C$22, $C$13, 100%, $E$13)</f>
        <v>28.141100000000002</v>
      </c>
      <c r="I891" s="68">
        <f>28.1424 * CHOOSE(CONTROL!$C$22, $C$13, 100%, $E$13)</f>
        <v>28.142399999999999</v>
      </c>
      <c r="J891" s="68">
        <f>17.0967 * CHOOSE(CONTROL!$C$22, $C$13, 100%, $E$13)</f>
        <v>17.096699999999998</v>
      </c>
      <c r="K891" s="68">
        <f>17.098 * CHOOSE(CONTROL!$C$22, $C$13, 100%, $E$13)</f>
        <v>17.097999999999999</v>
      </c>
    </row>
    <row r="892" spans="1:11" ht="15">
      <c r="A892" s="13">
        <v>68272</v>
      </c>
      <c r="B892" s="67">
        <f>15.0532 * CHOOSE(CONTROL!$C$22, $C$13, 100%, $E$13)</f>
        <v>15.0532</v>
      </c>
      <c r="C892" s="67">
        <f>15.0532 * CHOOSE(CONTROL!$C$22, $C$13, 100%, $E$13)</f>
        <v>15.0532</v>
      </c>
      <c r="D892" s="67">
        <f>15.0541 * CHOOSE(CONTROL!$C$22, $C$13, 100%, $E$13)</f>
        <v>15.0541</v>
      </c>
      <c r="E892" s="68">
        <f>16.9383 * CHOOSE(CONTROL!$C$22, $C$13, 100%, $E$13)</f>
        <v>16.938300000000002</v>
      </c>
      <c r="F892" s="68">
        <f>16.9383 * CHOOSE(CONTROL!$C$22, $C$13, 100%, $E$13)</f>
        <v>16.938300000000002</v>
      </c>
      <c r="G892" s="68">
        <f>16.9396 * CHOOSE(CONTROL!$C$22, $C$13, 100%, $E$13)</f>
        <v>16.939599999999999</v>
      </c>
      <c r="H892" s="68">
        <f>28.1998* CHOOSE(CONTROL!$C$22, $C$13, 100%, $E$13)</f>
        <v>28.1998</v>
      </c>
      <c r="I892" s="68">
        <f>28.201 * CHOOSE(CONTROL!$C$22, $C$13, 100%, $E$13)</f>
        <v>28.201000000000001</v>
      </c>
      <c r="J892" s="68">
        <f>16.9383 * CHOOSE(CONTROL!$C$22, $C$13, 100%, $E$13)</f>
        <v>16.938300000000002</v>
      </c>
      <c r="K892" s="68">
        <f>16.9396 * CHOOSE(CONTROL!$C$22, $C$13, 100%, $E$13)</f>
        <v>16.939599999999999</v>
      </c>
    </row>
    <row r="893" spans="1:11" ht="15">
      <c r="A893" s="13">
        <v>68303</v>
      </c>
      <c r="B893" s="67">
        <f>15.021 * CHOOSE(CONTROL!$C$22, $C$13, 100%, $E$13)</f>
        <v>15.021000000000001</v>
      </c>
      <c r="C893" s="67">
        <f>15.021 * CHOOSE(CONTROL!$C$22, $C$13, 100%, $E$13)</f>
        <v>15.021000000000001</v>
      </c>
      <c r="D893" s="67">
        <f>15.022 * CHOOSE(CONTROL!$C$22, $C$13, 100%, $E$13)</f>
        <v>15.022</v>
      </c>
      <c r="E893" s="68">
        <f>17.0319 * CHOOSE(CONTROL!$C$22, $C$13, 100%, $E$13)</f>
        <v>17.0319</v>
      </c>
      <c r="F893" s="68">
        <f>17.0319 * CHOOSE(CONTROL!$C$22, $C$13, 100%, $E$13)</f>
        <v>17.0319</v>
      </c>
      <c r="G893" s="68">
        <f>17.0331 * CHOOSE(CONTROL!$C$22, $C$13, 100%, $E$13)</f>
        <v>17.033100000000001</v>
      </c>
      <c r="H893" s="68">
        <f>27.9885* CHOOSE(CONTROL!$C$22, $C$13, 100%, $E$13)</f>
        <v>27.988499999999998</v>
      </c>
      <c r="I893" s="68">
        <f>27.9898 * CHOOSE(CONTROL!$C$22, $C$13, 100%, $E$13)</f>
        <v>27.989799999999999</v>
      </c>
      <c r="J893" s="68">
        <f>17.0319 * CHOOSE(CONTROL!$C$22, $C$13, 100%, $E$13)</f>
        <v>17.0319</v>
      </c>
      <c r="K893" s="68">
        <f>17.0331 * CHOOSE(CONTROL!$C$22, $C$13, 100%, $E$13)</f>
        <v>17.033100000000001</v>
      </c>
    </row>
    <row r="894" spans="1:11" ht="15">
      <c r="A894" s="13">
        <v>68334</v>
      </c>
      <c r="B894" s="67">
        <f>15.018 * CHOOSE(CONTROL!$C$22, $C$13, 100%, $E$13)</f>
        <v>15.018000000000001</v>
      </c>
      <c r="C894" s="67">
        <f>15.018 * CHOOSE(CONTROL!$C$22, $C$13, 100%, $E$13)</f>
        <v>15.018000000000001</v>
      </c>
      <c r="D894" s="67">
        <f>15.019 * CHOOSE(CONTROL!$C$22, $C$13, 100%, $E$13)</f>
        <v>15.019</v>
      </c>
      <c r="E894" s="68">
        <f>16.7254 * CHOOSE(CONTROL!$C$22, $C$13, 100%, $E$13)</f>
        <v>16.7254</v>
      </c>
      <c r="F894" s="68">
        <f>16.7254 * CHOOSE(CONTROL!$C$22, $C$13, 100%, $E$13)</f>
        <v>16.7254</v>
      </c>
      <c r="G894" s="68">
        <f>16.7267 * CHOOSE(CONTROL!$C$22, $C$13, 100%, $E$13)</f>
        <v>16.726700000000001</v>
      </c>
      <c r="H894" s="68">
        <f>28.0469* CHOOSE(CONTROL!$C$22, $C$13, 100%, $E$13)</f>
        <v>28.046900000000001</v>
      </c>
      <c r="I894" s="68">
        <f>28.0481 * CHOOSE(CONTROL!$C$22, $C$13, 100%, $E$13)</f>
        <v>28.048100000000002</v>
      </c>
      <c r="J894" s="68">
        <f>16.7254 * CHOOSE(CONTROL!$C$22, $C$13, 100%, $E$13)</f>
        <v>16.7254</v>
      </c>
      <c r="K894" s="68">
        <f>16.7267 * CHOOSE(CONTROL!$C$22, $C$13, 100%, $E$13)</f>
        <v>16.726700000000001</v>
      </c>
    </row>
    <row r="895" spans="1:11" ht="15">
      <c r="A895" s="13">
        <v>68362</v>
      </c>
      <c r="B895" s="67">
        <f>15.0149 * CHOOSE(CONTROL!$C$22, $C$13, 100%, $E$13)</f>
        <v>15.014900000000001</v>
      </c>
      <c r="C895" s="67">
        <f>15.0149 * CHOOSE(CONTROL!$C$22, $C$13, 100%, $E$13)</f>
        <v>15.014900000000001</v>
      </c>
      <c r="D895" s="67">
        <f>15.0159 * CHOOSE(CONTROL!$C$22, $C$13, 100%, $E$13)</f>
        <v>15.0159</v>
      </c>
      <c r="E895" s="68">
        <f>16.9632 * CHOOSE(CONTROL!$C$22, $C$13, 100%, $E$13)</f>
        <v>16.963200000000001</v>
      </c>
      <c r="F895" s="68">
        <f>16.9632 * CHOOSE(CONTROL!$C$22, $C$13, 100%, $E$13)</f>
        <v>16.963200000000001</v>
      </c>
      <c r="G895" s="68">
        <f>16.9645 * CHOOSE(CONTROL!$C$22, $C$13, 100%, $E$13)</f>
        <v>16.964500000000001</v>
      </c>
      <c r="H895" s="68">
        <f>28.1053* CHOOSE(CONTROL!$C$22, $C$13, 100%, $E$13)</f>
        <v>28.1053</v>
      </c>
      <c r="I895" s="68">
        <f>28.1066 * CHOOSE(CONTROL!$C$22, $C$13, 100%, $E$13)</f>
        <v>28.1066</v>
      </c>
      <c r="J895" s="68">
        <f>16.9632 * CHOOSE(CONTROL!$C$22, $C$13, 100%, $E$13)</f>
        <v>16.963200000000001</v>
      </c>
      <c r="K895" s="68">
        <f>16.9645 * CHOOSE(CONTROL!$C$22, $C$13, 100%, $E$13)</f>
        <v>16.964500000000001</v>
      </c>
    </row>
    <row r="896" spans="1:11" ht="15">
      <c r="A896" s="13">
        <v>68393</v>
      </c>
      <c r="B896" s="67">
        <f>15.0218 * CHOOSE(CONTROL!$C$22, $C$13, 100%, $E$13)</f>
        <v>15.021800000000001</v>
      </c>
      <c r="C896" s="67">
        <f>15.0218 * CHOOSE(CONTROL!$C$22, $C$13, 100%, $E$13)</f>
        <v>15.021800000000001</v>
      </c>
      <c r="D896" s="67">
        <f>15.0228 * CHOOSE(CONTROL!$C$22, $C$13, 100%, $E$13)</f>
        <v>15.0228</v>
      </c>
      <c r="E896" s="68">
        <f>17.2166 * CHOOSE(CONTROL!$C$22, $C$13, 100%, $E$13)</f>
        <v>17.2166</v>
      </c>
      <c r="F896" s="68">
        <f>17.2166 * CHOOSE(CONTROL!$C$22, $C$13, 100%, $E$13)</f>
        <v>17.2166</v>
      </c>
      <c r="G896" s="68">
        <f>17.2179 * CHOOSE(CONTROL!$C$22, $C$13, 100%, $E$13)</f>
        <v>17.2179</v>
      </c>
      <c r="H896" s="68">
        <f>28.1638* CHOOSE(CONTROL!$C$22, $C$13, 100%, $E$13)</f>
        <v>28.163799999999998</v>
      </c>
      <c r="I896" s="68">
        <f>28.1651 * CHOOSE(CONTROL!$C$22, $C$13, 100%, $E$13)</f>
        <v>28.165099999999999</v>
      </c>
      <c r="J896" s="68">
        <f>17.2166 * CHOOSE(CONTROL!$C$22, $C$13, 100%, $E$13)</f>
        <v>17.2166</v>
      </c>
      <c r="K896" s="68">
        <f>17.2179 * CHOOSE(CONTROL!$C$22, $C$13, 100%, $E$13)</f>
        <v>17.2179</v>
      </c>
    </row>
    <row r="897" spans="1:11" ht="15">
      <c r="A897" s="13">
        <v>68423</v>
      </c>
      <c r="B897" s="67">
        <f>15.0218 * CHOOSE(CONTROL!$C$22, $C$13, 100%, $E$13)</f>
        <v>15.021800000000001</v>
      </c>
      <c r="C897" s="67">
        <f>15.0218 * CHOOSE(CONTROL!$C$22, $C$13, 100%, $E$13)</f>
        <v>15.021800000000001</v>
      </c>
      <c r="D897" s="67">
        <f>15.0244 * CHOOSE(CONTROL!$C$22, $C$13, 100%, $E$13)</f>
        <v>15.0244</v>
      </c>
      <c r="E897" s="68">
        <f>17.3133 * CHOOSE(CONTROL!$C$22, $C$13, 100%, $E$13)</f>
        <v>17.313300000000002</v>
      </c>
      <c r="F897" s="68">
        <f>17.3133 * CHOOSE(CONTROL!$C$22, $C$13, 100%, $E$13)</f>
        <v>17.313300000000002</v>
      </c>
      <c r="G897" s="68">
        <f>17.3165 * CHOOSE(CONTROL!$C$22, $C$13, 100%, $E$13)</f>
        <v>17.316500000000001</v>
      </c>
      <c r="H897" s="68">
        <f>28.2225* CHOOSE(CONTROL!$C$22, $C$13, 100%, $E$13)</f>
        <v>28.2225</v>
      </c>
      <c r="I897" s="68">
        <f>28.2258 * CHOOSE(CONTROL!$C$22, $C$13, 100%, $E$13)</f>
        <v>28.2258</v>
      </c>
      <c r="J897" s="68">
        <f>17.3133 * CHOOSE(CONTROL!$C$22, $C$13, 100%, $E$13)</f>
        <v>17.313300000000002</v>
      </c>
      <c r="K897" s="68">
        <f>17.3165 * CHOOSE(CONTROL!$C$22, $C$13, 100%, $E$13)</f>
        <v>17.316500000000001</v>
      </c>
    </row>
    <row r="898" spans="1:11" ht="15">
      <c r="A898" s="13">
        <v>68454</v>
      </c>
      <c r="B898" s="67">
        <f>15.0279 * CHOOSE(CONTROL!$C$22, $C$13, 100%, $E$13)</f>
        <v>15.027900000000001</v>
      </c>
      <c r="C898" s="67">
        <f>15.0279 * CHOOSE(CONTROL!$C$22, $C$13, 100%, $E$13)</f>
        <v>15.027900000000001</v>
      </c>
      <c r="D898" s="67">
        <f>15.0305 * CHOOSE(CONTROL!$C$22, $C$13, 100%, $E$13)</f>
        <v>15.0305</v>
      </c>
      <c r="E898" s="68">
        <f>17.2209 * CHOOSE(CONTROL!$C$22, $C$13, 100%, $E$13)</f>
        <v>17.2209</v>
      </c>
      <c r="F898" s="68">
        <f>17.2209 * CHOOSE(CONTROL!$C$22, $C$13, 100%, $E$13)</f>
        <v>17.2209</v>
      </c>
      <c r="G898" s="68">
        <f>17.2241 * CHOOSE(CONTROL!$C$22, $C$13, 100%, $E$13)</f>
        <v>17.2241</v>
      </c>
      <c r="H898" s="68">
        <f>28.2813* CHOOSE(CONTROL!$C$22, $C$13, 100%, $E$13)</f>
        <v>28.281300000000002</v>
      </c>
      <c r="I898" s="68">
        <f>28.2846 * CHOOSE(CONTROL!$C$22, $C$13, 100%, $E$13)</f>
        <v>28.284600000000001</v>
      </c>
      <c r="J898" s="68">
        <f>17.2209 * CHOOSE(CONTROL!$C$22, $C$13, 100%, $E$13)</f>
        <v>17.2209</v>
      </c>
      <c r="K898" s="68">
        <f>17.2241 * CHOOSE(CONTROL!$C$22, $C$13, 100%, $E$13)</f>
        <v>17.2241</v>
      </c>
    </row>
    <row r="899" spans="1:11" ht="15">
      <c r="A899" s="13">
        <v>68484</v>
      </c>
      <c r="B899" s="67">
        <f>15.2551 * CHOOSE(CONTROL!$C$22, $C$13, 100%, $E$13)</f>
        <v>15.255100000000001</v>
      </c>
      <c r="C899" s="67">
        <f>15.2551 * CHOOSE(CONTROL!$C$22, $C$13, 100%, $E$13)</f>
        <v>15.255100000000001</v>
      </c>
      <c r="D899" s="67">
        <f>15.2578 * CHOOSE(CONTROL!$C$22, $C$13, 100%, $E$13)</f>
        <v>15.2578</v>
      </c>
      <c r="E899" s="68">
        <f>17.494 * CHOOSE(CONTROL!$C$22, $C$13, 100%, $E$13)</f>
        <v>17.494</v>
      </c>
      <c r="F899" s="68">
        <f>17.494 * CHOOSE(CONTROL!$C$22, $C$13, 100%, $E$13)</f>
        <v>17.494</v>
      </c>
      <c r="G899" s="68">
        <f>17.4972 * CHOOSE(CONTROL!$C$22, $C$13, 100%, $E$13)</f>
        <v>17.497199999999999</v>
      </c>
      <c r="H899" s="68">
        <f>28.3402* CHOOSE(CONTROL!$C$22, $C$13, 100%, $E$13)</f>
        <v>28.340199999999999</v>
      </c>
      <c r="I899" s="68">
        <f>28.3435 * CHOOSE(CONTROL!$C$22, $C$13, 100%, $E$13)</f>
        <v>28.343499999999999</v>
      </c>
      <c r="J899" s="68">
        <f>17.494 * CHOOSE(CONTROL!$C$22, $C$13, 100%, $E$13)</f>
        <v>17.494</v>
      </c>
      <c r="K899" s="68">
        <f>17.4972 * CHOOSE(CONTROL!$C$22, $C$13, 100%, $E$13)</f>
        <v>17.497199999999999</v>
      </c>
    </row>
    <row r="900" spans="1:11" ht="15">
      <c r="A900" s="13">
        <v>68515</v>
      </c>
      <c r="B900" s="67">
        <f>15.2618 * CHOOSE(CONTROL!$C$22, $C$13, 100%, $E$13)</f>
        <v>15.261799999999999</v>
      </c>
      <c r="C900" s="67">
        <f>15.2618 * CHOOSE(CONTROL!$C$22, $C$13, 100%, $E$13)</f>
        <v>15.261799999999999</v>
      </c>
      <c r="D900" s="67">
        <f>15.2644 * CHOOSE(CONTROL!$C$22, $C$13, 100%, $E$13)</f>
        <v>15.2644</v>
      </c>
      <c r="E900" s="68">
        <f>17.2088 * CHOOSE(CONTROL!$C$22, $C$13, 100%, $E$13)</f>
        <v>17.2088</v>
      </c>
      <c r="F900" s="68">
        <f>17.2088 * CHOOSE(CONTROL!$C$22, $C$13, 100%, $E$13)</f>
        <v>17.2088</v>
      </c>
      <c r="G900" s="68">
        <f>17.212 * CHOOSE(CONTROL!$C$22, $C$13, 100%, $E$13)</f>
        <v>17.212</v>
      </c>
      <c r="H900" s="68">
        <f>28.3993* CHOOSE(CONTROL!$C$22, $C$13, 100%, $E$13)</f>
        <v>28.3993</v>
      </c>
      <c r="I900" s="68">
        <f>28.4025 * CHOOSE(CONTROL!$C$22, $C$13, 100%, $E$13)</f>
        <v>28.4025</v>
      </c>
      <c r="J900" s="68">
        <f>17.2088 * CHOOSE(CONTROL!$C$22, $C$13, 100%, $E$13)</f>
        <v>17.2088</v>
      </c>
      <c r="K900" s="68">
        <f>17.212 * CHOOSE(CONTROL!$C$22, $C$13, 100%, $E$13)</f>
        <v>17.212</v>
      </c>
    </row>
    <row r="901" spans="1:11" ht="15">
      <c r="A901" s="13">
        <v>68546</v>
      </c>
      <c r="B901" s="67">
        <f>15.2588 * CHOOSE(CONTROL!$C$22, $C$13, 100%, $E$13)</f>
        <v>15.258800000000001</v>
      </c>
      <c r="C901" s="67">
        <f>15.2588 * CHOOSE(CONTROL!$C$22, $C$13, 100%, $E$13)</f>
        <v>15.258800000000001</v>
      </c>
      <c r="D901" s="67">
        <f>15.2614 * CHOOSE(CONTROL!$C$22, $C$13, 100%, $E$13)</f>
        <v>15.2614</v>
      </c>
      <c r="E901" s="68">
        <f>17.1744 * CHOOSE(CONTROL!$C$22, $C$13, 100%, $E$13)</f>
        <v>17.174399999999999</v>
      </c>
      <c r="F901" s="68">
        <f>17.1744 * CHOOSE(CONTROL!$C$22, $C$13, 100%, $E$13)</f>
        <v>17.174399999999999</v>
      </c>
      <c r="G901" s="68">
        <f>17.1777 * CHOOSE(CONTROL!$C$22, $C$13, 100%, $E$13)</f>
        <v>17.177700000000002</v>
      </c>
      <c r="H901" s="68">
        <f>28.4584* CHOOSE(CONTROL!$C$22, $C$13, 100%, $E$13)</f>
        <v>28.458400000000001</v>
      </c>
      <c r="I901" s="68">
        <f>28.4617 * CHOOSE(CONTROL!$C$22, $C$13, 100%, $E$13)</f>
        <v>28.4617</v>
      </c>
      <c r="J901" s="68">
        <f>17.1744 * CHOOSE(CONTROL!$C$22, $C$13, 100%, $E$13)</f>
        <v>17.174399999999999</v>
      </c>
      <c r="K901" s="68">
        <f>17.1777 * CHOOSE(CONTROL!$C$22, $C$13, 100%, $E$13)</f>
        <v>17.177700000000002</v>
      </c>
    </row>
    <row r="902" spans="1:11" ht="15">
      <c r="A902" s="13">
        <v>68576</v>
      </c>
      <c r="B902" s="67">
        <f>15.2901 * CHOOSE(CONTROL!$C$22, $C$13, 100%, $E$13)</f>
        <v>15.290100000000001</v>
      </c>
      <c r="C902" s="67">
        <f>15.2901 * CHOOSE(CONTROL!$C$22, $C$13, 100%, $E$13)</f>
        <v>15.290100000000001</v>
      </c>
      <c r="D902" s="67">
        <f>15.291 * CHOOSE(CONTROL!$C$22, $C$13, 100%, $E$13)</f>
        <v>15.291</v>
      </c>
      <c r="E902" s="68">
        <f>17.2899 * CHOOSE(CONTROL!$C$22, $C$13, 100%, $E$13)</f>
        <v>17.289899999999999</v>
      </c>
      <c r="F902" s="68">
        <f>17.2899 * CHOOSE(CONTROL!$C$22, $C$13, 100%, $E$13)</f>
        <v>17.289899999999999</v>
      </c>
      <c r="G902" s="68">
        <f>17.2911 * CHOOSE(CONTROL!$C$22, $C$13, 100%, $E$13)</f>
        <v>17.2911</v>
      </c>
      <c r="H902" s="68">
        <f>28.5177* CHOOSE(CONTROL!$C$22, $C$13, 100%, $E$13)</f>
        <v>28.517700000000001</v>
      </c>
      <c r="I902" s="68">
        <f>28.519 * CHOOSE(CONTROL!$C$22, $C$13, 100%, $E$13)</f>
        <v>28.518999999999998</v>
      </c>
      <c r="J902" s="68">
        <f>17.2899 * CHOOSE(CONTROL!$C$22, $C$13, 100%, $E$13)</f>
        <v>17.289899999999999</v>
      </c>
      <c r="K902" s="68">
        <f>17.2911 * CHOOSE(CONTROL!$C$22, $C$13, 100%, $E$13)</f>
        <v>17.2911</v>
      </c>
    </row>
    <row r="903" spans="1:11" ht="15">
      <c r="A903" s="13">
        <v>68607</v>
      </c>
      <c r="B903" s="67">
        <f>15.2931 * CHOOSE(CONTROL!$C$22, $C$13, 100%, $E$13)</f>
        <v>15.293100000000001</v>
      </c>
      <c r="C903" s="67">
        <f>15.2931 * CHOOSE(CONTROL!$C$22, $C$13, 100%, $E$13)</f>
        <v>15.293100000000001</v>
      </c>
      <c r="D903" s="67">
        <f>15.2941 * CHOOSE(CONTROL!$C$22, $C$13, 100%, $E$13)</f>
        <v>15.2941</v>
      </c>
      <c r="E903" s="68">
        <f>17.3564 * CHOOSE(CONTROL!$C$22, $C$13, 100%, $E$13)</f>
        <v>17.356400000000001</v>
      </c>
      <c r="F903" s="68">
        <f>17.3564 * CHOOSE(CONTROL!$C$22, $C$13, 100%, $E$13)</f>
        <v>17.356400000000001</v>
      </c>
      <c r="G903" s="68">
        <f>17.3577 * CHOOSE(CONTROL!$C$22, $C$13, 100%, $E$13)</f>
        <v>17.357700000000001</v>
      </c>
      <c r="H903" s="68">
        <f>28.5771* CHOOSE(CONTROL!$C$22, $C$13, 100%, $E$13)</f>
        <v>28.577100000000002</v>
      </c>
      <c r="I903" s="68">
        <f>28.5784 * CHOOSE(CONTROL!$C$22, $C$13, 100%, $E$13)</f>
        <v>28.578399999999998</v>
      </c>
      <c r="J903" s="68">
        <f>17.3564 * CHOOSE(CONTROL!$C$22, $C$13, 100%, $E$13)</f>
        <v>17.356400000000001</v>
      </c>
      <c r="K903" s="68">
        <f>17.3577 * CHOOSE(CONTROL!$C$22, $C$13, 100%, $E$13)</f>
        <v>17.357700000000001</v>
      </c>
    </row>
    <row r="904" spans="1:11" ht="15">
      <c r="A904" s="13">
        <v>68637</v>
      </c>
      <c r="B904" s="67">
        <f>15.2931 * CHOOSE(CONTROL!$C$22, $C$13, 100%, $E$13)</f>
        <v>15.293100000000001</v>
      </c>
      <c r="C904" s="67">
        <f>15.2931 * CHOOSE(CONTROL!$C$22, $C$13, 100%, $E$13)</f>
        <v>15.293100000000001</v>
      </c>
      <c r="D904" s="67">
        <f>15.2941 * CHOOSE(CONTROL!$C$22, $C$13, 100%, $E$13)</f>
        <v>15.2941</v>
      </c>
      <c r="E904" s="68">
        <f>17.1953 * CHOOSE(CONTROL!$C$22, $C$13, 100%, $E$13)</f>
        <v>17.1953</v>
      </c>
      <c r="F904" s="68">
        <f>17.1953 * CHOOSE(CONTROL!$C$22, $C$13, 100%, $E$13)</f>
        <v>17.1953</v>
      </c>
      <c r="G904" s="68">
        <f>17.1966 * CHOOSE(CONTROL!$C$22, $C$13, 100%, $E$13)</f>
        <v>17.1966</v>
      </c>
      <c r="H904" s="68">
        <f>28.6367* CHOOSE(CONTROL!$C$22, $C$13, 100%, $E$13)</f>
        <v>28.636700000000001</v>
      </c>
      <c r="I904" s="68">
        <f>28.638 * CHOOSE(CONTROL!$C$22, $C$13, 100%, $E$13)</f>
        <v>28.638000000000002</v>
      </c>
      <c r="J904" s="68">
        <f>17.1953 * CHOOSE(CONTROL!$C$22, $C$13, 100%, $E$13)</f>
        <v>17.1953</v>
      </c>
      <c r="K904" s="68">
        <f>17.1966 * CHOOSE(CONTROL!$C$22, $C$13, 100%, $E$13)</f>
        <v>17.1966</v>
      </c>
    </row>
    <row r="905" spans="1:11" ht="15">
      <c r="A905" s="13">
        <v>68668</v>
      </c>
      <c r="B905" s="67">
        <f>15.2566 * CHOOSE(CONTROL!$C$22, $C$13, 100%, $E$13)</f>
        <v>15.256600000000001</v>
      </c>
      <c r="C905" s="67">
        <f>15.2566 * CHOOSE(CONTROL!$C$22, $C$13, 100%, $E$13)</f>
        <v>15.256600000000001</v>
      </c>
      <c r="D905" s="67">
        <f>15.2576 * CHOOSE(CONTROL!$C$22, $C$13, 100%, $E$13)</f>
        <v>15.2576</v>
      </c>
      <c r="E905" s="68">
        <f>17.2866 * CHOOSE(CONTROL!$C$22, $C$13, 100%, $E$13)</f>
        <v>17.2866</v>
      </c>
      <c r="F905" s="68">
        <f>17.2866 * CHOOSE(CONTROL!$C$22, $C$13, 100%, $E$13)</f>
        <v>17.2866</v>
      </c>
      <c r="G905" s="68">
        <f>17.2879 * CHOOSE(CONTROL!$C$22, $C$13, 100%, $E$13)</f>
        <v>17.2879</v>
      </c>
      <c r="H905" s="68">
        <f>28.4156* CHOOSE(CONTROL!$C$22, $C$13, 100%, $E$13)</f>
        <v>28.415600000000001</v>
      </c>
      <c r="I905" s="68">
        <f>28.4169 * CHOOSE(CONTROL!$C$22, $C$13, 100%, $E$13)</f>
        <v>28.416899999999998</v>
      </c>
      <c r="J905" s="68">
        <f>17.2866 * CHOOSE(CONTROL!$C$22, $C$13, 100%, $E$13)</f>
        <v>17.2866</v>
      </c>
      <c r="K905" s="68">
        <f>17.2879 * CHOOSE(CONTROL!$C$22, $C$13, 100%, $E$13)</f>
        <v>17.2879</v>
      </c>
    </row>
    <row r="906" spans="1:11" ht="15">
      <c r="A906" s="13">
        <v>68699</v>
      </c>
      <c r="B906" s="67">
        <f>15.2536 * CHOOSE(CONTROL!$C$22, $C$13, 100%, $E$13)</f>
        <v>15.2536</v>
      </c>
      <c r="C906" s="67">
        <f>15.2536 * CHOOSE(CONTROL!$C$22, $C$13, 100%, $E$13)</f>
        <v>15.2536</v>
      </c>
      <c r="D906" s="67">
        <f>15.2545 * CHOOSE(CONTROL!$C$22, $C$13, 100%, $E$13)</f>
        <v>15.2545</v>
      </c>
      <c r="E906" s="68">
        <f>16.9752 * CHOOSE(CONTROL!$C$22, $C$13, 100%, $E$13)</f>
        <v>16.975200000000001</v>
      </c>
      <c r="F906" s="68">
        <f>16.9752 * CHOOSE(CONTROL!$C$22, $C$13, 100%, $E$13)</f>
        <v>16.975200000000001</v>
      </c>
      <c r="G906" s="68">
        <f>16.9765 * CHOOSE(CONTROL!$C$22, $C$13, 100%, $E$13)</f>
        <v>16.976500000000001</v>
      </c>
      <c r="H906" s="68">
        <f>28.4748* CHOOSE(CONTROL!$C$22, $C$13, 100%, $E$13)</f>
        <v>28.474799999999998</v>
      </c>
      <c r="I906" s="68">
        <f>28.4761 * CHOOSE(CONTROL!$C$22, $C$13, 100%, $E$13)</f>
        <v>28.476099999999999</v>
      </c>
      <c r="J906" s="68">
        <f>16.9752 * CHOOSE(CONTROL!$C$22, $C$13, 100%, $E$13)</f>
        <v>16.975200000000001</v>
      </c>
      <c r="K906" s="68">
        <f>16.9765 * CHOOSE(CONTROL!$C$22, $C$13, 100%, $E$13)</f>
        <v>16.976500000000001</v>
      </c>
    </row>
    <row r="907" spans="1:11" ht="15">
      <c r="A907" s="13">
        <v>68728</v>
      </c>
      <c r="B907" s="67">
        <f>15.2505 * CHOOSE(CONTROL!$C$22, $C$13, 100%, $E$13)</f>
        <v>15.250500000000001</v>
      </c>
      <c r="C907" s="67">
        <f>15.2505 * CHOOSE(CONTROL!$C$22, $C$13, 100%, $E$13)</f>
        <v>15.250500000000001</v>
      </c>
      <c r="D907" s="67">
        <f>15.2515 * CHOOSE(CONTROL!$C$22, $C$13, 100%, $E$13)</f>
        <v>15.2515</v>
      </c>
      <c r="E907" s="68">
        <f>17.2169 * CHOOSE(CONTROL!$C$22, $C$13, 100%, $E$13)</f>
        <v>17.216899999999999</v>
      </c>
      <c r="F907" s="68">
        <f>17.2169 * CHOOSE(CONTROL!$C$22, $C$13, 100%, $E$13)</f>
        <v>17.216899999999999</v>
      </c>
      <c r="G907" s="68">
        <f>17.2182 * CHOOSE(CONTROL!$C$22, $C$13, 100%, $E$13)</f>
        <v>17.2182</v>
      </c>
      <c r="H907" s="68">
        <f>28.5341* CHOOSE(CONTROL!$C$22, $C$13, 100%, $E$13)</f>
        <v>28.534099999999999</v>
      </c>
      <c r="I907" s="68">
        <f>28.5354 * CHOOSE(CONTROL!$C$22, $C$13, 100%, $E$13)</f>
        <v>28.535399999999999</v>
      </c>
      <c r="J907" s="68">
        <f>17.2169 * CHOOSE(CONTROL!$C$22, $C$13, 100%, $E$13)</f>
        <v>17.216899999999999</v>
      </c>
      <c r="K907" s="68">
        <f>17.2182 * CHOOSE(CONTROL!$C$22, $C$13, 100%, $E$13)</f>
        <v>17.2182</v>
      </c>
    </row>
    <row r="908" spans="1:11" ht="15">
      <c r="A908" s="13">
        <v>68759</v>
      </c>
      <c r="B908" s="67">
        <f>15.2576 * CHOOSE(CONTROL!$C$22, $C$13, 100%, $E$13)</f>
        <v>15.2576</v>
      </c>
      <c r="C908" s="67">
        <f>15.2576 * CHOOSE(CONTROL!$C$22, $C$13, 100%, $E$13)</f>
        <v>15.2576</v>
      </c>
      <c r="D908" s="67">
        <f>15.2586 * CHOOSE(CONTROL!$C$22, $C$13, 100%, $E$13)</f>
        <v>15.258599999999999</v>
      </c>
      <c r="E908" s="68">
        <f>17.4745 * CHOOSE(CONTROL!$C$22, $C$13, 100%, $E$13)</f>
        <v>17.474499999999999</v>
      </c>
      <c r="F908" s="68">
        <f>17.4745 * CHOOSE(CONTROL!$C$22, $C$13, 100%, $E$13)</f>
        <v>17.474499999999999</v>
      </c>
      <c r="G908" s="68">
        <f>17.4758 * CHOOSE(CONTROL!$C$22, $C$13, 100%, $E$13)</f>
        <v>17.4758</v>
      </c>
      <c r="H908" s="68">
        <f>28.5935* CHOOSE(CONTROL!$C$22, $C$13, 100%, $E$13)</f>
        <v>28.593499999999999</v>
      </c>
      <c r="I908" s="68">
        <f>28.5948 * CHOOSE(CONTROL!$C$22, $C$13, 100%, $E$13)</f>
        <v>28.594799999999999</v>
      </c>
      <c r="J908" s="68">
        <f>17.4745 * CHOOSE(CONTROL!$C$22, $C$13, 100%, $E$13)</f>
        <v>17.474499999999999</v>
      </c>
      <c r="K908" s="68">
        <f>17.4758 * CHOOSE(CONTROL!$C$22, $C$13, 100%, $E$13)</f>
        <v>17.4758</v>
      </c>
    </row>
    <row r="909" spans="1:11" ht="15">
      <c r="A909" s="13">
        <v>68789</v>
      </c>
      <c r="B909" s="67">
        <f>15.2576 * CHOOSE(CONTROL!$C$22, $C$13, 100%, $E$13)</f>
        <v>15.2576</v>
      </c>
      <c r="C909" s="67">
        <f>15.2576 * CHOOSE(CONTROL!$C$22, $C$13, 100%, $E$13)</f>
        <v>15.2576</v>
      </c>
      <c r="D909" s="67">
        <f>15.2602 * CHOOSE(CONTROL!$C$22, $C$13, 100%, $E$13)</f>
        <v>15.260199999999999</v>
      </c>
      <c r="E909" s="68">
        <f>17.5727 * CHOOSE(CONTROL!$C$22, $C$13, 100%, $E$13)</f>
        <v>17.572700000000001</v>
      </c>
      <c r="F909" s="68">
        <f>17.5727 * CHOOSE(CONTROL!$C$22, $C$13, 100%, $E$13)</f>
        <v>17.572700000000001</v>
      </c>
      <c r="G909" s="68">
        <f>17.576 * CHOOSE(CONTROL!$C$22, $C$13, 100%, $E$13)</f>
        <v>17.576000000000001</v>
      </c>
      <c r="H909" s="68">
        <f>28.6531* CHOOSE(CONTROL!$C$22, $C$13, 100%, $E$13)</f>
        <v>28.653099999999998</v>
      </c>
      <c r="I909" s="68">
        <f>28.6564 * CHOOSE(CONTROL!$C$22, $C$13, 100%, $E$13)</f>
        <v>28.656400000000001</v>
      </c>
      <c r="J909" s="68">
        <f>17.5727 * CHOOSE(CONTROL!$C$22, $C$13, 100%, $E$13)</f>
        <v>17.572700000000001</v>
      </c>
      <c r="K909" s="68">
        <f>17.576 * CHOOSE(CONTROL!$C$22, $C$13, 100%, $E$13)</f>
        <v>17.576000000000001</v>
      </c>
    </row>
    <row r="910" spans="1:11" ht="15">
      <c r="A910" s="13">
        <v>68820</v>
      </c>
      <c r="B910" s="67">
        <f>15.2637 * CHOOSE(CONTROL!$C$22, $C$13, 100%, $E$13)</f>
        <v>15.2637</v>
      </c>
      <c r="C910" s="67">
        <f>15.2637 * CHOOSE(CONTROL!$C$22, $C$13, 100%, $E$13)</f>
        <v>15.2637</v>
      </c>
      <c r="D910" s="67">
        <f>15.2663 * CHOOSE(CONTROL!$C$22, $C$13, 100%, $E$13)</f>
        <v>15.266299999999999</v>
      </c>
      <c r="E910" s="68">
        <f>17.4787 * CHOOSE(CONTROL!$C$22, $C$13, 100%, $E$13)</f>
        <v>17.4787</v>
      </c>
      <c r="F910" s="68">
        <f>17.4787 * CHOOSE(CONTROL!$C$22, $C$13, 100%, $E$13)</f>
        <v>17.4787</v>
      </c>
      <c r="G910" s="68">
        <f>17.482 * CHOOSE(CONTROL!$C$22, $C$13, 100%, $E$13)</f>
        <v>17.481999999999999</v>
      </c>
      <c r="H910" s="68">
        <f>28.7128* CHOOSE(CONTROL!$C$22, $C$13, 100%, $E$13)</f>
        <v>28.712800000000001</v>
      </c>
      <c r="I910" s="68">
        <f>28.7161 * CHOOSE(CONTROL!$C$22, $C$13, 100%, $E$13)</f>
        <v>28.716100000000001</v>
      </c>
      <c r="J910" s="68">
        <f>17.4787 * CHOOSE(CONTROL!$C$22, $C$13, 100%, $E$13)</f>
        <v>17.4787</v>
      </c>
      <c r="K910" s="68">
        <f>17.482 * CHOOSE(CONTROL!$C$22, $C$13, 100%, $E$13)</f>
        <v>17.481999999999999</v>
      </c>
    </row>
    <row r="911" spans="1:11" ht="15">
      <c r="A911" s="13">
        <v>68850</v>
      </c>
      <c r="B911" s="67">
        <f>15.4943 * CHOOSE(CONTROL!$C$22, $C$13, 100%, $E$13)</f>
        <v>15.494300000000001</v>
      </c>
      <c r="C911" s="67">
        <f>15.4943 * CHOOSE(CONTROL!$C$22, $C$13, 100%, $E$13)</f>
        <v>15.494300000000001</v>
      </c>
      <c r="D911" s="67">
        <f>15.4969 * CHOOSE(CONTROL!$C$22, $C$13, 100%, $E$13)</f>
        <v>15.4969</v>
      </c>
      <c r="E911" s="68">
        <f>17.7558 * CHOOSE(CONTROL!$C$22, $C$13, 100%, $E$13)</f>
        <v>17.755800000000001</v>
      </c>
      <c r="F911" s="68">
        <f>17.7558 * CHOOSE(CONTROL!$C$22, $C$13, 100%, $E$13)</f>
        <v>17.755800000000001</v>
      </c>
      <c r="G911" s="68">
        <f>17.759 * CHOOSE(CONTROL!$C$22, $C$13, 100%, $E$13)</f>
        <v>17.759</v>
      </c>
      <c r="H911" s="68">
        <f>28.7726* CHOOSE(CONTROL!$C$22, $C$13, 100%, $E$13)</f>
        <v>28.772600000000001</v>
      </c>
      <c r="I911" s="68">
        <f>28.7759 * CHOOSE(CONTROL!$C$22, $C$13, 100%, $E$13)</f>
        <v>28.7759</v>
      </c>
      <c r="J911" s="68">
        <f>17.7558 * CHOOSE(CONTROL!$C$22, $C$13, 100%, $E$13)</f>
        <v>17.755800000000001</v>
      </c>
      <c r="K911" s="68">
        <f>17.759 * CHOOSE(CONTROL!$C$22, $C$13, 100%, $E$13)</f>
        <v>17.759</v>
      </c>
    </row>
    <row r="912" spans="1:11" ht="15">
      <c r="A912" s="13">
        <v>68881</v>
      </c>
      <c r="B912" s="67">
        <f>15.501 * CHOOSE(CONTROL!$C$22, $C$13, 100%, $E$13)</f>
        <v>15.500999999999999</v>
      </c>
      <c r="C912" s="67">
        <f>15.501 * CHOOSE(CONTROL!$C$22, $C$13, 100%, $E$13)</f>
        <v>15.500999999999999</v>
      </c>
      <c r="D912" s="67">
        <f>15.5036 * CHOOSE(CONTROL!$C$22, $C$13, 100%, $E$13)</f>
        <v>15.5036</v>
      </c>
      <c r="E912" s="68">
        <f>17.4658 * CHOOSE(CONTROL!$C$22, $C$13, 100%, $E$13)</f>
        <v>17.465800000000002</v>
      </c>
      <c r="F912" s="68">
        <f>17.4658 * CHOOSE(CONTROL!$C$22, $C$13, 100%, $E$13)</f>
        <v>17.465800000000002</v>
      </c>
      <c r="G912" s="68">
        <f>17.4691 * CHOOSE(CONTROL!$C$22, $C$13, 100%, $E$13)</f>
        <v>17.469100000000001</v>
      </c>
      <c r="H912" s="68">
        <f>28.8326* CHOOSE(CONTROL!$C$22, $C$13, 100%, $E$13)</f>
        <v>28.832599999999999</v>
      </c>
      <c r="I912" s="68">
        <f>28.8358 * CHOOSE(CONTROL!$C$22, $C$13, 100%, $E$13)</f>
        <v>28.835799999999999</v>
      </c>
      <c r="J912" s="68">
        <f>17.4658 * CHOOSE(CONTROL!$C$22, $C$13, 100%, $E$13)</f>
        <v>17.465800000000002</v>
      </c>
      <c r="K912" s="68">
        <f>17.4691 * CHOOSE(CONTROL!$C$22, $C$13, 100%, $E$13)</f>
        <v>17.469100000000001</v>
      </c>
    </row>
    <row r="913" spans="1:11" ht="15">
      <c r="A913" s="13">
        <v>68912</v>
      </c>
      <c r="B913" s="67">
        <f>15.498 * CHOOSE(CONTROL!$C$22, $C$13, 100%, $E$13)</f>
        <v>15.497999999999999</v>
      </c>
      <c r="C913" s="67">
        <f>15.498 * CHOOSE(CONTROL!$C$22, $C$13, 100%, $E$13)</f>
        <v>15.497999999999999</v>
      </c>
      <c r="D913" s="67">
        <f>15.5006 * CHOOSE(CONTROL!$C$22, $C$13, 100%, $E$13)</f>
        <v>15.5006</v>
      </c>
      <c r="E913" s="68">
        <f>17.431 * CHOOSE(CONTROL!$C$22, $C$13, 100%, $E$13)</f>
        <v>17.431000000000001</v>
      </c>
      <c r="F913" s="68">
        <f>17.431 * CHOOSE(CONTROL!$C$22, $C$13, 100%, $E$13)</f>
        <v>17.431000000000001</v>
      </c>
      <c r="G913" s="68">
        <f>17.4342 * CHOOSE(CONTROL!$C$22, $C$13, 100%, $E$13)</f>
        <v>17.434200000000001</v>
      </c>
      <c r="H913" s="68">
        <f>28.8926* CHOOSE(CONTROL!$C$22, $C$13, 100%, $E$13)</f>
        <v>28.892600000000002</v>
      </c>
      <c r="I913" s="68">
        <f>28.8959 * CHOOSE(CONTROL!$C$22, $C$13, 100%, $E$13)</f>
        <v>28.895900000000001</v>
      </c>
      <c r="J913" s="68">
        <f>17.431 * CHOOSE(CONTROL!$C$22, $C$13, 100%, $E$13)</f>
        <v>17.431000000000001</v>
      </c>
      <c r="K913" s="68">
        <f>17.4342 * CHOOSE(CONTROL!$C$22, $C$13, 100%, $E$13)</f>
        <v>17.434200000000001</v>
      </c>
    </row>
    <row r="914" spans="1:11" ht="15">
      <c r="A914" s="13">
        <v>68942</v>
      </c>
      <c r="B914" s="67">
        <f>15.53 * CHOOSE(CONTROL!$C$22, $C$13, 100%, $E$13)</f>
        <v>15.53</v>
      </c>
      <c r="C914" s="67">
        <f>15.53 * CHOOSE(CONTROL!$C$22, $C$13, 100%, $E$13)</f>
        <v>15.53</v>
      </c>
      <c r="D914" s="67">
        <f>15.531 * CHOOSE(CONTROL!$C$22, $C$13, 100%, $E$13)</f>
        <v>15.531000000000001</v>
      </c>
      <c r="E914" s="68">
        <f>17.5485 * CHOOSE(CONTROL!$C$22, $C$13, 100%, $E$13)</f>
        <v>17.548500000000001</v>
      </c>
      <c r="F914" s="68">
        <f>17.5485 * CHOOSE(CONTROL!$C$22, $C$13, 100%, $E$13)</f>
        <v>17.548500000000001</v>
      </c>
      <c r="G914" s="68">
        <f>17.5498 * CHOOSE(CONTROL!$C$22, $C$13, 100%, $E$13)</f>
        <v>17.549800000000001</v>
      </c>
      <c r="H914" s="68">
        <f>28.9528* CHOOSE(CONTROL!$C$22, $C$13, 100%, $E$13)</f>
        <v>28.9528</v>
      </c>
      <c r="I914" s="68">
        <f>28.9541 * CHOOSE(CONTROL!$C$22, $C$13, 100%, $E$13)</f>
        <v>28.9541</v>
      </c>
      <c r="J914" s="68">
        <f>17.5485 * CHOOSE(CONTROL!$C$22, $C$13, 100%, $E$13)</f>
        <v>17.548500000000001</v>
      </c>
      <c r="K914" s="68">
        <f>17.5498 * CHOOSE(CONTROL!$C$22, $C$13, 100%, $E$13)</f>
        <v>17.549800000000001</v>
      </c>
    </row>
    <row r="915" spans="1:11" ht="15">
      <c r="A915" s="13">
        <v>68973</v>
      </c>
      <c r="B915" s="67">
        <f>15.533 * CHOOSE(CONTROL!$C$22, $C$13, 100%, $E$13)</f>
        <v>15.532999999999999</v>
      </c>
      <c r="C915" s="67">
        <f>15.533 * CHOOSE(CONTROL!$C$22, $C$13, 100%, $E$13)</f>
        <v>15.532999999999999</v>
      </c>
      <c r="D915" s="67">
        <f>15.534 * CHOOSE(CONTROL!$C$22, $C$13, 100%, $E$13)</f>
        <v>15.534000000000001</v>
      </c>
      <c r="E915" s="68">
        <f>17.6161 * CHOOSE(CONTROL!$C$22, $C$13, 100%, $E$13)</f>
        <v>17.616099999999999</v>
      </c>
      <c r="F915" s="68">
        <f>17.6161 * CHOOSE(CONTROL!$C$22, $C$13, 100%, $E$13)</f>
        <v>17.616099999999999</v>
      </c>
      <c r="G915" s="68">
        <f>17.6174 * CHOOSE(CONTROL!$C$22, $C$13, 100%, $E$13)</f>
        <v>17.6174</v>
      </c>
      <c r="H915" s="68">
        <f>29.0131* CHOOSE(CONTROL!$C$22, $C$13, 100%, $E$13)</f>
        <v>29.013100000000001</v>
      </c>
      <c r="I915" s="68">
        <f>29.0144 * CHOOSE(CONTROL!$C$22, $C$13, 100%, $E$13)</f>
        <v>29.014399999999998</v>
      </c>
      <c r="J915" s="68">
        <f>17.6161 * CHOOSE(CONTROL!$C$22, $C$13, 100%, $E$13)</f>
        <v>17.616099999999999</v>
      </c>
      <c r="K915" s="68">
        <f>17.6174 * CHOOSE(CONTROL!$C$22, $C$13, 100%, $E$13)</f>
        <v>17.6174</v>
      </c>
    </row>
    <row r="916" spans="1:11" ht="15">
      <c r="A916" s="13">
        <v>69003</v>
      </c>
      <c r="B916" s="67">
        <f>15.533 * CHOOSE(CONTROL!$C$22, $C$13, 100%, $E$13)</f>
        <v>15.532999999999999</v>
      </c>
      <c r="C916" s="67">
        <f>15.533 * CHOOSE(CONTROL!$C$22, $C$13, 100%, $E$13)</f>
        <v>15.532999999999999</v>
      </c>
      <c r="D916" s="67">
        <f>15.534 * CHOOSE(CONTROL!$C$22, $C$13, 100%, $E$13)</f>
        <v>15.534000000000001</v>
      </c>
      <c r="E916" s="68">
        <f>17.4524 * CHOOSE(CONTROL!$C$22, $C$13, 100%, $E$13)</f>
        <v>17.452400000000001</v>
      </c>
      <c r="F916" s="68">
        <f>17.4524 * CHOOSE(CONTROL!$C$22, $C$13, 100%, $E$13)</f>
        <v>17.452400000000001</v>
      </c>
      <c r="G916" s="68">
        <f>17.4537 * CHOOSE(CONTROL!$C$22, $C$13, 100%, $E$13)</f>
        <v>17.453700000000001</v>
      </c>
      <c r="H916" s="68">
        <f>29.0736* CHOOSE(CONTROL!$C$22, $C$13, 100%, $E$13)</f>
        <v>29.073599999999999</v>
      </c>
      <c r="I916" s="68">
        <f>29.0749 * CHOOSE(CONTROL!$C$22, $C$13, 100%, $E$13)</f>
        <v>29.0749</v>
      </c>
      <c r="J916" s="68">
        <f>17.4524 * CHOOSE(CONTROL!$C$22, $C$13, 100%, $E$13)</f>
        <v>17.452400000000001</v>
      </c>
      <c r="K916" s="68">
        <f>17.4537 * CHOOSE(CONTROL!$C$22, $C$13, 100%, $E$13)</f>
        <v>17.453700000000001</v>
      </c>
    </row>
    <row r="917" spans="1:11" ht="15">
      <c r="A917" s="13">
        <v>69034</v>
      </c>
      <c r="B917" s="67">
        <f>15.4922 * CHOOSE(CONTROL!$C$22, $C$13, 100%, $E$13)</f>
        <v>15.4922</v>
      </c>
      <c r="C917" s="67">
        <f>15.4922 * CHOOSE(CONTROL!$C$22, $C$13, 100%, $E$13)</f>
        <v>15.4922</v>
      </c>
      <c r="D917" s="67">
        <f>15.4931 * CHOOSE(CONTROL!$C$22, $C$13, 100%, $E$13)</f>
        <v>15.4931</v>
      </c>
      <c r="E917" s="68">
        <f>17.5413 * CHOOSE(CONTROL!$C$22, $C$13, 100%, $E$13)</f>
        <v>17.5413</v>
      </c>
      <c r="F917" s="68">
        <f>17.5413 * CHOOSE(CONTROL!$C$22, $C$13, 100%, $E$13)</f>
        <v>17.5413</v>
      </c>
      <c r="G917" s="68">
        <f>17.5426 * CHOOSE(CONTROL!$C$22, $C$13, 100%, $E$13)</f>
        <v>17.5426</v>
      </c>
      <c r="H917" s="68">
        <f>28.8426* CHOOSE(CONTROL!$C$22, $C$13, 100%, $E$13)</f>
        <v>28.842600000000001</v>
      </c>
      <c r="I917" s="68">
        <f>28.8439 * CHOOSE(CONTROL!$C$22, $C$13, 100%, $E$13)</f>
        <v>28.843900000000001</v>
      </c>
      <c r="J917" s="68">
        <f>17.5413 * CHOOSE(CONTROL!$C$22, $C$13, 100%, $E$13)</f>
        <v>17.5413</v>
      </c>
      <c r="K917" s="68">
        <f>17.5426 * CHOOSE(CONTROL!$C$22, $C$13, 100%, $E$13)</f>
        <v>17.5426</v>
      </c>
    </row>
    <row r="918" spans="1:11" ht="15">
      <c r="A918" s="13">
        <v>69065</v>
      </c>
      <c r="B918" s="67">
        <f>15.4891 * CHOOSE(CONTROL!$C$22, $C$13, 100%, $E$13)</f>
        <v>15.489100000000001</v>
      </c>
      <c r="C918" s="67">
        <f>15.4891 * CHOOSE(CONTROL!$C$22, $C$13, 100%, $E$13)</f>
        <v>15.489100000000001</v>
      </c>
      <c r="D918" s="67">
        <f>15.4901 * CHOOSE(CONTROL!$C$22, $C$13, 100%, $E$13)</f>
        <v>15.4901</v>
      </c>
      <c r="E918" s="68">
        <f>17.225 * CHOOSE(CONTROL!$C$22, $C$13, 100%, $E$13)</f>
        <v>17.225000000000001</v>
      </c>
      <c r="F918" s="68">
        <f>17.225 * CHOOSE(CONTROL!$C$22, $C$13, 100%, $E$13)</f>
        <v>17.225000000000001</v>
      </c>
      <c r="G918" s="68">
        <f>17.2262 * CHOOSE(CONTROL!$C$22, $C$13, 100%, $E$13)</f>
        <v>17.226199999999999</v>
      </c>
      <c r="H918" s="68">
        <f>28.9027* CHOOSE(CONTROL!$C$22, $C$13, 100%, $E$13)</f>
        <v>28.902699999999999</v>
      </c>
      <c r="I918" s="68">
        <f>28.904 * CHOOSE(CONTROL!$C$22, $C$13, 100%, $E$13)</f>
        <v>28.904</v>
      </c>
      <c r="J918" s="68">
        <f>17.225 * CHOOSE(CONTROL!$C$22, $C$13, 100%, $E$13)</f>
        <v>17.225000000000001</v>
      </c>
      <c r="K918" s="68">
        <f>17.2262 * CHOOSE(CONTROL!$C$22, $C$13, 100%, $E$13)</f>
        <v>17.226199999999999</v>
      </c>
    </row>
    <row r="919" spans="1:11" ht="15">
      <c r="A919" s="13">
        <v>69093</v>
      </c>
      <c r="B919" s="67">
        <f>15.4861 * CHOOSE(CONTROL!$C$22, $C$13, 100%, $E$13)</f>
        <v>15.4861</v>
      </c>
      <c r="C919" s="67">
        <f>15.4861 * CHOOSE(CONTROL!$C$22, $C$13, 100%, $E$13)</f>
        <v>15.4861</v>
      </c>
      <c r="D919" s="67">
        <f>15.4871 * CHOOSE(CONTROL!$C$22, $C$13, 100%, $E$13)</f>
        <v>15.4871</v>
      </c>
      <c r="E919" s="68">
        <f>17.4706 * CHOOSE(CONTROL!$C$22, $C$13, 100%, $E$13)</f>
        <v>17.470600000000001</v>
      </c>
      <c r="F919" s="68">
        <f>17.4706 * CHOOSE(CONTROL!$C$22, $C$13, 100%, $E$13)</f>
        <v>17.470600000000001</v>
      </c>
      <c r="G919" s="68">
        <f>17.4718 * CHOOSE(CONTROL!$C$22, $C$13, 100%, $E$13)</f>
        <v>17.471800000000002</v>
      </c>
      <c r="H919" s="68">
        <f>28.9629* CHOOSE(CONTROL!$C$22, $C$13, 100%, $E$13)</f>
        <v>28.962900000000001</v>
      </c>
      <c r="I919" s="68">
        <f>28.9642 * CHOOSE(CONTROL!$C$22, $C$13, 100%, $E$13)</f>
        <v>28.964200000000002</v>
      </c>
      <c r="J919" s="68">
        <f>17.4706 * CHOOSE(CONTROL!$C$22, $C$13, 100%, $E$13)</f>
        <v>17.470600000000001</v>
      </c>
      <c r="K919" s="68">
        <f>17.4718 * CHOOSE(CONTROL!$C$22, $C$13, 100%, $E$13)</f>
        <v>17.471800000000002</v>
      </c>
    </row>
    <row r="920" spans="1:11" ht="15">
      <c r="A920" s="13">
        <v>69124</v>
      </c>
      <c r="B920" s="67">
        <f>15.4933 * CHOOSE(CONTROL!$C$22, $C$13, 100%, $E$13)</f>
        <v>15.4933</v>
      </c>
      <c r="C920" s="67">
        <f>15.4933 * CHOOSE(CONTROL!$C$22, $C$13, 100%, $E$13)</f>
        <v>15.4933</v>
      </c>
      <c r="D920" s="67">
        <f>15.4943 * CHOOSE(CONTROL!$C$22, $C$13, 100%, $E$13)</f>
        <v>15.494300000000001</v>
      </c>
      <c r="E920" s="68">
        <f>17.7324 * CHOOSE(CONTROL!$C$22, $C$13, 100%, $E$13)</f>
        <v>17.732399999999998</v>
      </c>
      <c r="F920" s="68">
        <f>17.7324 * CHOOSE(CONTROL!$C$22, $C$13, 100%, $E$13)</f>
        <v>17.732399999999998</v>
      </c>
      <c r="G920" s="68">
        <f>17.7336 * CHOOSE(CONTROL!$C$22, $C$13, 100%, $E$13)</f>
        <v>17.733599999999999</v>
      </c>
      <c r="H920" s="68">
        <f>29.0232* CHOOSE(CONTROL!$C$22, $C$13, 100%, $E$13)</f>
        <v>29.023199999999999</v>
      </c>
      <c r="I920" s="68">
        <f>29.0245 * CHOOSE(CONTROL!$C$22, $C$13, 100%, $E$13)</f>
        <v>29.0245</v>
      </c>
      <c r="J920" s="68">
        <f>17.7324 * CHOOSE(CONTROL!$C$22, $C$13, 100%, $E$13)</f>
        <v>17.732399999999998</v>
      </c>
      <c r="K920" s="68">
        <f>17.7336 * CHOOSE(CONTROL!$C$22, $C$13, 100%, $E$13)</f>
        <v>17.733599999999999</v>
      </c>
    </row>
    <row r="921" spans="1:11" ht="15">
      <c r="A921" s="13">
        <v>69154</v>
      </c>
      <c r="B921" s="67">
        <f>15.4933 * CHOOSE(CONTROL!$C$22, $C$13, 100%, $E$13)</f>
        <v>15.4933</v>
      </c>
      <c r="C921" s="67">
        <f>15.4933 * CHOOSE(CONTROL!$C$22, $C$13, 100%, $E$13)</f>
        <v>15.4933</v>
      </c>
      <c r="D921" s="67">
        <f>15.496 * CHOOSE(CONTROL!$C$22, $C$13, 100%, $E$13)</f>
        <v>15.496</v>
      </c>
      <c r="E921" s="68">
        <f>17.8321 * CHOOSE(CONTROL!$C$22, $C$13, 100%, $E$13)</f>
        <v>17.832100000000001</v>
      </c>
      <c r="F921" s="68">
        <f>17.8321 * CHOOSE(CONTROL!$C$22, $C$13, 100%, $E$13)</f>
        <v>17.832100000000001</v>
      </c>
      <c r="G921" s="68">
        <f>17.8354 * CHOOSE(CONTROL!$C$22, $C$13, 100%, $E$13)</f>
        <v>17.8354</v>
      </c>
      <c r="H921" s="68">
        <f>29.0837* CHOOSE(CONTROL!$C$22, $C$13, 100%, $E$13)</f>
        <v>29.0837</v>
      </c>
      <c r="I921" s="68">
        <f>29.0869 * CHOOSE(CONTROL!$C$22, $C$13, 100%, $E$13)</f>
        <v>29.0869</v>
      </c>
      <c r="J921" s="68">
        <f>17.8321 * CHOOSE(CONTROL!$C$22, $C$13, 100%, $E$13)</f>
        <v>17.832100000000001</v>
      </c>
      <c r="K921" s="68">
        <f>17.8354 * CHOOSE(CONTROL!$C$22, $C$13, 100%, $E$13)</f>
        <v>17.8354</v>
      </c>
    </row>
    <row r="922" spans="1:11" ht="15">
      <c r="A922" s="13">
        <v>69185</v>
      </c>
      <c r="B922" s="67">
        <f>15.4994 * CHOOSE(CONTROL!$C$22, $C$13, 100%, $E$13)</f>
        <v>15.4994</v>
      </c>
      <c r="C922" s="67">
        <f>15.4994 * CHOOSE(CONTROL!$C$22, $C$13, 100%, $E$13)</f>
        <v>15.4994</v>
      </c>
      <c r="D922" s="67">
        <f>15.502 * CHOOSE(CONTROL!$C$22, $C$13, 100%, $E$13)</f>
        <v>15.502000000000001</v>
      </c>
      <c r="E922" s="68">
        <f>17.7366 * CHOOSE(CONTROL!$C$22, $C$13, 100%, $E$13)</f>
        <v>17.736599999999999</v>
      </c>
      <c r="F922" s="68">
        <f>17.7366 * CHOOSE(CONTROL!$C$22, $C$13, 100%, $E$13)</f>
        <v>17.736599999999999</v>
      </c>
      <c r="G922" s="68">
        <f>17.7399 * CHOOSE(CONTROL!$C$22, $C$13, 100%, $E$13)</f>
        <v>17.739899999999999</v>
      </c>
      <c r="H922" s="68">
        <f>29.1443* CHOOSE(CONTROL!$C$22, $C$13, 100%, $E$13)</f>
        <v>29.144300000000001</v>
      </c>
      <c r="I922" s="68">
        <f>29.1475 * CHOOSE(CONTROL!$C$22, $C$13, 100%, $E$13)</f>
        <v>29.147500000000001</v>
      </c>
      <c r="J922" s="68">
        <f>17.7366 * CHOOSE(CONTROL!$C$22, $C$13, 100%, $E$13)</f>
        <v>17.736599999999999</v>
      </c>
      <c r="K922" s="68">
        <f>17.7399 * CHOOSE(CONTROL!$C$22, $C$13, 100%, $E$13)</f>
        <v>17.739899999999999</v>
      </c>
    </row>
    <row r="923" spans="1:11" ht="15">
      <c r="A923" s="13">
        <v>69215</v>
      </c>
      <c r="B923" s="67">
        <f>15.7335 * CHOOSE(CONTROL!$C$22, $C$13, 100%, $E$13)</f>
        <v>15.733499999999999</v>
      </c>
      <c r="C923" s="67">
        <f>15.7335 * CHOOSE(CONTROL!$C$22, $C$13, 100%, $E$13)</f>
        <v>15.733499999999999</v>
      </c>
      <c r="D923" s="67">
        <f>15.7361 * CHOOSE(CONTROL!$C$22, $C$13, 100%, $E$13)</f>
        <v>15.7361</v>
      </c>
      <c r="E923" s="68">
        <f>18.0175 * CHOOSE(CONTROL!$C$22, $C$13, 100%, $E$13)</f>
        <v>18.017499999999998</v>
      </c>
      <c r="F923" s="68">
        <f>18.0175 * CHOOSE(CONTROL!$C$22, $C$13, 100%, $E$13)</f>
        <v>18.017499999999998</v>
      </c>
      <c r="G923" s="68">
        <f>18.0208 * CHOOSE(CONTROL!$C$22, $C$13, 100%, $E$13)</f>
        <v>18.020800000000001</v>
      </c>
      <c r="H923" s="68">
        <f>29.205* CHOOSE(CONTROL!$C$22, $C$13, 100%, $E$13)</f>
        <v>29.204999999999998</v>
      </c>
      <c r="I923" s="68">
        <f>29.2083 * CHOOSE(CONTROL!$C$22, $C$13, 100%, $E$13)</f>
        <v>29.208300000000001</v>
      </c>
      <c r="J923" s="68">
        <f>18.0175 * CHOOSE(CONTROL!$C$22, $C$13, 100%, $E$13)</f>
        <v>18.017499999999998</v>
      </c>
      <c r="K923" s="68">
        <f>18.0208 * CHOOSE(CONTROL!$C$22, $C$13, 100%, $E$13)</f>
        <v>18.020800000000001</v>
      </c>
    </row>
    <row r="924" spans="1:11" ht="15">
      <c r="A924" s="13">
        <v>69246</v>
      </c>
      <c r="B924" s="67">
        <f>15.7402 * CHOOSE(CONTROL!$C$22, $C$13, 100%, $E$13)</f>
        <v>15.7402</v>
      </c>
      <c r="C924" s="67">
        <f>15.7402 * CHOOSE(CONTROL!$C$22, $C$13, 100%, $E$13)</f>
        <v>15.7402</v>
      </c>
      <c r="D924" s="67">
        <f>15.7428 * CHOOSE(CONTROL!$C$22, $C$13, 100%, $E$13)</f>
        <v>15.742800000000001</v>
      </c>
      <c r="E924" s="68">
        <f>17.7229 * CHOOSE(CONTROL!$C$22, $C$13, 100%, $E$13)</f>
        <v>17.722899999999999</v>
      </c>
      <c r="F924" s="68">
        <f>17.7229 * CHOOSE(CONTROL!$C$22, $C$13, 100%, $E$13)</f>
        <v>17.722899999999999</v>
      </c>
      <c r="G924" s="68">
        <f>17.7262 * CHOOSE(CONTROL!$C$22, $C$13, 100%, $E$13)</f>
        <v>17.726199999999999</v>
      </c>
      <c r="H924" s="68">
        <f>29.2658* CHOOSE(CONTROL!$C$22, $C$13, 100%, $E$13)</f>
        <v>29.265799999999999</v>
      </c>
      <c r="I924" s="68">
        <f>29.2691 * CHOOSE(CONTROL!$C$22, $C$13, 100%, $E$13)</f>
        <v>29.269100000000002</v>
      </c>
      <c r="J924" s="68">
        <f>17.7229 * CHOOSE(CONTROL!$C$22, $C$13, 100%, $E$13)</f>
        <v>17.722899999999999</v>
      </c>
      <c r="K924" s="68">
        <f>17.7262 * CHOOSE(CONTROL!$C$22, $C$13, 100%, $E$13)</f>
        <v>17.726199999999999</v>
      </c>
    </row>
    <row r="925" spans="1:11" ht="15">
      <c r="A925" s="13">
        <v>69277</v>
      </c>
      <c r="B925" s="67">
        <f>15.7371 * CHOOSE(CONTROL!$C$22, $C$13, 100%, $E$13)</f>
        <v>15.7371</v>
      </c>
      <c r="C925" s="67">
        <f>15.7371 * CHOOSE(CONTROL!$C$22, $C$13, 100%, $E$13)</f>
        <v>15.7371</v>
      </c>
      <c r="D925" s="67">
        <f>15.7398 * CHOOSE(CONTROL!$C$22, $C$13, 100%, $E$13)</f>
        <v>15.739800000000001</v>
      </c>
      <c r="E925" s="68">
        <f>17.6875 * CHOOSE(CONTROL!$C$22, $C$13, 100%, $E$13)</f>
        <v>17.6875</v>
      </c>
      <c r="F925" s="68">
        <f>17.6875 * CHOOSE(CONTROL!$C$22, $C$13, 100%, $E$13)</f>
        <v>17.6875</v>
      </c>
      <c r="G925" s="68">
        <f>17.6908 * CHOOSE(CONTROL!$C$22, $C$13, 100%, $E$13)</f>
        <v>17.690799999999999</v>
      </c>
      <c r="H925" s="68">
        <f>29.3268* CHOOSE(CONTROL!$C$22, $C$13, 100%, $E$13)</f>
        <v>29.326799999999999</v>
      </c>
      <c r="I925" s="68">
        <f>29.3301 * CHOOSE(CONTROL!$C$22, $C$13, 100%, $E$13)</f>
        <v>29.330100000000002</v>
      </c>
      <c r="J925" s="68">
        <f>17.6875 * CHOOSE(CONTROL!$C$22, $C$13, 100%, $E$13)</f>
        <v>17.6875</v>
      </c>
      <c r="K925" s="68">
        <f>17.6908 * CHOOSE(CONTROL!$C$22, $C$13, 100%, $E$13)</f>
        <v>17.690799999999999</v>
      </c>
    </row>
    <row r="926" spans="1:11" ht="15">
      <c r="A926" s="13">
        <v>69307</v>
      </c>
      <c r="B926" s="67">
        <f>15.7699 * CHOOSE(CONTROL!$C$22, $C$13, 100%, $E$13)</f>
        <v>15.7699</v>
      </c>
      <c r="C926" s="67">
        <f>15.7699 * CHOOSE(CONTROL!$C$22, $C$13, 100%, $E$13)</f>
        <v>15.7699</v>
      </c>
      <c r="D926" s="67">
        <f>15.7709 * CHOOSE(CONTROL!$C$22, $C$13, 100%, $E$13)</f>
        <v>15.770899999999999</v>
      </c>
      <c r="E926" s="68">
        <f>17.8071 * CHOOSE(CONTROL!$C$22, $C$13, 100%, $E$13)</f>
        <v>17.807099999999998</v>
      </c>
      <c r="F926" s="68">
        <f>17.8071 * CHOOSE(CONTROL!$C$22, $C$13, 100%, $E$13)</f>
        <v>17.807099999999998</v>
      </c>
      <c r="G926" s="68">
        <f>17.8084 * CHOOSE(CONTROL!$C$22, $C$13, 100%, $E$13)</f>
        <v>17.808399999999999</v>
      </c>
      <c r="H926" s="68">
        <f>29.3879* CHOOSE(CONTROL!$C$22, $C$13, 100%, $E$13)</f>
        <v>29.387899999999998</v>
      </c>
      <c r="I926" s="68">
        <f>29.3892 * CHOOSE(CONTROL!$C$22, $C$13, 100%, $E$13)</f>
        <v>29.389199999999999</v>
      </c>
      <c r="J926" s="68">
        <f>17.8071 * CHOOSE(CONTROL!$C$22, $C$13, 100%, $E$13)</f>
        <v>17.807099999999998</v>
      </c>
      <c r="K926" s="68">
        <f>17.8084 * CHOOSE(CONTROL!$C$22, $C$13, 100%, $E$13)</f>
        <v>17.808399999999999</v>
      </c>
    </row>
    <row r="927" spans="1:11" ht="15">
      <c r="A927" s="13">
        <v>69338</v>
      </c>
      <c r="B927" s="67">
        <f>15.773 * CHOOSE(CONTROL!$C$22, $C$13, 100%, $E$13)</f>
        <v>15.773</v>
      </c>
      <c r="C927" s="67">
        <f>15.773 * CHOOSE(CONTROL!$C$22, $C$13, 100%, $E$13)</f>
        <v>15.773</v>
      </c>
      <c r="D927" s="67">
        <f>15.774 * CHOOSE(CONTROL!$C$22, $C$13, 100%, $E$13)</f>
        <v>15.773999999999999</v>
      </c>
      <c r="E927" s="68">
        <f>17.8758 * CHOOSE(CONTROL!$C$22, $C$13, 100%, $E$13)</f>
        <v>17.875800000000002</v>
      </c>
      <c r="F927" s="68">
        <f>17.8758 * CHOOSE(CONTROL!$C$22, $C$13, 100%, $E$13)</f>
        <v>17.875800000000002</v>
      </c>
      <c r="G927" s="68">
        <f>17.877 * CHOOSE(CONTROL!$C$22, $C$13, 100%, $E$13)</f>
        <v>17.876999999999999</v>
      </c>
      <c r="H927" s="68">
        <f>29.4491* CHOOSE(CONTROL!$C$22, $C$13, 100%, $E$13)</f>
        <v>29.449100000000001</v>
      </c>
      <c r="I927" s="68">
        <f>29.4504 * CHOOSE(CONTROL!$C$22, $C$13, 100%, $E$13)</f>
        <v>29.450399999999998</v>
      </c>
      <c r="J927" s="68">
        <f>17.8758 * CHOOSE(CONTROL!$C$22, $C$13, 100%, $E$13)</f>
        <v>17.875800000000002</v>
      </c>
      <c r="K927" s="68">
        <f>17.877 * CHOOSE(CONTROL!$C$22, $C$13, 100%, $E$13)</f>
        <v>17.876999999999999</v>
      </c>
    </row>
    <row r="928" spans="1:11" ht="15">
      <c r="A928" s="13">
        <v>69368</v>
      </c>
      <c r="B928" s="67">
        <f>15.773 * CHOOSE(CONTROL!$C$22, $C$13, 100%, $E$13)</f>
        <v>15.773</v>
      </c>
      <c r="C928" s="67">
        <f>15.773 * CHOOSE(CONTROL!$C$22, $C$13, 100%, $E$13)</f>
        <v>15.773</v>
      </c>
      <c r="D928" s="67">
        <f>15.774 * CHOOSE(CONTROL!$C$22, $C$13, 100%, $E$13)</f>
        <v>15.773999999999999</v>
      </c>
      <c r="E928" s="68">
        <f>17.7095 * CHOOSE(CONTROL!$C$22, $C$13, 100%, $E$13)</f>
        <v>17.709499999999998</v>
      </c>
      <c r="F928" s="68">
        <f>17.7095 * CHOOSE(CONTROL!$C$22, $C$13, 100%, $E$13)</f>
        <v>17.709499999999998</v>
      </c>
      <c r="G928" s="68">
        <f>17.7108 * CHOOSE(CONTROL!$C$22, $C$13, 100%, $E$13)</f>
        <v>17.710799999999999</v>
      </c>
      <c r="H928" s="68">
        <f>29.5105* CHOOSE(CONTROL!$C$22, $C$13, 100%, $E$13)</f>
        <v>29.5105</v>
      </c>
      <c r="I928" s="68">
        <f>29.5118 * CHOOSE(CONTROL!$C$22, $C$13, 100%, $E$13)</f>
        <v>29.511800000000001</v>
      </c>
      <c r="J928" s="68">
        <f>17.7095 * CHOOSE(CONTROL!$C$22, $C$13, 100%, $E$13)</f>
        <v>17.709499999999998</v>
      </c>
      <c r="K928" s="68">
        <f>17.7108 * CHOOSE(CONTROL!$C$22, $C$13, 100%, $E$13)</f>
        <v>17.710799999999999</v>
      </c>
    </row>
    <row r="929" spans="1:11" ht="15">
      <c r="A929" s="13">
        <v>69399</v>
      </c>
      <c r="B929" s="67">
        <f>15.7277 * CHOOSE(CONTROL!$C$22, $C$13, 100%, $E$13)</f>
        <v>15.7277</v>
      </c>
      <c r="C929" s="67">
        <f>15.7277 * CHOOSE(CONTROL!$C$22, $C$13, 100%, $E$13)</f>
        <v>15.7277</v>
      </c>
      <c r="D929" s="67">
        <f>15.7287 * CHOOSE(CONTROL!$C$22, $C$13, 100%, $E$13)</f>
        <v>15.7287</v>
      </c>
      <c r="E929" s="68">
        <f>17.796 * CHOOSE(CONTROL!$C$22, $C$13, 100%, $E$13)</f>
        <v>17.795999999999999</v>
      </c>
      <c r="F929" s="68">
        <f>17.796 * CHOOSE(CONTROL!$C$22, $C$13, 100%, $E$13)</f>
        <v>17.795999999999999</v>
      </c>
      <c r="G929" s="68">
        <f>17.7973 * CHOOSE(CONTROL!$C$22, $C$13, 100%, $E$13)</f>
        <v>17.7973</v>
      </c>
      <c r="H929" s="68">
        <f>29.2696* CHOOSE(CONTROL!$C$22, $C$13, 100%, $E$13)</f>
        <v>29.269600000000001</v>
      </c>
      <c r="I929" s="68">
        <f>29.2709 * CHOOSE(CONTROL!$C$22, $C$13, 100%, $E$13)</f>
        <v>29.270900000000001</v>
      </c>
      <c r="J929" s="68">
        <f>17.796 * CHOOSE(CONTROL!$C$22, $C$13, 100%, $E$13)</f>
        <v>17.795999999999999</v>
      </c>
      <c r="K929" s="68">
        <f>17.7973 * CHOOSE(CONTROL!$C$22, $C$13, 100%, $E$13)</f>
        <v>17.7973</v>
      </c>
    </row>
    <row r="930" spans="1:11" ht="15">
      <c r="A930" s="13">
        <v>69430</v>
      </c>
      <c r="B930" s="67">
        <f>15.7247 * CHOOSE(CONTROL!$C$22, $C$13, 100%, $E$13)</f>
        <v>15.7247</v>
      </c>
      <c r="C930" s="67">
        <f>15.7247 * CHOOSE(CONTROL!$C$22, $C$13, 100%, $E$13)</f>
        <v>15.7247</v>
      </c>
      <c r="D930" s="67">
        <f>15.7257 * CHOOSE(CONTROL!$C$22, $C$13, 100%, $E$13)</f>
        <v>15.7257</v>
      </c>
      <c r="E930" s="68">
        <f>17.4747 * CHOOSE(CONTROL!$C$22, $C$13, 100%, $E$13)</f>
        <v>17.474699999999999</v>
      </c>
      <c r="F930" s="68">
        <f>17.4747 * CHOOSE(CONTROL!$C$22, $C$13, 100%, $E$13)</f>
        <v>17.474699999999999</v>
      </c>
      <c r="G930" s="68">
        <f>17.476 * CHOOSE(CONTROL!$C$22, $C$13, 100%, $E$13)</f>
        <v>17.475999999999999</v>
      </c>
      <c r="H930" s="68">
        <f>29.3306* CHOOSE(CONTROL!$C$22, $C$13, 100%, $E$13)</f>
        <v>29.3306</v>
      </c>
      <c r="I930" s="68">
        <f>29.3319 * CHOOSE(CONTROL!$C$22, $C$13, 100%, $E$13)</f>
        <v>29.331900000000001</v>
      </c>
      <c r="J930" s="68">
        <f>17.4747 * CHOOSE(CONTROL!$C$22, $C$13, 100%, $E$13)</f>
        <v>17.474699999999999</v>
      </c>
      <c r="K930" s="68">
        <f>17.476 * CHOOSE(CONTROL!$C$22, $C$13, 100%, $E$13)</f>
        <v>17.475999999999999</v>
      </c>
    </row>
    <row r="931" spans="1:11" ht="15">
      <c r="A931" s="13">
        <v>69458</v>
      </c>
      <c r="B931" s="67">
        <f>15.7217 * CHOOSE(CONTROL!$C$22, $C$13, 100%, $E$13)</f>
        <v>15.7217</v>
      </c>
      <c r="C931" s="67">
        <f>15.7217 * CHOOSE(CONTROL!$C$22, $C$13, 100%, $E$13)</f>
        <v>15.7217</v>
      </c>
      <c r="D931" s="67">
        <f>15.7226 * CHOOSE(CONTROL!$C$22, $C$13, 100%, $E$13)</f>
        <v>15.7226</v>
      </c>
      <c r="E931" s="68">
        <f>17.7242 * CHOOSE(CONTROL!$C$22, $C$13, 100%, $E$13)</f>
        <v>17.7242</v>
      </c>
      <c r="F931" s="68">
        <f>17.7242 * CHOOSE(CONTROL!$C$22, $C$13, 100%, $E$13)</f>
        <v>17.7242</v>
      </c>
      <c r="G931" s="68">
        <f>17.7255 * CHOOSE(CONTROL!$C$22, $C$13, 100%, $E$13)</f>
        <v>17.7255</v>
      </c>
      <c r="H931" s="68">
        <f>29.3917* CHOOSE(CONTROL!$C$22, $C$13, 100%, $E$13)</f>
        <v>29.3917</v>
      </c>
      <c r="I931" s="68">
        <f>29.393 * CHOOSE(CONTROL!$C$22, $C$13, 100%, $E$13)</f>
        <v>29.393000000000001</v>
      </c>
      <c r="J931" s="68">
        <f>17.7242 * CHOOSE(CONTROL!$C$22, $C$13, 100%, $E$13)</f>
        <v>17.7242</v>
      </c>
      <c r="K931" s="68">
        <f>17.7255 * CHOOSE(CONTROL!$C$22, $C$13, 100%, $E$13)</f>
        <v>17.7255</v>
      </c>
    </row>
    <row r="932" spans="1:11" ht="15">
      <c r="A932" s="13">
        <v>69489</v>
      </c>
      <c r="B932" s="67">
        <f>15.7291 * CHOOSE(CONTROL!$C$22, $C$13, 100%, $E$13)</f>
        <v>15.729100000000001</v>
      </c>
      <c r="C932" s="67">
        <f>15.7291 * CHOOSE(CONTROL!$C$22, $C$13, 100%, $E$13)</f>
        <v>15.729100000000001</v>
      </c>
      <c r="D932" s="67">
        <f>15.7301 * CHOOSE(CONTROL!$C$22, $C$13, 100%, $E$13)</f>
        <v>15.7301</v>
      </c>
      <c r="E932" s="68">
        <f>17.9902 * CHOOSE(CONTROL!$C$22, $C$13, 100%, $E$13)</f>
        <v>17.990200000000002</v>
      </c>
      <c r="F932" s="68">
        <f>17.9902 * CHOOSE(CONTROL!$C$22, $C$13, 100%, $E$13)</f>
        <v>17.990200000000002</v>
      </c>
      <c r="G932" s="68">
        <f>17.9915 * CHOOSE(CONTROL!$C$22, $C$13, 100%, $E$13)</f>
        <v>17.991499999999998</v>
      </c>
      <c r="H932" s="68">
        <f>29.4529* CHOOSE(CONTROL!$C$22, $C$13, 100%, $E$13)</f>
        <v>29.4529</v>
      </c>
      <c r="I932" s="68">
        <f>29.4542 * CHOOSE(CONTROL!$C$22, $C$13, 100%, $E$13)</f>
        <v>29.4542</v>
      </c>
      <c r="J932" s="68">
        <f>17.9902 * CHOOSE(CONTROL!$C$22, $C$13, 100%, $E$13)</f>
        <v>17.990200000000002</v>
      </c>
      <c r="K932" s="68">
        <f>17.9915 * CHOOSE(CONTROL!$C$22, $C$13, 100%, $E$13)</f>
        <v>17.991499999999998</v>
      </c>
    </row>
    <row r="933" spans="1:11" ht="15">
      <c r="A933" s="13">
        <v>69519</v>
      </c>
      <c r="B933" s="67">
        <f>15.7291 * CHOOSE(CONTROL!$C$22, $C$13, 100%, $E$13)</f>
        <v>15.729100000000001</v>
      </c>
      <c r="C933" s="67">
        <f>15.7291 * CHOOSE(CONTROL!$C$22, $C$13, 100%, $E$13)</f>
        <v>15.729100000000001</v>
      </c>
      <c r="D933" s="67">
        <f>15.7317 * CHOOSE(CONTROL!$C$22, $C$13, 100%, $E$13)</f>
        <v>15.7317</v>
      </c>
      <c r="E933" s="68">
        <f>18.0916 * CHOOSE(CONTROL!$C$22, $C$13, 100%, $E$13)</f>
        <v>18.0916</v>
      </c>
      <c r="F933" s="68">
        <f>18.0916 * CHOOSE(CONTROL!$C$22, $C$13, 100%, $E$13)</f>
        <v>18.0916</v>
      </c>
      <c r="G933" s="68">
        <f>18.0948 * CHOOSE(CONTROL!$C$22, $C$13, 100%, $E$13)</f>
        <v>18.094799999999999</v>
      </c>
      <c r="H933" s="68">
        <f>29.5143* CHOOSE(CONTROL!$C$22, $C$13, 100%, $E$13)</f>
        <v>29.514299999999999</v>
      </c>
      <c r="I933" s="68">
        <f>29.5175 * CHOOSE(CONTROL!$C$22, $C$13, 100%, $E$13)</f>
        <v>29.517499999999998</v>
      </c>
      <c r="J933" s="68">
        <f>18.0916 * CHOOSE(CONTROL!$C$22, $C$13, 100%, $E$13)</f>
        <v>18.0916</v>
      </c>
      <c r="K933" s="68">
        <f>18.0948 * CHOOSE(CONTROL!$C$22, $C$13, 100%, $E$13)</f>
        <v>18.094799999999999</v>
      </c>
    </row>
    <row r="934" spans="1:11" ht="15">
      <c r="A934" s="13">
        <v>69550</v>
      </c>
      <c r="B934" s="67">
        <f>15.7352 * CHOOSE(CONTROL!$C$22, $C$13, 100%, $E$13)</f>
        <v>15.735200000000001</v>
      </c>
      <c r="C934" s="67">
        <f>15.7352 * CHOOSE(CONTROL!$C$22, $C$13, 100%, $E$13)</f>
        <v>15.735200000000001</v>
      </c>
      <c r="D934" s="67">
        <f>15.7378 * CHOOSE(CONTROL!$C$22, $C$13, 100%, $E$13)</f>
        <v>15.7378</v>
      </c>
      <c r="E934" s="68">
        <f>17.9945 * CHOOSE(CONTROL!$C$22, $C$13, 100%, $E$13)</f>
        <v>17.994499999999999</v>
      </c>
      <c r="F934" s="68">
        <f>17.9945 * CHOOSE(CONTROL!$C$22, $C$13, 100%, $E$13)</f>
        <v>17.994499999999999</v>
      </c>
      <c r="G934" s="68">
        <f>17.9977 * CHOOSE(CONTROL!$C$22, $C$13, 100%, $E$13)</f>
        <v>17.997699999999998</v>
      </c>
      <c r="H934" s="68">
        <f>29.5758* CHOOSE(CONTROL!$C$22, $C$13, 100%, $E$13)</f>
        <v>29.575800000000001</v>
      </c>
      <c r="I934" s="68">
        <f>29.579 * CHOOSE(CONTROL!$C$22, $C$13, 100%, $E$13)</f>
        <v>29.579000000000001</v>
      </c>
      <c r="J934" s="68">
        <f>17.9945 * CHOOSE(CONTROL!$C$22, $C$13, 100%, $E$13)</f>
        <v>17.994499999999999</v>
      </c>
      <c r="K934" s="68">
        <f>17.9977 * CHOOSE(CONTROL!$C$22, $C$13, 100%, $E$13)</f>
        <v>17.997699999999998</v>
      </c>
    </row>
    <row r="935" spans="1:11" ht="15">
      <c r="A935" s="13">
        <v>69580</v>
      </c>
      <c r="B935" s="67">
        <f>15.9727 * CHOOSE(CONTROL!$C$22, $C$13, 100%, $E$13)</f>
        <v>15.9727</v>
      </c>
      <c r="C935" s="67">
        <f>15.9727 * CHOOSE(CONTROL!$C$22, $C$13, 100%, $E$13)</f>
        <v>15.9727</v>
      </c>
      <c r="D935" s="67">
        <f>15.9753 * CHOOSE(CONTROL!$C$22, $C$13, 100%, $E$13)</f>
        <v>15.975300000000001</v>
      </c>
      <c r="E935" s="68">
        <f>18.2793 * CHOOSE(CONTROL!$C$22, $C$13, 100%, $E$13)</f>
        <v>18.279299999999999</v>
      </c>
      <c r="F935" s="68">
        <f>18.2793 * CHOOSE(CONTROL!$C$22, $C$13, 100%, $E$13)</f>
        <v>18.279299999999999</v>
      </c>
      <c r="G935" s="68">
        <f>18.2826 * CHOOSE(CONTROL!$C$22, $C$13, 100%, $E$13)</f>
        <v>18.282599999999999</v>
      </c>
      <c r="H935" s="68">
        <f>29.6374* CHOOSE(CONTROL!$C$22, $C$13, 100%, $E$13)</f>
        <v>29.6374</v>
      </c>
      <c r="I935" s="68">
        <f>29.6406 * CHOOSE(CONTROL!$C$22, $C$13, 100%, $E$13)</f>
        <v>29.640599999999999</v>
      </c>
      <c r="J935" s="68">
        <f>18.2793 * CHOOSE(CONTROL!$C$22, $C$13, 100%, $E$13)</f>
        <v>18.279299999999999</v>
      </c>
      <c r="K935" s="68">
        <f>18.2826 * CHOOSE(CONTROL!$C$22, $C$13, 100%, $E$13)</f>
        <v>18.282599999999999</v>
      </c>
    </row>
    <row r="936" spans="1:11" ht="15">
      <c r="A936" s="13">
        <v>69611</v>
      </c>
      <c r="B936" s="67">
        <f>15.9794 * CHOOSE(CONTROL!$C$22, $C$13, 100%, $E$13)</f>
        <v>15.9794</v>
      </c>
      <c r="C936" s="67">
        <f>15.9794 * CHOOSE(CONTROL!$C$22, $C$13, 100%, $E$13)</f>
        <v>15.9794</v>
      </c>
      <c r="D936" s="67">
        <f>15.982 * CHOOSE(CONTROL!$C$22, $C$13, 100%, $E$13)</f>
        <v>15.981999999999999</v>
      </c>
      <c r="E936" s="68">
        <f>17.98 * CHOOSE(CONTROL!$C$22, $C$13, 100%, $E$13)</f>
        <v>17.98</v>
      </c>
      <c r="F936" s="68">
        <f>17.98 * CHOOSE(CONTROL!$C$22, $C$13, 100%, $E$13)</f>
        <v>17.98</v>
      </c>
      <c r="G936" s="68">
        <f>17.9832 * CHOOSE(CONTROL!$C$22, $C$13, 100%, $E$13)</f>
        <v>17.9832</v>
      </c>
      <c r="H936" s="68">
        <f>29.6991* CHOOSE(CONTROL!$C$22, $C$13, 100%, $E$13)</f>
        <v>29.699100000000001</v>
      </c>
      <c r="I936" s="68">
        <f>29.7024 * CHOOSE(CONTROL!$C$22, $C$13, 100%, $E$13)</f>
        <v>29.702400000000001</v>
      </c>
      <c r="J936" s="68">
        <f>17.98 * CHOOSE(CONTROL!$C$22, $C$13, 100%, $E$13)</f>
        <v>17.98</v>
      </c>
      <c r="K936" s="68">
        <f>17.9832 * CHOOSE(CONTROL!$C$22, $C$13, 100%, $E$13)</f>
        <v>17.9832</v>
      </c>
    </row>
    <row r="937" spans="1:11" ht="15">
      <c r="A937" s="13">
        <v>69642</v>
      </c>
      <c r="B937" s="67">
        <f>15.9763 * CHOOSE(CONTROL!$C$22, $C$13, 100%, $E$13)</f>
        <v>15.9763</v>
      </c>
      <c r="C937" s="67">
        <f>15.9763 * CHOOSE(CONTROL!$C$22, $C$13, 100%, $E$13)</f>
        <v>15.9763</v>
      </c>
      <c r="D937" s="67">
        <f>15.9789 * CHOOSE(CONTROL!$C$22, $C$13, 100%, $E$13)</f>
        <v>15.978899999999999</v>
      </c>
      <c r="E937" s="68">
        <f>17.9441 * CHOOSE(CONTROL!$C$22, $C$13, 100%, $E$13)</f>
        <v>17.944099999999999</v>
      </c>
      <c r="F937" s="68">
        <f>17.9441 * CHOOSE(CONTROL!$C$22, $C$13, 100%, $E$13)</f>
        <v>17.944099999999999</v>
      </c>
      <c r="G937" s="68">
        <f>17.9473 * CHOOSE(CONTROL!$C$22, $C$13, 100%, $E$13)</f>
        <v>17.947299999999998</v>
      </c>
      <c r="H937" s="68">
        <f>29.761* CHOOSE(CONTROL!$C$22, $C$13, 100%, $E$13)</f>
        <v>29.760999999999999</v>
      </c>
      <c r="I937" s="68">
        <f>29.7643 * CHOOSE(CONTROL!$C$22, $C$13, 100%, $E$13)</f>
        <v>29.764299999999999</v>
      </c>
      <c r="J937" s="68">
        <f>17.9441 * CHOOSE(CONTROL!$C$22, $C$13, 100%, $E$13)</f>
        <v>17.944099999999999</v>
      </c>
      <c r="K937" s="68">
        <f>17.9473 * CHOOSE(CONTROL!$C$22, $C$13, 100%, $E$13)</f>
        <v>17.947299999999998</v>
      </c>
    </row>
    <row r="938" spans="1:11" ht="15">
      <c r="A938" s="13">
        <v>69672</v>
      </c>
      <c r="B938" s="67">
        <f>16.0099 * CHOOSE(CONTROL!$C$22, $C$13, 100%, $E$13)</f>
        <v>16.009899999999998</v>
      </c>
      <c r="C938" s="67">
        <f>16.0099 * CHOOSE(CONTROL!$C$22, $C$13, 100%, $E$13)</f>
        <v>16.009899999999998</v>
      </c>
      <c r="D938" s="67">
        <f>16.0109 * CHOOSE(CONTROL!$C$22, $C$13, 100%, $E$13)</f>
        <v>16.010899999999999</v>
      </c>
      <c r="E938" s="68">
        <f>18.0658 * CHOOSE(CONTROL!$C$22, $C$13, 100%, $E$13)</f>
        <v>18.065799999999999</v>
      </c>
      <c r="F938" s="68">
        <f>18.0658 * CHOOSE(CONTROL!$C$22, $C$13, 100%, $E$13)</f>
        <v>18.065799999999999</v>
      </c>
      <c r="G938" s="68">
        <f>18.067 * CHOOSE(CONTROL!$C$22, $C$13, 100%, $E$13)</f>
        <v>18.067</v>
      </c>
      <c r="H938" s="68">
        <f>29.823* CHOOSE(CONTROL!$C$22, $C$13, 100%, $E$13)</f>
        <v>29.823</v>
      </c>
      <c r="I938" s="68">
        <f>29.8243 * CHOOSE(CONTROL!$C$22, $C$13, 100%, $E$13)</f>
        <v>29.824300000000001</v>
      </c>
      <c r="J938" s="68">
        <f>18.0658 * CHOOSE(CONTROL!$C$22, $C$13, 100%, $E$13)</f>
        <v>18.065799999999999</v>
      </c>
      <c r="K938" s="68">
        <f>18.067 * CHOOSE(CONTROL!$C$22, $C$13, 100%, $E$13)</f>
        <v>18.067</v>
      </c>
    </row>
    <row r="939" spans="1:11" ht="15">
      <c r="A939" s="13">
        <v>69703</v>
      </c>
      <c r="B939" s="67">
        <f>16.0129 * CHOOSE(CONTROL!$C$22, $C$13, 100%, $E$13)</f>
        <v>16.012899999999998</v>
      </c>
      <c r="C939" s="67">
        <f>16.0129 * CHOOSE(CONTROL!$C$22, $C$13, 100%, $E$13)</f>
        <v>16.012899999999998</v>
      </c>
      <c r="D939" s="67">
        <f>16.0139 * CHOOSE(CONTROL!$C$22, $C$13, 100%, $E$13)</f>
        <v>16.0139</v>
      </c>
      <c r="E939" s="68">
        <f>18.1354 * CHOOSE(CONTROL!$C$22, $C$13, 100%, $E$13)</f>
        <v>18.135400000000001</v>
      </c>
      <c r="F939" s="68">
        <f>18.1354 * CHOOSE(CONTROL!$C$22, $C$13, 100%, $E$13)</f>
        <v>18.135400000000001</v>
      </c>
      <c r="G939" s="68">
        <f>18.1367 * CHOOSE(CONTROL!$C$22, $C$13, 100%, $E$13)</f>
        <v>18.136700000000001</v>
      </c>
      <c r="H939" s="68">
        <f>29.8851* CHOOSE(CONTROL!$C$22, $C$13, 100%, $E$13)</f>
        <v>29.885100000000001</v>
      </c>
      <c r="I939" s="68">
        <f>29.8864 * CHOOSE(CONTROL!$C$22, $C$13, 100%, $E$13)</f>
        <v>29.886399999999998</v>
      </c>
      <c r="J939" s="68">
        <f>18.1354 * CHOOSE(CONTROL!$C$22, $C$13, 100%, $E$13)</f>
        <v>18.135400000000001</v>
      </c>
      <c r="K939" s="68">
        <f>18.1367 * CHOOSE(CONTROL!$C$22, $C$13, 100%, $E$13)</f>
        <v>18.136700000000001</v>
      </c>
    </row>
    <row r="940" spans="1:11" ht="15">
      <c r="A940" s="13">
        <v>69733</v>
      </c>
      <c r="B940" s="67">
        <f>16.0129 * CHOOSE(CONTROL!$C$22, $C$13, 100%, $E$13)</f>
        <v>16.012899999999998</v>
      </c>
      <c r="C940" s="67">
        <f>16.0129 * CHOOSE(CONTROL!$C$22, $C$13, 100%, $E$13)</f>
        <v>16.012899999999998</v>
      </c>
      <c r="D940" s="67">
        <f>16.0139 * CHOOSE(CONTROL!$C$22, $C$13, 100%, $E$13)</f>
        <v>16.0139</v>
      </c>
      <c r="E940" s="68">
        <f>17.9666 * CHOOSE(CONTROL!$C$22, $C$13, 100%, $E$13)</f>
        <v>17.9666</v>
      </c>
      <c r="F940" s="68">
        <f>17.9666 * CHOOSE(CONTROL!$C$22, $C$13, 100%, $E$13)</f>
        <v>17.9666</v>
      </c>
      <c r="G940" s="68">
        <f>17.9678 * CHOOSE(CONTROL!$C$22, $C$13, 100%, $E$13)</f>
        <v>17.9678</v>
      </c>
      <c r="H940" s="68">
        <f>29.9474* CHOOSE(CONTROL!$C$22, $C$13, 100%, $E$13)</f>
        <v>29.947399999999998</v>
      </c>
      <c r="I940" s="68">
        <f>29.9487 * CHOOSE(CONTROL!$C$22, $C$13, 100%, $E$13)</f>
        <v>29.948699999999999</v>
      </c>
      <c r="J940" s="68">
        <f>17.9666 * CHOOSE(CONTROL!$C$22, $C$13, 100%, $E$13)</f>
        <v>17.9666</v>
      </c>
      <c r="K940" s="68">
        <f>17.9678 * CHOOSE(CONTROL!$C$22, $C$13, 100%, $E$13)</f>
        <v>17.9678</v>
      </c>
    </row>
    <row r="941" spans="1:11" ht="15">
      <c r="A941" s="13">
        <v>69764</v>
      </c>
      <c r="B941" s="67">
        <f>15.9633 * CHOOSE(CONTROL!$C$22, $C$13, 100%, $E$13)</f>
        <v>15.9633</v>
      </c>
      <c r="C941" s="67">
        <f>15.9633 * CHOOSE(CONTROL!$C$22, $C$13, 100%, $E$13)</f>
        <v>15.9633</v>
      </c>
      <c r="D941" s="67">
        <f>15.9643 * CHOOSE(CONTROL!$C$22, $C$13, 100%, $E$13)</f>
        <v>15.9643</v>
      </c>
      <c r="E941" s="68">
        <f>18.0508 * CHOOSE(CONTROL!$C$22, $C$13, 100%, $E$13)</f>
        <v>18.050799999999999</v>
      </c>
      <c r="F941" s="68">
        <f>18.0508 * CHOOSE(CONTROL!$C$22, $C$13, 100%, $E$13)</f>
        <v>18.050799999999999</v>
      </c>
      <c r="G941" s="68">
        <f>18.052 * CHOOSE(CONTROL!$C$22, $C$13, 100%, $E$13)</f>
        <v>18.052</v>
      </c>
      <c r="H941" s="68">
        <f>29.6966* CHOOSE(CONTROL!$C$22, $C$13, 100%, $E$13)</f>
        <v>29.6966</v>
      </c>
      <c r="I941" s="68">
        <f>29.6979 * CHOOSE(CONTROL!$C$22, $C$13, 100%, $E$13)</f>
        <v>29.697900000000001</v>
      </c>
      <c r="J941" s="68">
        <f>18.0508 * CHOOSE(CONTROL!$C$22, $C$13, 100%, $E$13)</f>
        <v>18.050799999999999</v>
      </c>
      <c r="K941" s="68">
        <f>18.052 * CHOOSE(CONTROL!$C$22, $C$13, 100%, $E$13)</f>
        <v>18.052</v>
      </c>
    </row>
    <row r="942" spans="1:11" ht="15">
      <c r="A942" s="13">
        <v>69795</v>
      </c>
      <c r="B942" s="67">
        <f>15.9603 * CHOOSE(CONTROL!$C$22, $C$13, 100%, $E$13)</f>
        <v>15.9603</v>
      </c>
      <c r="C942" s="67">
        <f>15.9603 * CHOOSE(CONTROL!$C$22, $C$13, 100%, $E$13)</f>
        <v>15.9603</v>
      </c>
      <c r="D942" s="67">
        <f>15.9612 * CHOOSE(CONTROL!$C$22, $C$13, 100%, $E$13)</f>
        <v>15.9612</v>
      </c>
      <c r="E942" s="68">
        <f>17.7245 * CHOOSE(CONTROL!$C$22, $C$13, 100%, $E$13)</f>
        <v>17.724499999999999</v>
      </c>
      <c r="F942" s="68">
        <f>17.7245 * CHOOSE(CONTROL!$C$22, $C$13, 100%, $E$13)</f>
        <v>17.724499999999999</v>
      </c>
      <c r="G942" s="68">
        <f>17.7258 * CHOOSE(CONTROL!$C$22, $C$13, 100%, $E$13)</f>
        <v>17.7258</v>
      </c>
      <c r="H942" s="68">
        <f>29.7585* CHOOSE(CONTROL!$C$22, $C$13, 100%, $E$13)</f>
        <v>29.758500000000002</v>
      </c>
      <c r="I942" s="68">
        <f>29.7598 * CHOOSE(CONTROL!$C$22, $C$13, 100%, $E$13)</f>
        <v>29.759799999999998</v>
      </c>
      <c r="J942" s="68">
        <f>17.7245 * CHOOSE(CONTROL!$C$22, $C$13, 100%, $E$13)</f>
        <v>17.724499999999999</v>
      </c>
      <c r="K942" s="68">
        <f>17.7258 * CHOOSE(CONTROL!$C$22, $C$13, 100%, $E$13)</f>
        <v>17.7258</v>
      </c>
    </row>
    <row r="943" spans="1:11" ht="15">
      <c r="A943" s="13">
        <v>69823</v>
      </c>
      <c r="B943" s="67">
        <f>15.9572 * CHOOSE(CONTROL!$C$22, $C$13, 100%, $E$13)</f>
        <v>15.9572</v>
      </c>
      <c r="C943" s="67">
        <f>15.9572 * CHOOSE(CONTROL!$C$22, $C$13, 100%, $E$13)</f>
        <v>15.9572</v>
      </c>
      <c r="D943" s="67">
        <f>15.9582 * CHOOSE(CONTROL!$C$22, $C$13, 100%, $E$13)</f>
        <v>15.9582</v>
      </c>
      <c r="E943" s="68">
        <f>17.9779 * CHOOSE(CONTROL!$C$22, $C$13, 100%, $E$13)</f>
        <v>17.977900000000002</v>
      </c>
      <c r="F943" s="68">
        <f>17.9779 * CHOOSE(CONTROL!$C$22, $C$13, 100%, $E$13)</f>
        <v>17.977900000000002</v>
      </c>
      <c r="G943" s="68">
        <f>17.9792 * CHOOSE(CONTROL!$C$22, $C$13, 100%, $E$13)</f>
        <v>17.979199999999999</v>
      </c>
      <c r="H943" s="68">
        <f>29.8205* CHOOSE(CONTROL!$C$22, $C$13, 100%, $E$13)</f>
        <v>29.820499999999999</v>
      </c>
      <c r="I943" s="68">
        <f>29.8218 * CHOOSE(CONTROL!$C$22, $C$13, 100%, $E$13)</f>
        <v>29.8218</v>
      </c>
      <c r="J943" s="68">
        <f>17.9779 * CHOOSE(CONTROL!$C$22, $C$13, 100%, $E$13)</f>
        <v>17.977900000000002</v>
      </c>
      <c r="K943" s="68">
        <f>17.9792 * CHOOSE(CONTROL!$C$22, $C$13, 100%, $E$13)</f>
        <v>17.979199999999999</v>
      </c>
    </row>
    <row r="944" spans="1:11" ht="15">
      <c r="A944" s="13">
        <v>69854</v>
      </c>
      <c r="B944" s="67">
        <f>15.9649 * CHOOSE(CONTROL!$C$22, $C$13, 100%, $E$13)</f>
        <v>15.9649</v>
      </c>
      <c r="C944" s="67">
        <f>15.9649 * CHOOSE(CONTROL!$C$22, $C$13, 100%, $E$13)</f>
        <v>15.9649</v>
      </c>
      <c r="D944" s="67">
        <f>15.9659 * CHOOSE(CONTROL!$C$22, $C$13, 100%, $E$13)</f>
        <v>15.9659</v>
      </c>
      <c r="E944" s="68">
        <f>18.2481 * CHOOSE(CONTROL!$C$22, $C$13, 100%, $E$13)</f>
        <v>18.248100000000001</v>
      </c>
      <c r="F944" s="68">
        <f>18.2481 * CHOOSE(CONTROL!$C$22, $C$13, 100%, $E$13)</f>
        <v>18.248100000000001</v>
      </c>
      <c r="G944" s="68">
        <f>18.2494 * CHOOSE(CONTROL!$C$22, $C$13, 100%, $E$13)</f>
        <v>18.249400000000001</v>
      </c>
      <c r="H944" s="68">
        <f>29.8826* CHOOSE(CONTROL!$C$22, $C$13, 100%, $E$13)</f>
        <v>29.8826</v>
      </c>
      <c r="I944" s="68">
        <f>29.8839 * CHOOSE(CONTROL!$C$22, $C$13, 100%, $E$13)</f>
        <v>29.883900000000001</v>
      </c>
      <c r="J944" s="68">
        <f>18.2481 * CHOOSE(CONTROL!$C$22, $C$13, 100%, $E$13)</f>
        <v>18.248100000000001</v>
      </c>
      <c r="K944" s="68">
        <f>18.2494 * CHOOSE(CONTROL!$C$22, $C$13, 100%, $E$13)</f>
        <v>18.249400000000001</v>
      </c>
    </row>
    <row r="945" spans="1:11" ht="15">
      <c r="A945" s="13">
        <v>69884</v>
      </c>
      <c r="B945" s="67">
        <f>15.9649 * CHOOSE(CONTROL!$C$22, $C$13, 100%, $E$13)</f>
        <v>15.9649</v>
      </c>
      <c r="C945" s="67">
        <f>15.9649 * CHOOSE(CONTROL!$C$22, $C$13, 100%, $E$13)</f>
        <v>15.9649</v>
      </c>
      <c r="D945" s="67">
        <f>15.9675 * CHOOSE(CONTROL!$C$22, $C$13, 100%, $E$13)</f>
        <v>15.967499999999999</v>
      </c>
      <c r="E945" s="68">
        <f>18.351 * CHOOSE(CONTROL!$C$22, $C$13, 100%, $E$13)</f>
        <v>18.350999999999999</v>
      </c>
      <c r="F945" s="68">
        <f>18.351 * CHOOSE(CONTROL!$C$22, $C$13, 100%, $E$13)</f>
        <v>18.350999999999999</v>
      </c>
      <c r="G945" s="68">
        <f>18.3542 * CHOOSE(CONTROL!$C$22, $C$13, 100%, $E$13)</f>
        <v>18.354199999999999</v>
      </c>
      <c r="H945" s="68">
        <f>29.9449* CHOOSE(CONTROL!$C$22, $C$13, 100%, $E$13)</f>
        <v>29.944900000000001</v>
      </c>
      <c r="I945" s="68">
        <f>29.9481 * CHOOSE(CONTROL!$C$22, $C$13, 100%, $E$13)</f>
        <v>29.9481</v>
      </c>
      <c r="J945" s="68">
        <f>18.351 * CHOOSE(CONTROL!$C$22, $C$13, 100%, $E$13)</f>
        <v>18.350999999999999</v>
      </c>
      <c r="K945" s="68">
        <f>18.3542 * CHOOSE(CONTROL!$C$22, $C$13, 100%, $E$13)</f>
        <v>18.354199999999999</v>
      </c>
    </row>
    <row r="946" spans="1:11" ht="15">
      <c r="A946" s="13">
        <v>69915</v>
      </c>
      <c r="B946" s="67">
        <f>15.971 * CHOOSE(CONTROL!$C$22, $C$13, 100%, $E$13)</f>
        <v>15.971</v>
      </c>
      <c r="C946" s="67">
        <f>15.971 * CHOOSE(CONTROL!$C$22, $C$13, 100%, $E$13)</f>
        <v>15.971</v>
      </c>
      <c r="D946" s="67">
        <f>15.9736 * CHOOSE(CONTROL!$C$22, $C$13, 100%, $E$13)</f>
        <v>15.973599999999999</v>
      </c>
      <c r="E946" s="68">
        <f>18.2523 * CHOOSE(CONTROL!$C$22, $C$13, 100%, $E$13)</f>
        <v>18.252300000000002</v>
      </c>
      <c r="F946" s="68">
        <f>18.2523 * CHOOSE(CONTROL!$C$22, $C$13, 100%, $E$13)</f>
        <v>18.252300000000002</v>
      </c>
      <c r="G946" s="68">
        <f>18.2556 * CHOOSE(CONTROL!$C$22, $C$13, 100%, $E$13)</f>
        <v>18.255600000000001</v>
      </c>
      <c r="H946" s="68">
        <f>30.0073* CHOOSE(CONTROL!$C$22, $C$13, 100%, $E$13)</f>
        <v>30.007300000000001</v>
      </c>
      <c r="I946" s="68">
        <f>30.0105 * CHOOSE(CONTROL!$C$22, $C$13, 100%, $E$13)</f>
        <v>30.0105</v>
      </c>
      <c r="J946" s="68">
        <f>18.2523 * CHOOSE(CONTROL!$C$22, $C$13, 100%, $E$13)</f>
        <v>18.252300000000002</v>
      </c>
      <c r="K946" s="68">
        <f>18.2556 * CHOOSE(CONTROL!$C$22, $C$13, 100%, $E$13)</f>
        <v>18.255600000000001</v>
      </c>
    </row>
    <row r="947" spans="1:11" ht="15">
      <c r="A947" s="13">
        <v>69945</v>
      </c>
      <c r="B947" s="67">
        <f>16.2119 * CHOOSE(CONTROL!$C$22, $C$13, 100%, $E$13)</f>
        <v>16.2119</v>
      </c>
      <c r="C947" s="67">
        <f>16.2119 * CHOOSE(CONTROL!$C$22, $C$13, 100%, $E$13)</f>
        <v>16.2119</v>
      </c>
      <c r="D947" s="67">
        <f>16.2145 * CHOOSE(CONTROL!$C$22, $C$13, 100%, $E$13)</f>
        <v>16.214500000000001</v>
      </c>
      <c r="E947" s="68">
        <f>18.5411 * CHOOSE(CONTROL!$C$22, $C$13, 100%, $E$13)</f>
        <v>18.5411</v>
      </c>
      <c r="F947" s="68">
        <f>18.5411 * CHOOSE(CONTROL!$C$22, $C$13, 100%, $E$13)</f>
        <v>18.5411</v>
      </c>
      <c r="G947" s="68">
        <f>18.5443 * CHOOSE(CONTROL!$C$22, $C$13, 100%, $E$13)</f>
        <v>18.5443</v>
      </c>
      <c r="H947" s="68">
        <f>30.0698* CHOOSE(CONTROL!$C$22, $C$13, 100%, $E$13)</f>
        <v>30.069800000000001</v>
      </c>
      <c r="I947" s="68">
        <f>30.073 * CHOOSE(CONTROL!$C$22, $C$13, 100%, $E$13)</f>
        <v>30.073</v>
      </c>
      <c r="J947" s="68">
        <f>18.5411 * CHOOSE(CONTROL!$C$22, $C$13, 100%, $E$13)</f>
        <v>18.5411</v>
      </c>
      <c r="K947" s="68">
        <f>18.5443 * CHOOSE(CONTROL!$C$22, $C$13, 100%, $E$13)</f>
        <v>18.5443</v>
      </c>
    </row>
    <row r="948" spans="1:11" ht="15">
      <c r="A948" s="13">
        <v>69976</v>
      </c>
      <c r="B948" s="67">
        <f>16.2185 * CHOOSE(CONTROL!$C$22, $C$13, 100%, $E$13)</f>
        <v>16.218499999999999</v>
      </c>
      <c r="C948" s="67">
        <f>16.2185 * CHOOSE(CONTROL!$C$22, $C$13, 100%, $E$13)</f>
        <v>16.218499999999999</v>
      </c>
      <c r="D948" s="67">
        <f>16.2212 * CHOOSE(CONTROL!$C$22, $C$13, 100%, $E$13)</f>
        <v>16.2212</v>
      </c>
      <c r="E948" s="68">
        <f>18.237 * CHOOSE(CONTROL!$C$22, $C$13, 100%, $E$13)</f>
        <v>18.236999999999998</v>
      </c>
      <c r="F948" s="68">
        <f>18.237 * CHOOSE(CONTROL!$C$22, $C$13, 100%, $E$13)</f>
        <v>18.236999999999998</v>
      </c>
      <c r="G948" s="68">
        <f>18.2403 * CHOOSE(CONTROL!$C$22, $C$13, 100%, $E$13)</f>
        <v>18.240300000000001</v>
      </c>
      <c r="H948" s="68">
        <f>30.1324* CHOOSE(CONTROL!$C$22, $C$13, 100%, $E$13)</f>
        <v>30.132400000000001</v>
      </c>
      <c r="I948" s="68">
        <f>30.1357 * CHOOSE(CONTROL!$C$22, $C$13, 100%, $E$13)</f>
        <v>30.1357</v>
      </c>
      <c r="J948" s="68">
        <f>18.237 * CHOOSE(CONTROL!$C$22, $C$13, 100%, $E$13)</f>
        <v>18.236999999999998</v>
      </c>
      <c r="K948" s="68">
        <f>18.2403 * CHOOSE(CONTROL!$C$22, $C$13, 100%, $E$13)</f>
        <v>18.240300000000001</v>
      </c>
    </row>
    <row r="949" spans="1:11" ht="15">
      <c r="A949" s="13">
        <v>70007</v>
      </c>
      <c r="B949" s="67">
        <f>16.2155 * CHOOSE(CONTROL!$C$22, $C$13, 100%, $E$13)</f>
        <v>16.215499999999999</v>
      </c>
      <c r="C949" s="67">
        <f>16.2155 * CHOOSE(CONTROL!$C$22, $C$13, 100%, $E$13)</f>
        <v>16.215499999999999</v>
      </c>
      <c r="D949" s="67">
        <f>16.2181 * CHOOSE(CONTROL!$C$22, $C$13, 100%, $E$13)</f>
        <v>16.2181</v>
      </c>
      <c r="E949" s="68">
        <f>18.2006 * CHOOSE(CONTROL!$C$22, $C$13, 100%, $E$13)</f>
        <v>18.200600000000001</v>
      </c>
      <c r="F949" s="68">
        <f>18.2006 * CHOOSE(CONTROL!$C$22, $C$13, 100%, $E$13)</f>
        <v>18.200600000000001</v>
      </c>
      <c r="G949" s="68">
        <f>18.2039 * CHOOSE(CONTROL!$C$22, $C$13, 100%, $E$13)</f>
        <v>18.203900000000001</v>
      </c>
      <c r="H949" s="68">
        <f>30.1952* CHOOSE(CONTROL!$C$22, $C$13, 100%, $E$13)</f>
        <v>30.1952</v>
      </c>
      <c r="I949" s="68">
        <f>30.1985 * CHOOSE(CONTROL!$C$22, $C$13, 100%, $E$13)</f>
        <v>30.198499999999999</v>
      </c>
      <c r="J949" s="68">
        <f>18.2006 * CHOOSE(CONTROL!$C$22, $C$13, 100%, $E$13)</f>
        <v>18.200600000000001</v>
      </c>
      <c r="K949" s="68">
        <f>18.2039 * CHOOSE(CONTROL!$C$22, $C$13, 100%, $E$13)</f>
        <v>18.203900000000001</v>
      </c>
    </row>
    <row r="950" spans="1:11" ht="15">
      <c r="A950" s="13">
        <v>70037</v>
      </c>
      <c r="B950" s="67">
        <f>16.2498 * CHOOSE(CONTROL!$C$22, $C$13, 100%, $E$13)</f>
        <v>16.2498</v>
      </c>
      <c r="C950" s="67">
        <f>16.2498 * CHOOSE(CONTROL!$C$22, $C$13, 100%, $E$13)</f>
        <v>16.2498</v>
      </c>
      <c r="D950" s="67">
        <f>16.2508 * CHOOSE(CONTROL!$C$22, $C$13, 100%, $E$13)</f>
        <v>16.250800000000002</v>
      </c>
      <c r="E950" s="68">
        <f>18.3244 * CHOOSE(CONTROL!$C$22, $C$13, 100%, $E$13)</f>
        <v>18.324400000000001</v>
      </c>
      <c r="F950" s="68">
        <f>18.3244 * CHOOSE(CONTROL!$C$22, $C$13, 100%, $E$13)</f>
        <v>18.324400000000001</v>
      </c>
      <c r="G950" s="68">
        <f>18.3257 * CHOOSE(CONTROL!$C$22, $C$13, 100%, $E$13)</f>
        <v>18.325700000000001</v>
      </c>
      <c r="H950" s="68">
        <f>30.2581* CHOOSE(CONTROL!$C$22, $C$13, 100%, $E$13)</f>
        <v>30.258099999999999</v>
      </c>
      <c r="I950" s="68">
        <f>30.2594 * CHOOSE(CONTROL!$C$22, $C$13, 100%, $E$13)</f>
        <v>30.259399999999999</v>
      </c>
      <c r="J950" s="68">
        <f>18.3244 * CHOOSE(CONTROL!$C$22, $C$13, 100%, $E$13)</f>
        <v>18.324400000000001</v>
      </c>
      <c r="K950" s="68">
        <f>18.3257 * CHOOSE(CONTROL!$C$22, $C$13, 100%, $E$13)</f>
        <v>18.325700000000001</v>
      </c>
    </row>
    <row r="951" spans="1:11" ht="15">
      <c r="A951" s="13">
        <v>70068</v>
      </c>
      <c r="B951" s="67">
        <f>16.2529 * CHOOSE(CONTROL!$C$22, $C$13, 100%, $E$13)</f>
        <v>16.2529</v>
      </c>
      <c r="C951" s="67">
        <f>16.2529 * CHOOSE(CONTROL!$C$22, $C$13, 100%, $E$13)</f>
        <v>16.2529</v>
      </c>
      <c r="D951" s="67">
        <f>16.2538 * CHOOSE(CONTROL!$C$22, $C$13, 100%, $E$13)</f>
        <v>16.253799999999998</v>
      </c>
      <c r="E951" s="68">
        <f>18.3951 * CHOOSE(CONTROL!$C$22, $C$13, 100%, $E$13)</f>
        <v>18.395099999999999</v>
      </c>
      <c r="F951" s="68">
        <f>18.3951 * CHOOSE(CONTROL!$C$22, $C$13, 100%, $E$13)</f>
        <v>18.395099999999999</v>
      </c>
      <c r="G951" s="68">
        <f>18.3964 * CHOOSE(CONTROL!$C$22, $C$13, 100%, $E$13)</f>
        <v>18.3964</v>
      </c>
      <c r="H951" s="68">
        <f>30.3211* CHOOSE(CONTROL!$C$22, $C$13, 100%, $E$13)</f>
        <v>30.321100000000001</v>
      </c>
      <c r="I951" s="68">
        <f>30.3224 * CHOOSE(CONTROL!$C$22, $C$13, 100%, $E$13)</f>
        <v>30.322399999999998</v>
      </c>
      <c r="J951" s="68">
        <f>18.3951 * CHOOSE(CONTROL!$C$22, $C$13, 100%, $E$13)</f>
        <v>18.395099999999999</v>
      </c>
      <c r="K951" s="68">
        <f>18.3964 * CHOOSE(CONTROL!$C$22, $C$13, 100%, $E$13)</f>
        <v>18.3964</v>
      </c>
    </row>
    <row r="952" spans="1:11" ht="15">
      <c r="A952" s="13">
        <v>70098</v>
      </c>
      <c r="B952" s="67">
        <f>16.2529 * CHOOSE(CONTROL!$C$22, $C$13, 100%, $E$13)</f>
        <v>16.2529</v>
      </c>
      <c r="C952" s="67">
        <f>16.2529 * CHOOSE(CONTROL!$C$22, $C$13, 100%, $E$13)</f>
        <v>16.2529</v>
      </c>
      <c r="D952" s="67">
        <f>16.2538 * CHOOSE(CONTROL!$C$22, $C$13, 100%, $E$13)</f>
        <v>16.253799999999998</v>
      </c>
      <c r="E952" s="68">
        <f>18.2236 * CHOOSE(CONTROL!$C$22, $C$13, 100%, $E$13)</f>
        <v>18.223600000000001</v>
      </c>
      <c r="F952" s="68">
        <f>18.2236 * CHOOSE(CONTROL!$C$22, $C$13, 100%, $E$13)</f>
        <v>18.223600000000001</v>
      </c>
      <c r="G952" s="68">
        <f>18.2249 * CHOOSE(CONTROL!$C$22, $C$13, 100%, $E$13)</f>
        <v>18.224900000000002</v>
      </c>
      <c r="H952" s="68">
        <f>30.3843* CHOOSE(CONTROL!$C$22, $C$13, 100%, $E$13)</f>
        <v>30.3843</v>
      </c>
      <c r="I952" s="68">
        <f>30.3856 * CHOOSE(CONTROL!$C$22, $C$13, 100%, $E$13)</f>
        <v>30.3856</v>
      </c>
      <c r="J952" s="68">
        <f>18.2236 * CHOOSE(CONTROL!$C$22, $C$13, 100%, $E$13)</f>
        <v>18.223600000000001</v>
      </c>
      <c r="K952" s="68">
        <f>18.2249 * CHOOSE(CONTROL!$C$22, $C$13, 100%, $E$13)</f>
        <v>18.224900000000002</v>
      </c>
    </row>
    <row r="953" spans="1:11" ht="15">
      <c r="A953" s="13">
        <v>70129</v>
      </c>
      <c r="B953" s="67">
        <f>16.1989 * CHOOSE(CONTROL!$C$22, $C$13, 100%, $E$13)</f>
        <v>16.198899999999998</v>
      </c>
      <c r="C953" s="67">
        <f>16.1989 * CHOOSE(CONTROL!$C$22, $C$13, 100%, $E$13)</f>
        <v>16.198899999999998</v>
      </c>
      <c r="D953" s="67">
        <f>16.1999 * CHOOSE(CONTROL!$C$22, $C$13, 100%, $E$13)</f>
        <v>16.1999</v>
      </c>
      <c r="E953" s="68">
        <f>18.3055 * CHOOSE(CONTROL!$C$22, $C$13, 100%, $E$13)</f>
        <v>18.305499999999999</v>
      </c>
      <c r="F953" s="68">
        <f>18.3055 * CHOOSE(CONTROL!$C$22, $C$13, 100%, $E$13)</f>
        <v>18.305499999999999</v>
      </c>
      <c r="G953" s="68">
        <f>18.3068 * CHOOSE(CONTROL!$C$22, $C$13, 100%, $E$13)</f>
        <v>18.306799999999999</v>
      </c>
      <c r="H953" s="68">
        <f>30.1237* CHOOSE(CONTROL!$C$22, $C$13, 100%, $E$13)</f>
        <v>30.123699999999999</v>
      </c>
      <c r="I953" s="68">
        <f>30.1249 * CHOOSE(CONTROL!$C$22, $C$13, 100%, $E$13)</f>
        <v>30.1249</v>
      </c>
      <c r="J953" s="68">
        <f>18.3055 * CHOOSE(CONTROL!$C$22, $C$13, 100%, $E$13)</f>
        <v>18.305499999999999</v>
      </c>
      <c r="K953" s="68">
        <f>18.3068 * CHOOSE(CONTROL!$C$22, $C$13, 100%, $E$13)</f>
        <v>18.306799999999999</v>
      </c>
    </row>
    <row r="954" spans="1:11" ht="15">
      <c r="A954" s="13">
        <v>70160</v>
      </c>
      <c r="B954" s="67">
        <f>16.1958 * CHOOSE(CONTROL!$C$22, $C$13, 100%, $E$13)</f>
        <v>16.195799999999998</v>
      </c>
      <c r="C954" s="67">
        <f>16.1958 * CHOOSE(CONTROL!$C$22, $C$13, 100%, $E$13)</f>
        <v>16.195799999999998</v>
      </c>
      <c r="D954" s="67">
        <f>16.1968 * CHOOSE(CONTROL!$C$22, $C$13, 100%, $E$13)</f>
        <v>16.1968</v>
      </c>
      <c r="E954" s="68">
        <f>17.9743 * CHOOSE(CONTROL!$C$22, $C$13, 100%, $E$13)</f>
        <v>17.974299999999999</v>
      </c>
      <c r="F954" s="68">
        <f>17.9743 * CHOOSE(CONTROL!$C$22, $C$13, 100%, $E$13)</f>
        <v>17.974299999999999</v>
      </c>
      <c r="G954" s="68">
        <f>17.9756 * CHOOSE(CONTROL!$C$22, $C$13, 100%, $E$13)</f>
        <v>17.9756</v>
      </c>
      <c r="H954" s="68">
        <f>30.1864* CHOOSE(CONTROL!$C$22, $C$13, 100%, $E$13)</f>
        <v>30.186399999999999</v>
      </c>
      <c r="I954" s="68">
        <f>30.1877 * CHOOSE(CONTROL!$C$22, $C$13, 100%, $E$13)</f>
        <v>30.1877</v>
      </c>
      <c r="J954" s="68">
        <f>17.9743 * CHOOSE(CONTROL!$C$22, $C$13, 100%, $E$13)</f>
        <v>17.974299999999999</v>
      </c>
      <c r="K954" s="68">
        <f>17.9756 * CHOOSE(CONTROL!$C$22, $C$13, 100%, $E$13)</f>
        <v>17.9756</v>
      </c>
    </row>
    <row r="955" spans="1:11" ht="15">
      <c r="A955" s="13">
        <v>70189</v>
      </c>
      <c r="B955" s="67">
        <f>16.1928 * CHOOSE(CONTROL!$C$22, $C$13, 100%, $E$13)</f>
        <v>16.192799999999998</v>
      </c>
      <c r="C955" s="67">
        <f>16.1928 * CHOOSE(CONTROL!$C$22, $C$13, 100%, $E$13)</f>
        <v>16.192799999999998</v>
      </c>
      <c r="D955" s="67">
        <f>16.1938 * CHOOSE(CONTROL!$C$22, $C$13, 100%, $E$13)</f>
        <v>16.1938</v>
      </c>
      <c r="E955" s="68">
        <f>18.2316 * CHOOSE(CONTROL!$C$22, $C$13, 100%, $E$13)</f>
        <v>18.2316</v>
      </c>
      <c r="F955" s="68">
        <f>18.2316 * CHOOSE(CONTROL!$C$22, $C$13, 100%, $E$13)</f>
        <v>18.2316</v>
      </c>
      <c r="G955" s="68">
        <f>18.2329 * CHOOSE(CONTROL!$C$22, $C$13, 100%, $E$13)</f>
        <v>18.232900000000001</v>
      </c>
      <c r="H955" s="68">
        <f>30.2493* CHOOSE(CONTROL!$C$22, $C$13, 100%, $E$13)</f>
        <v>30.249300000000002</v>
      </c>
      <c r="I955" s="68">
        <f>30.2506 * CHOOSE(CONTROL!$C$22, $C$13, 100%, $E$13)</f>
        <v>30.250599999999999</v>
      </c>
      <c r="J955" s="68">
        <f>18.2316 * CHOOSE(CONTROL!$C$22, $C$13, 100%, $E$13)</f>
        <v>18.2316</v>
      </c>
      <c r="K955" s="68">
        <f>18.2329 * CHOOSE(CONTROL!$C$22, $C$13, 100%, $E$13)</f>
        <v>18.232900000000001</v>
      </c>
    </row>
    <row r="956" spans="1:11" ht="15">
      <c r="A956" s="13">
        <v>70220</v>
      </c>
      <c r="B956" s="67">
        <f>16.2006 * CHOOSE(CONTROL!$C$22, $C$13, 100%, $E$13)</f>
        <v>16.200600000000001</v>
      </c>
      <c r="C956" s="67">
        <f>16.2006 * CHOOSE(CONTROL!$C$22, $C$13, 100%, $E$13)</f>
        <v>16.200600000000001</v>
      </c>
      <c r="D956" s="67">
        <f>16.2016 * CHOOSE(CONTROL!$C$22, $C$13, 100%, $E$13)</f>
        <v>16.201599999999999</v>
      </c>
      <c r="E956" s="68">
        <f>18.5059 * CHOOSE(CONTROL!$C$22, $C$13, 100%, $E$13)</f>
        <v>18.5059</v>
      </c>
      <c r="F956" s="68">
        <f>18.5059 * CHOOSE(CONTROL!$C$22, $C$13, 100%, $E$13)</f>
        <v>18.5059</v>
      </c>
      <c r="G956" s="68">
        <f>18.5072 * CHOOSE(CONTROL!$C$22, $C$13, 100%, $E$13)</f>
        <v>18.507200000000001</v>
      </c>
      <c r="H956" s="68">
        <f>30.3123* CHOOSE(CONTROL!$C$22, $C$13, 100%, $E$13)</f>
        <v>30.3123</v>
      </c>
      <c r="I956" s="68">
        <f>30.3136 * CHOOSE(CONTROL!$C$22, $C$13, 100%, $E$13)</f>
        <v>30.313600000000001</v>
      </c>
      <c r="J956" s="68">
        <f>18.5059 * CHOOSE(CONTROL!$C$22, $C$13, 100%, $E$13)</f>
        <v>18.5059</v>
      </c>
      <c r="K956" s="68">
        <f>18.5072 * CHOOSE(CONTROL!$C$22, $C$13, 100%, $E$13)</f>
        <v>18.507200000000001</v>
      </c>
    </row>
    <row r="957" spans="1:11" ht="15">
      <c r="A957" s="13">
        <v>70250</v>
      </c>
      <c r="B957" s="67">
        <f>16.2006 * CHOOSE(CONTROL!$C$22, $C$13, 100%, $E$13)</f>
        <v>16.200600000000001</v>
      </c>
      <c r="C957" s="67">
        <f>16.2006 * CHOOSE(CONTROL!$C$22, $C$13, 100%, $E$13)</f>
        <v>16.200600000000001</v>
      </c>
      <c r="D957" s="67">
        <f>16.2033 * CHOOSE(CONTROL!$C$22, $C$13, 100%, $E$13)</f>
        <v>16.203299999999999</v>
      </c>
      <c r="E957" s="68">
        <f>18.6104 * CHOOSE(CONTROL!$C$22, $C$13, 100%, $E$13)</f>
        <v>18.610399999999998</v>
      </c>
      <c r="F957" s="68">
        <f>18.6104 * CHOOSE(CONTROL!$C$22, $C$13, 100%, $E$13)</f>
        <v>18.610399999999998</v>
      </c>
      <c r="G957" s="68">
        <f>18.6137 * CHOOSE(CONTROL!$C$22, $C$13, 100%, $E$13)</f>
        <v>18.613700000000001</v>
      </c>
      <c r="H957" s="68">
        <f>30.3755* CHOOSE(CONTROL!$C$22, $C$13, 100%, $E$13)</f>
        <v>30.375499999999999</v>
      </c>
      <c r="I957" s="68">
        <f>30.3787 * CHOOSE(CONTROL!$C$22, $C$13, 100%, $E$13)</f>
        <v>30.378699999999998</v>
      </c>
      <c r="J957" s="68">
        <f>18.6104 * CHOOSE(CONTROL!$C$22, $C$13, 100%, $E$13)</f>
        <v>18.610399999999998</v>
      </c>
      <c r="K957" s="68">
        <f>18.6137 * CHOOSE(CONTROL!$C$22, $C$13, 100%, $E$13)</f>
        <v>18.613700000000001</v>
      </c>
    </row>
    <row r="958" spans="1:11" ht="15">
      <c r="A958" s="13">
        <v>70281</v>
      </c>
      <c r="B958" s="67">
        <f>16.2067 * CHOOSE(CONTROL!$C$22, $C$13, 100%, $E$13)</f>
        <v>16.206700000000001</v>
      </c>
      <c r="C958" s="67">
        <f>16.2067 * CHOOSE(CONTROL!$C$22, $C$13, 100%, $E$13)</f>
        <v>16.206700000000001</v>
      </c>
      <c r="D958" s="67">
        <f>16.2093 * CHOOSE(CONTROL!$C$22, $C$13, 100%, $E$13)</f>
        <v>16.209299999999999</v>
      </c>
      <c r="E958" s="68">
        <f>18.5102 * CHOOSE(CONTROL!$C$22, $C$13, 100%, $E$13)</f>
        <v>18.510200000000001</v>
      </c>
      <c r="F958" s="68">
        <f>18.5102 * CHOOSE(CONTROL!$C$22, $C$13, 100%, $E$13)</f>
        <v>18.510200000000001</v>
      </c>
      <c r="G958" s="68">
        <f>18.5134 * CHOOSE(CONTROL!$C$22, $C$13, 100%, $E$13)</f>
        <v>18.513400000000001</v>
      </c>
      <c r="H958" s="68">
        <f>30.4388* CHOOSE(CONTROL!$C$22, $C$13, 100%, $E$13)</f>
        <v>30.438800000000001</v>
      </c>
      <c r="I958" s="68">
        <f>30.442 * CHOOSE(CONTROL!$C$22, $C$13, 100%, $E$13)</f>
        <v>30.442</v>
      </c>
      <c r="J958" s="68">
        <f>18.5102 * CHOOSE(CONTROL!$C$22, $C$13, 100%, $E$13)</f>
        <v>18.510200000000001</v>
      </c>
      <c r="K958" s="68">
        <f>18.5134 * CHOOSE(CONTROL!$C$22, $C$13, 100%, $E$13)</f>
        <v>18.513400000000001</v>
      </c>
    </row>
    <row r="959" spans="1:11" ht="15">
      <c r="A959" s="13">
        <v>70311</v>
      </c>
      <c r="B959" s="67">
        <f>16.451 * CHOOSE(CONTROL!$C$22, $C$13, 100%, $E$13)</f>
        <v>16.451000000000001</v>
      </c>
      <c r="C959" s="67">
        <f>16.451 * CHOOSE(CONTROL!$C$22, $C$13, 100%, $E$13)</f>
        <v>16.451000000000001</v>
      </c>
      <c r="D959" s="67">
        <f>16.4537 * CHOOSE(CONTROL!$C$22, $C$13, 100%, $E$13)</f>
        <v>16.453700000000001</v>
      </c>
      <c r="E959" s="68">
        <f>18.8029 * CHOOSE(CONTROL!$C$22, $C$13, 100%, $E$13)</f>
        <v>18.802900000000001</v>
      </c>
      <c r="F959" s="68">
        <f>18.8029 * CHOOSE(CONTROL!$C$22, $C$13, 100%, $E$13)</f>
        <v>18.802900000000001</v>
      </c>
      <c r="G959" s="68">
        <f>18.8061 * CHOOSE(CONTROL!$C$22, $C$13, 100%, $E$13)</f>
        <v>18.806100000000001</v>
      </c>
      <c r="H959" s="68">
        <f>30.5022* CHOOSE(CONTROL!$C$22, $C$13, 100%, $E$13)</f>
        <v>30.502199999999998</v>
      </c>
      <c r="I959" s="68">
        <f>30.5054 * CHOOSE(CONTROL!$C$22, $C$13, 100%, $E$13)</f>
        <v>30.505400000000002</v>
      </c>
      <c r="J959" s="68">
        <f>18.8029 * CHOOSE(CONTROL!$C$22, $C$13, 100%, $E$13)</f>
        <v>18.802900000000001</v>
      </c>
      <c r="K959" s="68">
        <f>18.8061 * CHOOSE(CONTROL!$C$22, $C$13, 100%, $E$13)</f>
        <v>18.806100000000001</v>
      </c>
    </row>
    <row r="960" spans="1:11" ht="15">
      <c r="A960" s="13">
        <v>70342</v>
      </c>
      <c r="B960" s="67">
        <f>16.4577 * CHOOSE(CONTROL!$C$22, $C$13, 100%, $E$13)</f>
        <v>16.457699999999999</v>
      </c>
      <c r="C960" s="67">
        <f>16.4577 * CHOOSE(CONTROL!$C$22, $C$13, 100%, $E$13)</f>
        <v>16.457699999999999</v>
      </c>
      <c r="D960" s="67">
        <f>16.4603 * CHOOSE(CONTROL!$C$22, $C$13, 100%, $E$13)</f>
        <v>16.4603</v>
      </c>
      <c r="E960" s="68">
        <f>18.4941 * CHOOSE(CONTROL!$C$22, $C$13, 100%, $E$13)</f>
        <v>18.4941</v>
      </c>
      <c r="F960" s="68">
        <f>18.4941 * CHOOSE(CONTROL!$C$22, $C$13, 100%, $E$13)</f>
        <v>18.4941</v>
      </c>
      <c r="G960" s="68">
        <f>18.4974 * CHOOSE(CONTROL!$C$22, $C$13, 100%, $E$13)</f>
        <v>18.497399999999999</v>
      </c>
      <c r="H960" s="68">
        <f>30.5657* CHOOSE(CONTROL!$C$22, $C$13, 100%, $E$13)</f>
        <v>30.5657</v>
      </c>
      <c r="I960" s="68">
        <f>30.569 * CHOOSE(CONTROL!$C$22, $C$13, 100%, $E$13)</f>
        <v>30.568999999999999</v>
      </c>
      <c r="J960" s="68">
        <f>18.4941 * CHOOSE(CONTROL!$C$22, $C$13, 100%, $E$13)</f>
        <v>18.4941</v>
      </c>
      <c r="K960" s="68">
        <f>18.4974 * CHOOSE(CONTROL!$C$22, $C$13, 100%, $E$13)</f>
        <v>18.497399999999999</v>
      </c>
    </row>
    <row r="961" spans="1:11" ht="15">
      <c r="A961" s="13">
        <v>70373</v>
      </c>
      <c r="B961" s="67">
        <f>16.4547 * CHOOSE(CONTROL!$C$22, $C$13, 100%, $E$13)</f>
        <v>16.454699999999999</v>
      </c>
      <c r="C961" s="67">
        <f>16.4547 * CHOOSE(CONTROL!$C$22, $C$13, 100%, $E$13)</f>
        <v>16.454699999999999</v>
      </c>
      <c r="D961" s="67">
        <f>16.4573 * CHOOSE(CONTROL!$C$22, $C$13, 100%, $E$13)</f>
        <v>16.4573</v>
      </c>
      <c r="E961" s="68">
        <f>18.4572 * CHOOSE(CONTROL!$C$22, $C$13, 100%, $E$13)</f>
        <v>18.4572</v>
      </c>
      <c r="F961" s="68">
        <f>18.4572 * CHOOSE(CONTROL!$C$22, $C$13, 100%, $E$13)</f>
        <v>18.4572</v>
      </c>
      <c r="G961" s="68">
        <f>18.4604 * CHOOSE(CONTROL!$C$22, $C$13, 100%, $E$13)</f>
        <v>18.4604</v>
      </c>
      <c r="H961" s="68">
        <f>30.6294* CHOOSE(CONTROL!$C$22, $C$13, 100%, $E$13)</f>
        <v>30.6294</v>
      </c>
      <c r="I961" s="68">
        <f>30.6326 * CHOOSE(CONTROL!$C$22, $C$13, 100%, $E$13)</f>
        <v>30.6326</v>
      </c>
      <c r="J961" s="68">
        <f>18.4572 * CHOOSE(CONTROL!$C$22, $C$13, 100%, $E$13)</f>
        <v>18.4572</v>
      </c>
      <c r="K961" s="68">
        <f>18.4604 * CHOOSE(CONTROL!$C$22, $C$13, 100%, $E$13)</f>
        <v>18.4604</v>
      </c>
    </row>
    <row r="962" spans="1:11" ht="15">
      <c r="A962" s="13">
        <v>70403</v>
      </c>
      <c r="B962" s="67">
        <f>16.4898 * CHOOSE(CONTROL!$C$22, $C$13, 100%, $E$13)</f>
        <v>16.489799999999999</v>
      </c>
      <c r="C962" s="67">
        <f>16.4898 * CHOOSE(CONTROL!$C$22, $C$13, 100%, $E$13)</f>
        <v>16.489799999999999</v>
      </c>
      <c r="D962" s="67">
        <f>16.4907 * CHOOSE(CONTROL!$C$22, $C$13, 100%, $E$13)</f>
        <v>16.4907</v>
      </c>
      <c r="E962" s="68">
        <f>18.583 * CHOOSE(CONTROL!$C$22, $C$13, 100%, $E$13)</f>
        <v>18.582999999999998</v>
      </c>
      <c r="F962" s="68">
        <f>18.583 * CHOOSE(CONTROL!$C$22, $C$13, 100%, $E$13)</f>
        <v>18.582999999999998</v>
      </c>
      <c r="G962" s="68">
        <f>18.5843 * CHOOSE(CONTROL!$C$22, $C$13, 100%, $E$13)</f>
        <v>18.584299999999999</v>
      </c>
      <c r="H962" s="68">
        <f>30.6932* CHOOSE(CONTROL!$C$22, $C$13, 100%, $E$13)</f>
        <v>30.693200000000001</v>
      </c>
      <c r="I962" s="68">
        <f>30.6945 * CHOOSE(CONTROL!$C$22, $C$13, 100%, $E$13)</f>
        <v>30.694500000000001</v>
      </c>
      <c r="J962" s="68">
        <f>18.583 * CHOOSE(CONTROL!$C$22, $C$13, 100%, $E$13)</f>
        <v>18.582999999999998</v>
      </c>
      <c r="K962" s="68">
        <f>18.5843 * CHOOSE(CONTROL!$C$22, $C$13, 100%, $E$13)</f>
        <v>18.584299999999999</v>
      </c>
    </row>
    <row r="963" spans="1:11" ht="15">
      <c r="A963" s="13">
        <v>70434</v>
      </c>
      <c r="B963" s="67">
        <f>16.4928 * CHOOSE(CONTROL!$C$22, $C$13, 100%, $E$13)</f>
        <v>16.492799999999999</v>
      </c>
      <c r="C963" s="67">
        <f>16.4928 * CHOOSE(CONTROL!$C$22, $C$13, 100%, $E$13)</f>
        <v>16.492799999999999</v>
      </c>
      <c r="D963" s="67">
        <f>16.4938 * CHOOSE(CONTROL!$C$22, $C$13, 100%, $E$13)</f>
        <v>16.4938</v>
      </c>
      <c r="E963" s="68">
        <f>18.6548 * CHOOSE(CONTROL!$C$22, $C$13, 100%, $E$13)</f>
        <v>18.654800000000002</v>
      </c>
      <c r="F963" s="68">
        <f>18.6548 * CHOOSE(CONTROL!$C$22, $C$13, 100%, $E$13)</f>
        <v>18.654800000000002</v>
      </c>
      <c r="G963" s="68">
        <f>18.6561 * CHOOSE(CONTROL!$C$22, $C$13, 100%, $E$13)</f>
        <v>18.656099999999999</v>
      </c>
      <c r="H963" s="68">
        <f>30.7571* CHOOSE(CONTROL!$C$22, $C$13, 100%, $E$13)</f>
        <v>30.757100000000001</v>
      </c>
      <c r="I963" s="68">
        <f>30.7584 * CHOOSE(CONTROL!$C$22, $C$13, 100%, $E$13)</f>
        <v>30.758400000000002</v>
      </c>
      <c r="J963" s="68">
        <f>18.6548 * CHOOSE(CONTROL!$C$22, $C$13, 100%, $E$13)</f>
        <v>18.654800000000002</v>
      </c>
      <c r="K963" s="68">
        <f>18.6561 * CHOOSE(CONTROL!$C$22, $C$13, 100%, $E$13)</f>
        <v>18.656099999999999</v>
      </c>
    </row>
    <row r="964" spans="1:11" ht="15">
      <c r="A964" s="13">
        <v>70464</v>
      </c>
      <c r="B964" s="67">
        <f>16.4928 * CHOOSE(CONTROL!$C$22, $C$13, 100%, $E$13)</f>
        <v>16.492799999999999</v>
      </c>
      <c r="C964" s="67">
        <f>16.4928 * CHOOSE(CONTROL!$C$22, $C$13, 100%, $E$13)</f>
        <v>16.492799999999999</v>
      </c>
      <c r="D964" s="67">
        <f>16.4938 * CHOOSE(CONTROL!$C$22, $C$13, 100%, $E$13)</f>
        <v>16.4938</v>
      </c>
      <c r="E964" s="68">
        <f>18.4807 * CHOOSE(CONTROL!$C$22, $C$13, 100%, $E$13)</f>
        <v>18.480699999999999</v>
      </c>
      <c r="F964" s="68">
        <f>18.4807 * CHOOSE(CONTROL!$C$22, $C$13, 100%, $E$13)</f>
        <v>18.480699999999999</v>
      </c>
      <c r="G964" s="68">
        <f>18.482 * CHOOSE(CONTROL!$C$22, $C$13, 100%, $E$13)</f>
        <v>18.481999999999999</v>
      </c>
      <c r="H964" s="68">
        <f>30.8212* CHOOSE(CONTROL!$C$22, $C$13, 100%, $E$13)</f>
        <v>30.821200000000001</v>
      </c>
      <c r="I964" s="68">
        <f>30.8225 * CHOOSE(CONTROL!$C$22, $C$13, 100%, $E$13)</f>
        <v>30.822500000000002</v>
      </c>
      <c r="J964" s="68">
        <f>18.4807 * CHOOSE(CONTROL!$C$22, $C$13, 100%, $E$13)</f>
        <v>18.480699999999999</v>
      </c>
      <c r="K964" s="68">
        <f>18.482 * CHOOSE(CONTROL!$C$22, $C$13, 100%, $E$13)</f>
        <v>18.481999999999999</v>
      </c>
    </row>
    <row r="965" spans="1:11" ht="15">
      <c r="A965" s="13">
        <v>70495</v>
      </c>
      <c r="B965" s="67">
        <f>16.4344 * CHOOSE(CONTROL!$C$22, $C$13, 100%, $E$13)</f>
        <v>16.4344</v>
      </c>
      <c r="C965" s="67">
        <f>16.4344 * CHOOSE(CONTROL!$C$22, $C$13, 100%, $E$13)</f>
        <v>16.4344</v>
      </c>
      <c r="D965" s="67">
        <f>16.4354 * CHOOSE(CONTROL!$C$22, $C$13, 100%, $E$13)</f>
        <v>16.435400000000001</v>
      </c>
      <c r="E965" s="68">
        <f>18.5602 * CHOOSE(CONTROL!$C$22, $C$13, 100%, $E$13)</f>
        <v>18.560199999999998</v>
      </c>
      <c r="F965" s="68">
        <f>18.5602 * CHOOSE(CONTROL!$C$22, $C$13, 100%, $E$13)</f>
        <v>18.560199999999998</v>
      </c>
      <c r="G965" s="68">
        <f>18.5615 * CHOOSE(CONTROL!$C$22, $C$13, 100%, $E$13)</f>
        <v>18.561499999999999</v>
      </c>
      <c r="H965" s="68">
        <f>30.5507* CHOOSE(CONTROL!$C$22, $C$13, 100%, $E$13)</f>
        <v>30.550699999999999</v>
      </c>
      <c r="I965" s="68">
        <f>30.552 * CHOOSE(CONTROL!$C$22, $C$13, 100%, $E$13)</f>
        <v>30.552</v>
      </c>
      <c r="J965" s="68">
        <f>18.5602 * CHOOSE(CONTROL!$C$22, $C$13, 100%, $E$13)</f>
        <v>18.560199999999998</v>
      </c>
      <c r="K965" s="68">
        <f>18.5615 * CHOOSE(CONTROL!$C$22, $C$13, 100%, $E$13)</f>
        <v>18.561499999999999</v>
      </c>
    </row>
    <row r="966" spans="1:11" ht="15">
      <c r="A966" s="13">
        <v>70526</v>
      </c>
      <c r="B966" s="67">
        <f>16.4314 * CHOOSE(CONTROL!$C$22, $C$13, 100%, $E$13)</f>
        <v>16.4314</v>
      </c>
      <c r="C966" s="67">
        <f>16.4314 * CHOOSE(CONTROL!$C$22, $C$13, 100%, $E$13)</f>
        <v>16.4314</v>
      </c>
      <c r="D966" s="67">
        <f>16.4324 * CHOOSE(CONTROL!$C$22, $C$13, 100%, $E$13)</f>
        <v>16.432400000000001</v>
      </c>
      <c r="E966" s="68">
        <f>18.2241 * CHOOSE(CONTROL!$C$22, $C$13, 100%, $E$13)</f>
        <v>18.2241</v>
      </c>
      <c r="F966" s="68">
        <f>18.2241 * CHOOSE(CONTROL!$C$22, $C$13, 100%, $E$13)</f>
        <v>18.2241</v>
      </c>
      <c r="G966" s="68">
        <f>18.2254 * CHOOSE(CONTROL!$C$22, $C$13, 100%, $E$13)</f>
        <v>18.2254</v>
      </c>
      <c r="H966" s="68">
        <f>30.6143* CHOOSE(CONTROL!$C$22, $C$13, 100%, $E$13)</f>
        <v>30.6143</v>
      </c>
      <c r="I966" s="68">
        <f>30.6156 * CHOOSE(CONTROL!$C$22, $C$13, 100%, $E$13)</f>
        <v>30.615600000000001</v>
      </c>
      <c r="J966" s="68">
        <f>18.2241 * CHOOSE(CONTROL!$C$22, $C$13, 100%, $E$13)</f>
        <v>18.2241</v>
      </c>
      <c r="K966" s="68">
        <f>18.2254 * CHOOSE(CONTROL!$C$22, $C$13, 100%, $E$13)</f>
        <v>18.2254</v>
      </c>
    </row>
    <row r="967" spans="1:11" ht="15">
      <c r="A967" s="13">
        <v>70554</v>
      </c>
      <c r="B967" s="67">
        <f>16.4284 * CHOOSE(CONTROL!$C$22, $C$13, 100%, $E$13)</f>
        <v>16.4284</v>
      </c>
      <c r="C967" s="67">
        <f>16.4284 * CHOOSE(CONTROL!$C$22, $C$13, 100%, $E$13)</f>
        <v>16.4284</v>
      </c>
      <c r="D967" s="67">
        <f>16.4293 * CHOOSE(CONTROL!$C$22, $C$13, 100%, $E$13)</f>
        <v>16.429300000000001</v>
      </c>
      <c r="E967" s="68">
        <f>18.4853 * CHOOSE(CONTROL!$C$22, $C$13, 100%, $E$13)</f>
        <v>18.485299999999999</v>
      </c>
      <c r="F967" s="68">
        <f>18.4853 * CHOOSE(CONTROL!$C$22, $C$13, 100%, $E$13)</f>
        <v>18.485299999999999</v>
      </c>
      <c r="G967" s="68">
        <f>18.4866 * CHOOSE(CONTROL!$C$22, $C$13, 100%, $E$13)</f>
        <v>18.486599999999999</v>
      </c>
      <c r="H967" s="68">
        <f>30.6781* CHOOSE(CONTROL!$C$22, $C$13, 100%, $E$13)</f>
        <v>30.678100000000001</v>
      </c>
      <c r="I967" s="68">
        <f>30.6794 * CHOOSE(CONTROL!$C$22, $C$13, 100%, $E$13)</f>
        <v>30.679400000000001</v>
      </c>
      <c r="J967" s="68">
        <f>18.4853 * CHOOSE(CONTROL!$C$22, $C$13, 100%, $E$13)</f>
        <v>18.485299999999999</v>
      </c>
      <c r="K967" s="68">
        <f>18.4866 * CHOOSE(CONTROL!$C$22, $C$13, 100%, $E$13)</f>
        <v>18.486599999999999</v>
      </c>
    </row>
    <row r="968" spans="1:11" ht="15">
      <c r="A968" s="13">
        <v>70585</v>
      </c>
      <c r="B968" s="67">
        <f>16.4364 * CHOOSE(CONTROL!$C$22, $C$13, 100%, $E$13)</f>
        <v>16.436399999999999</v>
      </c>
      <c r="C968" s="67">
        <f>16.4364 * CHOOSE(CONTROL!$C$22, $C$13, 100%, $E$13)</f>
        <v>16.436399999999999</v>
      </c>
      <c r="D968" s="67">
        <f>16.4374 * CHOOSE(CONTROL!$C$22, $C$13, 100%, $E$13)</f>
        <v>16.4374</v>
      </c>
      <c r="E968" s="68">
        <f>18.7638 * CHOOSE(CONTROL!$C$22, $C$13, 100%, $E$13)</f>
        <v>18.7638</v>
      </c>
      <c r="F968" s="68">
        <f>18.7638 * CHOOSE(CONTROL!$C$22, $C$13, 100%, $E$13)</f>
        <v>18.7638</v>
      </c>
      <c r="G968" s="68">
        <f>18.7651 * CHOOSE(CONTROL!$C$22, $C$13, 100%, $E$13)</f>
        <v>18.7651</v>
      </c>
      <c r="H968" s="68">
        <f>30.742* CHOOSE(CONTROL!$C$22, $C$13, 100%, $E$13)</f>
        <v>30.742000000000001</v>
      </c>
      <c r="I968" s="68">
        <f>30.7433 * CHOOSE(CONTROL!$C$22, $C$13, 100%, $E$13)</f>
        <v>30.743300000000001</v>
      </c>
      <c r="J968" s="68">
        <f>18.7638 * CHOOSE(CONTROL!$C$22, $C$13, 100%, $E$13)</f>
        <v>18.7638</v>
      </c>
      <c r="K968" s="68">
        <f>18.7651 * CHOOSE(CONTROL!$C$22, $C$13, 100%, $E$13)</f>
        <v>18.7651</v>
      </c>
    </row>
    <row r="969" spans="1:11" ht="15">
      <c r="A969" s="13">
        <v>70615</v>
      </c>
      <c r="B969" s="67">
        <f>16.4364 * CHOOSE(CONTROL!$C$22, $C$13, 100%, $E$13)</f>
        <v>16.436399999999999</v>
      </c>
      <c r="C969" s="67">
        <f>16.4364 * CHOOSE(CONTROL!$C$22, $C$13, 100%, $E$13)</f>
        <v>16.436399999999999</v>
      </c>
      <c r="D969" s="67">
        <f>16.439 * CHOOSE(CONTROL!$C$22, $C$13, 100%, $E$13)</f>
        <v>16.439</v>
      </c>
      <c r="E969" s="68">
        <f>18.8698 * CHOOSE(CONTROL!$C$22, $C$13, 100%, $E$13)</f>
        <v>18.869800000000001</v>
      </c>
      <c r="F969" s="68">
        <f>18.8698 * CHOOSE(CONTROL!$C$22, $C$13, 100%, $E$13)</f>
        <v>18.869800000000001</v>
      </c>
      <c r="G969" s="68">
        <f>18.8731 * CHOOSE(CONTROL!$C$22, $C$13, 100%, $E$13)</f>
        <v>18.873100000000001</v>
      </c>
      <c r="H969" s="68">
        <f>30.8061* CHOOSE(CONTROL!$C$22, $C$13, 100%, $E$13)</f>
        <v>30.806100000000001</v>
      </c>
      <c r="I969" s="68">
        <f>30.8093 * CHOOSE(CONTROL!$C$22, $C$13, 100%, $E$13)</f>
        <v>30.8093</v>
      </c>
      <c r="J969" s="68">
        <f>18.8698 * CHOOSE(CONTROL!$C$22, $C$13, 100%, $E$13)</f>
        <v>18.869800000000001</v>
      </c>
      <c r="K969" s="68">
        <f>18.8731 * CHOOSE(CONTROL!$C$22, $C$13, 100%, $E$13)</f>
        <v>18.873100000000001</v>
      </c>
    </row>
    <row r="970" spans="1:11" ht="15">
      <c r="A970" s="13">
        <v>70646</v>
      </c>
      <c r="B970" s="67">
        <f>16.4425 * CHOOSE(CONTROL!$C$22, $C$13, 100%, $E$13)</f>
        <v>16.442499999999999</v>
      </c>
      <c r="C970" s="67">
        <f>16.4425 * CHOOSE(CONTROL!$C$22, $C$13, 100%, $E$13)</f>
        <v>16.442499999999999</v>
      </c>
      <c r="D970" s="67">
        <f>16.4451 * CHOOSE(CONTROL!$C$22, $C$13, 100%, $E$13)</f>
        <v>16.4451</v>
      </c>
      <c r="E970" s="68">
        <f>18.768 * CHOOSE(CONTROL!$C$22, $C$13, 100%, $E$13)</f>
        <v>18.768000000000001</v>
      </c>
      <c r="F970" s="68">
        <f>18.768 * CHOOSE(CONTROL!$C$22, $C$13, 100%, $E$13)</f>
        <v>18.768000000000001</v>
      </c>
      <c r="G970" s="68">
        <f>18.7713 * CHOOSE(CONTROL!$C$22, $C$13, 100%, $E$13)</f>
        <v>18.7713</v>
      </c>
      <c r="H970" s="68">
        <f>30.8702* CHOOSE(CONTROL!$C$22, $C$13, 100%, $E$13)</f>
        <v>30.870200000000001</v>
      </c>
      <c r="I970" s="68">
        <f>30.8735 * CHOOSE(CONTROL!$C$22, $C$13, 100%, $E$13)</f>
        <v>30.8735</v>
      </c>
      <c r="J970" s="68">
        <f>18.768 * CHOOSE(CONTROL!$C$22, $C$13, 100%, $E$13)</f>
        <v>18.768000000000001</v>
      </c>
      <c r="K970" s="68">
        <f>18.7713 * CHOOSE(CONTROL!$C$22, $C$13, 100%, $E$13)</f>
        <v>18.7713</v>
      </c>
    </row>
    <row r="971" spans="1:11" ht="15">
      <c r="A971" s="13">
        <v>70676</v>
      </c>
      <c r="B971" s="67">
        <f>16.6902 * CHOOSE(CONTROL!$C$22, $C$13, 100%, $E$13)</f>
        <v>16.690200000000001</v>
      </c>
      <c r="C971" s="67">
        <f>16.6902 * CHOOSE(CONTROL!$C$22, $C$13, 100%, $E$13)</f>
        <v>16.690200000000001</v>
      </c>
      <c r="D971" s="67">
        <f>16.6928 * CHOOSE(CONTROL!$C$22, $C$13, 100%, $E$13)</f>
        <v>16.692799999999998</v>
      </c>
      <c r="E971" s="68">
        <f>19.0646 * CHOOSE(CONTROL!$C$22, $C$13, 100%, $E$13)</f>
        <v>19.064599999999999</v>
      </c>
      <c r="F971" s="68">
        <f>19.0646 * CHOOSE(CONTROL!$C$22, $C$13, 100%, $E$13)</f>
        <v>19.064599999999999</v>
      </c>
      <c r="G971" s="68">
        <f>19.0679 * CHOOSE(CONTROL!$C$22, $C$13, 100%, $E$13)</f>
        <v>19.067900000000002</v>
      </c>
      <c r="H971" s="68">
        <f>30.9346* CHOOSE(CONTROL!$C$22, $C$13, 100%, $E$13)</f>
        <v>30.9346</v>
      </c>
      <c r="I971" s="68">
        <f>30.9378 * CHOOSE(CONTROL!$C$22, $C$13, 100%, $E$13)</f>
        <v>30.937799999999999</v>
      </c>
      <c r="J971" s="68">
        <f>19.0646 * CHOOSE(CONTROL!$C$22, $C$13, 100%, $E$13)</f>
        <v>19.064599999999999</v>
      </c>
      <c r="K971" s="68">
        <f>19.0679 * CHOOSE(CONTROL!$C$22, $C$13, 100%, $E$13)</f>
        <v>19.067900000000002</v>
      </c>
    </row>
    <row r="972" spans="1:11" ht="15">
      <c r="A972" s="13">
        <v>70707</v>
      </c>
      <c r="B972" s="67">
        <f>16.6969 * CHOOSE(CONTROL!$C$22, $C$13, 100%, $E$13)</f>
        <v>16.696899999999999</v>
      </c>
      <c r="C972" s="67">
        <f>16.6969 * CHOOSE(CONTROL!$C$22, $C$13, 100%, $E$13)</f>
        <v>16.696899999999999</v>
      </c>
      <c r="D972" s="67">
        <f>16.6995 * CHOOSE(CONTROL!$C$22, $C$13, 100%, $E$13)</f>
        <v>16.6995</v>
      </c>
      <c r="E972" s="68">
        <f>18.7512 * CHOOSE(CONTROL!$C$22, $C$13, 100%, $E$13)</f>
        <v>18.751200000000001</v>
      </c>
      <c r="F972" s="68">
        <f>18.7512 * CHOOSE(CONTROL!$C$22, $C$13, 100%, $E$13)</f>
        <v>18.751200000000001</v>
      </c>
      <c r="G972" s="68">
        <f>18.7544 * CHOOSE(CONTROL!$C$22, $C$13, 100%, $E$13)</f>
        <v>18.7544</v>
      </c>
      <c r="H972" s="68">
        <f>30.999* CHOOSE(CONTROL!$C$22, $C$13, 100%, $E$13)</f>
        <v>30.998999999999999</v>
      </c>
      <c r="I972" s="68">
        <f>31.0023 * CHOOSE(CONTROL!$C$22, $C$13, 100%, $E$13)</f>
        <v>31.002300000000002</v>
      </c>
      <c r="J972" s="68">
        <f>18.7512 * CHOOSE(CONTROL!$C$22, $C$13, 100%, $E$13)</f>
        <v>18.751200000000001</v>
      </c>
      <c r="K972" s="68">
        <f>18.7544 * CHOOSE(CONTROL!$C$22, $C$13, 100%, $E$13)</f>
        <v>18.7544</v>
      </c>
    </row>
    <row r="973" spans="1:11" ht="15">
      <c r="A973" s="13">
        <v>70738</v>
      </c>
      <c r="B973" s="67">
        <f>16.6939 * CHOOSE(CONTROL!$C$22, $C$13, 100%, $E$13)</f>
        <v>16.693899999999999</v>
      </c>
      <c r="C973" s="67">
        <f>16.6939 * CHOOSE(CONTROL!$C$22, $C$13, 100%, $E$13)</f>
        <v>16.693899999999999</v>
      </c>
      <c r="D973" s="67">
        <f>16.6965 * CHOOSE(CONTROL!$C$22, $C$13, 100%, $E$13)</f>
        <v>16.6965</v>
      </c>
      <c r="E973" s="68">
        <f>18.7137 * CHOOSE(CONTROL!$C$22, $C$13, 100%, $E$13)</f>
        <v>18.713699999999999</v>
      </c>
      <c r="F973" s="68">
        <f>18.7137 * CHOOSE(CONTROL!$C$22, $C$13, 100%, $E$13)</f>
        <v>18.713699999999999</v>
      </c>
      <c r="G973" s="68">
        <f>18.717 * CHOOSE(CONTROL!$C$22, $C$13, 100%, $E$13)</f>
        <v>18.716999999999999</v>
      </c>
      <c r="H973" s="68">
        <f>31.0636* CHOOSE(CONTROL!$C$22, $C$13, 100%, $E$13)</f>
        <v>31.063600000000001</v>
      </c>
      <c r="I973" s="68">
        <f>31.0668 * CHOOSE(CONTROL!$C$22, $C$13, 100%, $E$13)</f>
        <v>31.066800000000001</v>
      </c>
      <c r="J973" s="68">
        <f>18.7137 * CHOOSE(CONTROL!$C$22, $C$13, 100%, $E$13)</f>
        <v>18.713699999999999</v>
      </c>
      <c r="K973" s="68">
        <f>18.717 * CHOOSE(CONTROL!$C$22, $C$13, 100%, $E$13)</f>
        <v>18.716999999999999</v>
      </c>
    </row>
    <row r="974" spans="1:11" ht="15">
      <c r="A974" s="13">
        <v>70768</v>
      </c>
      <c r="B974" s="67">
        <f>16.7297 * CHOOSE(CONTROL!$C$22, $C$13, 100%, $E$13)</f>
        <v>16.729700000000001</v>
      </c>
      <c r="C974" s="67">
        <f>16.7297 * CHOOSE(CONTROL!$C$22, $C$13, 100%, $E$13)</f>
        <v>16.729700000000001</v>
      </c>
      <c r="D974" s="67">
        <f>16.7307 * CHOOSE(CONTROL!$C$22, $C$13, 100%, $E$13)</f>
        <v>16.730699999999999</v>
      </c>
      <c r="E974" s="68">
        <f>18.8417 * CHOOSE(CONTROL!$C$22, $C$13, 100%, $E$13)</f>
        <v>18.841699999999999</v>
      </c>
      <c r="F974" s="68">
        <f>18.8417 * CHOOSE(CONTROL!$C$22, $C$13, 100%, $E$13)</f>
        <v>18.841699999999999</v>
      </c>
      <c r="G974" s="68">
        <f>18.843 * CHOOSE(CONTROL!$C$22, $C$13, 100%, $E$13)</f>
        <v>18.843</v>
      </c>
      <c r="H974" s="68">
        <f>31.1283* CHOOSE(CONTROL!$C$22, $C$13, 100%, $E$13)</f>
        <v>31.128299999999999</v>
      </c>
      <c r="I974" s="68">
        <f>31.1296 * CHOOSE(CONTROL!$C$22, $C$13, 100%, $E$13)</f>
        <v>31.1296</v>
      </c>
      <c r="J974" s="68">
        <f>18.8417 * CHOOSE(CONTROL!$C$22, $C$13, 100%, $E$13)</f>
        <v>18.841699999999999</v>
      </c>
      <c r="K974" s="68">
        <f>18.843 * CHOOSE(CONTROL!$C$22, $C$13, 100%, $E$13)</f>
        <v>18.843</v>
      </c>
    </row>
    <row r="975" spans="1:11" ht="15">
      <c r="A975" s="13">
        <v>70799</v>
      </c>
      <c r="B975" s="67">
        <f>16.7327 * CHOOSE(CONTROL!$C$22, $C$13, 100%, $E$13)</f>
        <v>16.732700000000001</v>
      </c>
      <c r="C975" s="67">
        <f>16.7327 * CHOOSE(CONTROL!$C$22, $C$13, 100%, $E$13)</f>
        <v>16.732700000000001</v>
      </c>
      <c r="D975" s="67">
        <f>16.7337 * CHOOSE(CONTROL!$C$22, $C$13, 100%, $E$13)</f>
        <v>16.733699999999999</v>
      </c>
      <c r="E975" s="68">
        <f>18.9145 * CHOOSE(CONTROL!$C$22, $C$13, 100%, $E$13)</f>
        <v>18.9145</v>
      </c>
      <c r="F975" s="68">
        <f>18.9145 * CHOOSE(CONTROL!$C$22, $C$13, 100%, $E$13)</f>
        <v>18.9145</v>
      </c>
      <c r="G975" s="68">
        <f>18.9158 * CHOOSE(CONTROL!$C$22, $C$13, 100%, $E$13)</f>
        <v>18.915800000000001</v>
      </c>
      <c r="H975" s="68">
        <f>31.1931* CHOOSE(CONTROL!$C$22, $C$13, 100%, $E$13)</f>
        <v>31.193100000000001</v>
      </c>
      <c r="I975" s="68">
        <f>31.1944 * CHOOSE(CONTROL!$C$22, $C$13, 100%, $E$13)</f>
        <v>31.194400000000002</v>
      </c>
      <c r="J975" s="68">
        <f>18.9145 * CHOOSE(CONTROL!$C$22, $C$13, 100%, $E$13)</f>
        <v>18.9145</v>
      </c>
      <c r="K975" s="68">
        <f>18.9158 * CHOOSE(CONTROL!$C$22, $C$13, 100%, $E$13)</f>
        <v>18.915800000000001</v>
      </c>
    </row>
    <row r="976" spans="1:11" ht="15">
      <c r="A976" s="13">
        <v>70829</v>
      </c>
      <c r="B976" s="67">
        <f>16.7327 * CHOOSE(CONTROL!$C$22, $C$13, 100%, $E$13)</f>
        <v>16.732700000000001</v>
      </c>
      <c r="C976" s="67">
        <f>16.7327 * CHOOSE(CONTROL!$C$22, $C$13, 100%, $E$13)</f>
        <v>16.732700000000001</v>
      </c>
      <c r="D976" s="67">
        <f>16.7337 * CHOOSE(CONTROL!$C$22, $C$13, 100%, $E$13)</f>
        <v>16.733699999999999</v>
      </c>
      <c r="E976" s="68">
        <f>18.7378 * CHOOSE(CONTROL!$C$22, $C$13, 100%, $E$13)</f>
        <v>18.7378</v>
      </c>
      <c r="F976" s="68">
        <f>18.7378 * CHOOSE(CONTROL!$C$22, $C$13, 100%, $E$13)</f>
        <v>18.7378</v>
      </c>
      <c r="G976" s="68">
        <f>18.739 * CHOOSE(CONTROL!$C$22, $C$13, 100%, $E$13)</f>
        <v>18.739000000000001</v>
      </c>
      <c r="H976" s="68">
        <f>31.2581* CHOOSE(CONTROL!$C$22, $C$13, 100%, $E$13)</f>
        <v>31.258099999999999</v>
      </c>
      <c r="I976" s="68">
        <f>31.2594 * CHOOSE(CONTROL!$C$22, $C$13, 100%, $E$13)</f>
        <v>31.259399999999999</v>
      </c>
      <c r="J976" s="68">
        <f>18.7378 * CHOOSE(CONTROL!$C$22, $C$13, 100%, $E$13)</f>
        <v>18.7378</v>
      </c>
      <c r="K976" s="68">
        <f>18.739 * CHOOSE(CONTROL!$C$22, $C$13, 100%, $E$13)</f>
        <v>18.739000000000001</v>
      </c>
    </row>
    <row r="977" spans="1:11" ht="15">
      <c r="A977" s="13">
        <v>70860</v>
      </c>
      <c r="B977" s="67">
        <f>16.67 * CHOOSE(CONTROL!$C$22, $C$13, 100%, $E$13)</f>
        <v>16.670000000000002</v>
      </c>
      <c r="C977" s="67">
        <f>16.67 * CHOOSE(CONTROL!$C$22, $C$13, 100%, $E$13)</f>
        <v>16.670000000000002</v>
      </c>
      <c r="D977" s="67">
        <f>16.671 * CHOOSE(CONTROL!$C$22, $C$13, 100%, $E$13)</f>
        <v>16.670999999999999</v>
      </c>
      <c r="E977" s="68">
        <f>18.8149 * CHOOSE(CONTROL!$C$22, $C$13, 100%, $E$13)</f>
        <v>18.814900000000002</v>
      </c>
      <c r="F977" s="68">
        <f>18.8149 * CHOOSE(CONTROL!$C$22, $C$13, 100%, $E$13)</f>
        <v>18.814900000000002</v>
      </c>
      <c r="G977" s="68">
        <f>18.8162 * CHOOSE(CONTROL!$C$22, $C$13, 100%, $E$13)</f>
        <v>18.816199999999998</v>
      </c>
      <c r="H977" s="68">
        <f>30.9777* CHOOSE(CONTROL!$C$22, $C$13, 100%, $E$13)</f>
        <v>30.977699999999999</v>
      </c>
      <c r="I977" s="68">
        <f>30.979 * CHOOSE(CONTROL!$C$22, $C$13, 100%, $E$13)</f>
        <v>30.978999999999999</v>
      </c>
      <c r="J977" s="68">
        <f>18.8149 * CHOOSE(CONTROL!$C$22, $C$13, 100%, $E$13)</f>
        <v>18.814900000000002</v>
      </c>
      <c r="K977" s="68">
        <f>18.8162 * CHOOSE(CONTROL!$C$22, $C$13, 100%, $E$13)</f>
        <v>18.816199999999998</v>
      </c>
    </row>
    <row r="978" spans="1:11" ht="15">
      <c r="A978" s="13">
        <v>70891</v>
      </c>
      <c r="B978" s="67">
        <f>16.667 * CHOOSE(CONTROL!$C$22, $C$13, 100%, $E$13)</f>
        <v>16.667000000000002</v>
      </c>
      <c r="C978" s="67">
        <f>16.667 * CHOOSE(CONTROL!$C$22, $C$13, 100%, $E$13)</f>
        <v>16.667000000000002</v>
      </c>
      <c r="D978" s="67">
        <f>16.668 * CHOOSE(CONTROL!$C$22, $C$13, 100%, $E$13)</f>
        <v>16.667999999999999</v>
      </c>
      <c r="E978" s="68">
        <f>18.4739 * CHOOSE(CONTROL!$C$22, $C$13, 100%, $E$13)</f>
        <v>18.4739</v>
      </c>
      <c r="F978" s="68">
        <f>18.4739 * CHOOSE(CONTROL!$C$22, $C$13, 100%, $E$13)</f>
        <v>18.4739</v>
      </c>
      <c r="G978" s="68">
        <f>18.4752 * CHOOSE(CONTROL!$C$22, $C$13, 100%, $E$13)</f>
        <v>18.475200000000001</v>
      </c>
      <c r="H978" s="68">
        <f>31.0422* CHOOSE(CONTROL!$C$22, $C$13, 100%, $E$13)</f>
        <v>31.042200000000001</v>
      </c>
      <c r="I978" s="68">
        <f>31.0435 * CHOOSE(CONTROL!$C$22, $C$13, 100%, $E$13)</f>
        <v>31.043500000000002</v>
      </c>
      <c r="J978" s="68">
        <f>18.4739 * CHOOSE(CONTROL!$C$22, $C$13, 100%, $E$13)</f>
        <v>18.4739</v>
      </c>
      <c r="K978" s="68">
        <f>18.4752 * CHOOSE(CONTROL!$C$22, $C$13, 100%, $E$13)</f>
        <v>18.475200000000001</v>
      </c>
    </row>
    <row r="979" spans="1:11" ht="15">
      <c r="A979" s="13">
        <v>70919</v>
      </c>
      <c r="B979" s="67">
        <f>16.6639 * CHOOSE(CONTROL!$C$22, $C$13, 100%, $E$13)</f>
        <v>16.663900000000002</v>
      </c>
      <c r="C979" s="67">
        <f>16.6639 * CHOOSE(CONTROL!$C$22, $C$13, 100%, $E$13)</f>
        <v>16.663900000000002</v>
      </c>
      <c r="D979" s="67">
        <f>16.6649 * CHOOSE(CONTROL!$C$22, $C$13, 100%, $E$13)</f>
        <v>16.664899999999999</v>
      </c>
      <c r="E979" s="68">
        <f>18.739 * CHOOSE(CONTROL!$C$22, $C$13, 100%, $E$13)</f>
        <v>18.739000000000001</v>
      </c>
      <c r="F979" s="68">
        <f>18.739 * CHOOSE(CONTROL!$C$22, $C$13, 100%, $E$13)</f>
        <v>18.739000000000001</v>
      </c>
      <c r="G979" s="68">
        <f>18.7402 * CHOOSE(CONTROL!$C$22, $C$13, 100%, $E$13)</f>
        <v>18.740200000000002</v>
      </c>
      <c r="H979" s="68">
        <f>31.1069* CHOOSE(CONTROL!$C$22, $C$13, 100%, $E$13)</f>
        <v>31.1069</v>
      </c>
      <c r="I979" s="68">
        <f>31.1082 * CHOOSE(CONTROL!$C$22, $C$13, 100%, $E$13)</f>
        <v>31.1082</v>
      </c>
      <c r="J979" s="68">
        <f>18.739 * CHOOSE(CONTROL!$C$22, $C$13, 100%, $E$13)</f>
        <v>18.739000000000001</v>
      </c>
      <c r="K979" s="68">
        <f>18.7402 * CHOOSE(CONTROL!$C$22, $C$13, 100%, $E$13)</f>
        <v>18.740200000000002</v>
      </c>
    </row>
    <row r="980" spans="1:11" ht="15">
      <c r="A980" s="13">
        <v>70950</v>
      </c>
      <c r="B980" s="67">
        <f>16.6722 * CHOOSE(CONTROL!$C$22, $C$13, 100%, $E$13)</f>
        <v>16.6722</v>
      </c>
      <c r="C980" s="67">
        <f>16.6722 * CHOOSE(CONTROL!$C$22, $C$13, 100%, $E$13)</f>
        <v>16.6722</v>
      </c>
      <c r="D980" s="67">
        <f>16.6732 * CHOOSE(CONTROL!$C$22, $C$13, 100%, $E$13)</f>
        <v>16.673200000000001</v>
      </c>
      <c r="E980" s="68">
        <f>19.0217 * CHOOSE(CONTROL!$C$22, $C$13, 100%, $E$13)</f>
        <v>19.021699999999999</v>
      </c>
      <c r="F980" s="68">
        <f>19.0217 * CHOOSE(CONTROL!$C$22, $C$13, 100%, $E$13)</f>
        <v>19.021699999999999</v>
      </c>
      <c r="G980" s="68">
        <f>19.0229 * CHOOSE(CONTROL!$C$22, $C$13, 100%, $E$13)</f>
        <v>19.0229</v>
      </c>
      <c r="H980" s="68">
        <f>31.1717* CHOOSE(CONTROL!$C$22, $C$13, 100%, $E$13)</f>
        <v>31.171700000000001</v>
      </c>
      <c r="I980" s="68">
        <f>31.173 * CHOOSE(CONTROL!$C$22, $C$13, 100%, $E$13)</f>
        <v>31.172999999999998</v>
      </c>
      <c r="J980" s="68">
        <f>19.0217 * CHOOSE(CONTROL!$C$22, $C$13, 100%, $E$13)</f>
        <v>19.021699999999999</v>
      </c>
      <c r="K980" s="68">
        <f>19.0229 * CHOOSE(CONTROL!$C$22, $C$13, 100%, $E$13)</f>
        <v>19.0229</v>
      </c>
    </row>
    <row r="981" spans="1:11" ht="15">
      <c r="A981" s="13">
        <v>70980</v>
      </c>
      <c r="B981" s="67">
        <f>16.6722 * CHOOSE(CONTROL!$C$22, $C$13, 100%, $E$13)</f>
        <v>16.6722</v>
      </c>
      <c r="C981" s="67">
        <f>16.6722 * CHOOSE(CONTROL!$C$22, $C$13, 100%, $E$13)</f>
        <v>16.6722</v>
      </c>
      <c r="D981" s="67">
        <f>16.6748 * CHOOSE(CONTROL!$C$22, $C$13, 100%, $E$13)</f>
        <v>16.674800000000001</v>
      </c>
      <c r="E981" s="68">
        <f>19.1293 * CHOOSE(CONTROL!$C$22, $C$13, 100%, $E$13)</f>
        <v>19.129300000000001</v>
      </c>
      <c r="F981" s="68">
        <f>19.1293 * CHOOSE(CONTROL!$C$22, $C$13, 100%, $E$13)</f>
        <v>19.129300000000001</v>
      </c>
      <c r="G981" s="68">
        <f>19.1325 * CHOOSE(CONTROL!$C$22, $C$13, 100%, $E$13)</f>
        <v>19.1325</v>
      </c>
      <c r="H981" s="68">
        <f>31.2366* CHOOSE(CONTROL!$C$22, $C$13, 100%, $E$13)</f>
        <v>31.236599999999999</v>
      </c>
      <c r="I981" s="68">
        <f>31.2399 * CHOOSE(CONTROL!$C$22, $C$13, 100%, $E$13)</f>
        <v>31.239899999999999</v>
      </c>
      <c r="J981" s="68">
        <f>19.1293 * CHOOSE(CONTROL!$C$22, $C$13, 100%, $E$13)</f>
        <v>19.129300000000001</v>
      </c>
      <c r="K981" s="68">
        <f>19.1325 * CHOOSE(CONTROL!$C$22, $C$13, 100%, $E$13)</f>
        <v>19.1325</v>
      </c>
    </row>
    <row r="982" spans="1:11" ht="15">
      <c r="A982" s="13">
        <v>71011</v>
      </c>
      <c r="B982" s="67">
        <f>16.6782 * CHOOSE(CONTROL!$C$22, $C$13, 100%, $E$13)</f>
        <v>16.6782</v>
      </c>
      <c r="C982" s="67">
        <f>16.6782 * CHOOSE(CONTROL!$C$22, $C$13, 100%, $E$13)</f>
        <v>16.6782</v>
      </c>
      <c r="D982" s="67">
        <f>16.6809 * CHOOSE(CONTROL!$C$22, $C$13, 100%, $E$13)</f>
        <v>16.680900000000001</v>
      </c>
      <c r="E982" s="68">
        <f>19.0259 * CHOOSE(CONTROL!$C$22, $C$13, 100%, $E$13)</f>
        <v>19.0259</v>
      </c>
      <c r="F982" s="68">
        <f>19.0259 * CHOOSE(CONTROL!$C$22, $C$13, 100%, $E$13)</f>
        <v>19.0259</v>
      </c>
      <c r="G982" s="68">
        <f>19.0292 * CHOOSE(CONTROL!$C$22, $C$13, 100%, $E$13)</f>
        <v>19.029199999999999</v>
      </c>
      <c r="H982" s="68">
        <f>31.3017* CHOOSE(CONTROL!$C$22, $C$13, 100%, $E$13)</f>
        <v>31.3017</v>
      </c>
      <c r="I982" s="68">
        <f>31.305 * CHOOSE(CONTROL!$C$22, $C$13, 100%, $E$13)</f>
        <v>31.305</v>
      </c>
      <c r="J982" s="68">
        <f>19.0259 * CHOOSE(CONTROL!$C$22, $C$13, 100%, $E$13)</f>
        <v>19.0259</v>
      </c>
      <c r="K982" s="68">
        <f>19.0292 * CHOOSE(CONTROL!$C$22, $C$13, 100%, $E$13)</f>
        <v>19.029199999999999</v>
      </c>
    </row>
    <row r="983" spans="1:11" ht="15">
      <c r="A983" s="13">
        <v>71041</v>
      </c>
      <c r="B983" s="67">
        <f>16.9294 * CHOOSE(CONTROL!$C$22, $C$13, 100%, $E$13)</f>
        <v>16.929400000000001</v>
      </c>
      <c r="C983" s="67">
        <f>16.9294 * CHOOSE(CONTROL!$C$22, $C$13, 100%, $E$13)</f>
        <v>16.929400000000001</v>
      </c>
      <c r="D983" s="67">
        <f>16.932 * CHOOSE(CONTROL!$C$22, $C$13, 100%, $E$13)</f>
        <v>16.931999999999999</v>
      </c>
      <c r="E983" s="68">
        <f>19.3264 * CHOOSE(CONTROL!$C$22, $C$13, 100%, $E$13)</f>
        <v>19.3264</v>
      </c>
      <c r="F983" s="68">
        <f>19.3264 * CHOOSE(CONTROL!$C$22, $C$13, 100%, $E$13)</f>
        <v>19.3264</v>
      </c>
      <c r="G983" s="68">
        <f>19.3297 * CHOOSE(CONTROL!$C$22, $C$13, 100%, $E$13)</f>
        <v>19.329699999999999</v>
      </c>
      <c r="H983" s="68">
        <f>31.3669* CHOOSE(CONTROL!$C$22, $C$13, 100%, $E$13)</f>
        <v>31.366900000000001</v>
      </c>
      <c r="I983" s="68">
        <f>31.3702 * CHOOSE(CONTROL!$C$22, $C$13, 100%, $E$13)</f>
        <v>31.370200000000001</v>
      </c>
      <c r="J983" s="68">
        <f>19.3264 * CHOOSE(CONTROL!$C$22, $C$13, 100%, $E$13)</f>
        <v>19.3264</v>
      </c>
      <c r="K983" s="68">
        <f>19.3297 * CHOOSE(CONTROL!$C$22, $C$13, 100%, $E$13)</f>
        <v>19.329699999999999</v>
      </c>
    </row>
    <row r="984" spans="1:11" ht="15">
      <c r="A984" s="13">
        <v>71072</v>
      </c>
      <c r="B984" s="67">
        <f>16.9361 * CHOOSE(CONTROL!$C$22, $C$13, 100%, $E$13)</f>
        <v>16.9361</v>
      </c>
      <c r="C984" s="67">
        <f>16.9361 * CHOOSE(CONTROL!$C$22, $C$13, 100%, $E$13)</f>
        <v>16.9361</v>
      </c>
      <c r="D984" s="67">
        <f>16.9387 * CHOOSE(CONTROL!$C$22, $C$13, 100%, $E$13)</f>
        <v>16.938700000000001</v>
      </c>
      <c r="E984" s="68">
        <f>19.0083 * CHOOSE(CONTROL!$C$22, $C$13, 100%, $E$13)</f>
        <v>19.008299999999998</v>
      </c>
      <c r="F984" s="68">
        <f>19.0083 * CHOOSE(CONTROL!$C$22, $C$13, 100%, $E$13)</f>
        <v>19.008299999999998</v>
      </c>
      <c r="G984" s="68">
        <f>19.0115 * CHOOSE(CONTROL!$C$22, $C$13, 100%, $E$13)</f>
        <v>19.011500000000002</v>
      </c>
      <c r="H984" s="68">
        <f>31.4323* CHOOSE(CONTROL!$C$22, $C$13, 100%, $E$13)</f>
        <v>31.432300000000001</v>
      </c>
      <c r="I984" s="68">
        <f>31.4355 * CHOOSE(CONTROL!$C$22, $C$13, 100%, $E$13)</f>
        <v>31.435500000000001</v>
      </c>
      <c r="J984" s="68">
        <f>19.0083 * CHOOSE(CONTROL!$C$22, $C$13, 100%, $E$13)</f>
        <v>19.008299999999998</v>
      </c>
      <c r="K984" s="68">
        <f>19.0115 * CHOOSE(CONTROL!$C$22, $C$13, 100%, $E$13)</f>
        <v>19.011500000000002</v>
      </c>
    </row>
    <row r="985" spans="1:11" ht="15">
      <c r="A985" s="13">
        <v>71103</v>
      </c>
      <c r="B985" s="67">
        <f>16.933 * CHOOSE(CONTROL!$C$22, $C$13, 100%, $E$13)</f>
        <v>16.933</v>
      </c>
      <c r="C985" s="67">
        <f>16.933 * CHOOSE(CONTROL!$C$22, $C$13, 100%, $E$13)</f>
        <v>16.933</v>
      </c>
      <c r="D985" s="67">
        <f>16.9357 * CHOOSE(CONTROL!$C$22, $C$13, 100%, $E$13)</f>
        <v>16.935700000000001</v>
      </c>
      <c r="E985" s="68">
        <f>18.9703 * CHOOSE(CONTROL!$C$22, $C$13, 100%, $E$13)</f>
        <v>18.970300000000002</v>
      </c>
      <c r="F985" s="68">
        <f>18.9703 * CHOOSE(CONTROL!$C$22, $C$13, 100%, $E$13)</f>
        <v>18.970300000000002</v>
      </c>
      <c r="G985" s="68">
        <f>18.9735 * CHOOSE(CONTROL!$C$22, $C$13, 100%, $E$13)</f>
        <v>18.973500000000001</v>
      </c>
      <c r="H985" s="68">
        <f>31.4978* CHOOSE(CONTROL!$C$22, $C$13, 100%, $E$13)</f>
        <v>31.497800000000002</v>
      </c>
      <c r="I985" s="68">
        <f>31.501 * CHOOSE(CONTROL!$C$22, $C$13, 100%, $E$13)</f>
        <v>31.501000000000001</v>
      </c>
      <c r="J985" s="68">
        <f>18.9703 * CHOOSE(CONTROL!$C$22, $C$13, 100%, $E$13)</f>
        <v>18.970300000000002</v>
      </c>
      <c r="K985" s="68">
        <f>18.9735 * CHOOSE(CONTROL!$C$22, $C$13, 100%, $E$13)</f>
        <v>18.973500000000001</v>
      </c>
    </row>
    <row r="986" spans="1:11" ht="15">
      <c r="A986" s="13">
        <v>71133</v>
      </c>
      <c r="B986" s="67">
        <f>16.9696 * CHOOSE(CONTROL!$C$22, $C$13, 100%, $E$13)</f>
        <v>16.9696</v>
      </c>
      <c r="C986" s="67">
        <f>16.9696 * CHOOSE(CONTROL!$C$22, $C$13, 100%, $E$13)</f>
        <v>16.9696</v>
      </c>
      <c r="D986" s="67">
        <f>16.9706 * CHOOSE(CONTROL!$C$22, $C$13, 100%, $E$13)</f>
        <v>16.970600000000001</v>
      </c>
      <c r="E986" s="68">
        <f>19.1003 * CHOOSE(CONTROL!$C$22, $C$13, 100%, $E$13)</f>
        <v>19.100300000000001</v>
      </c>
      <c r="F986" s="68">
        <f>19.1003 * CHOOSE(CONTROL!$C$22, $C$13, 100%, $E$13)</f>
        <v>19.100300000000001</v>
      </c>
      <c r="G986" s="68">
        <f>19.1016 * CHOOSE(CONTROL!$C$22, $C$13, 100%, $E$13)</f>
        <v>19.101600000000001</v>
      </c>
      <c r="H986" s="68">
        <f>31.5634* CHOOSE(CONTROL!$C$22, $C$13, 100%, $E$13)</f>
        <v>31.563400000000001</v>
      </c>
      <c r="I986" s="68">
        <f>31.5647 * CHOOSE(CONTROL!$C$22, $C$13, 100%, $E$13)</f>
        <v>31.564699999999998</v>
      </c>
      <c r="J986" s="68">
        <f>19.1003 * CHOOSE(CONTROL!$C$22, $C$13, 100%, $E$13)</f>
        <v>19.100300000000001</v>
      </c>
      <c r="K986" s="68">
        <f>19.1016 * CHOOSE(CONTROL!$C$22, $C$13, 100%, $E$13)</f>
        <v>19.101600000000001</v>
      </c>
    </row>
    <row r="987" spans="1:11" ht="15">
      <c r="A987" s="13">
        <v>71164</v>
      </c>
      <c r="B987" s="67">
        <f>16.9727 * CHOOSE(CONTROL!$C$22, $C$13, 100%, $E$13)</f>
        <v>16.9727</v>
      </c>
      <c r="C987" s="67">
        <f>16.9727 * CHOOSE(CONTROL!$C$22, $C$13, 100%, $E$13)</f>
        <v>16.9727</v>
      </c>
      <c r="D987" s="67">
        <f>16.9737 * CHOOSE(CONTROL!$C$22, $C$13, 100%, $E$13)</f>
        <v>16.973700000000001</v>
      </c>
      <c r="E987" s="68">
        <f>19.1742 * CHOOSE(CONTROL!$C$22, $C$13, 100%, $E$13)</f>
        <v>19.174199999999999</v>
      </c>
      <c r="F987" s="68">
        <f>19.1742 * CHOOSE(CONTROL!$C$22, $C$13, 100%, $E$13)</f>
        <v>19.174199999999999</v>
      </c>
      <c r="G987" s="68">
        <f>19.1755 * CHOOSE(CONTROL!$C$22, $C$13, 100%, $E$13)</f>
        <v>19.1755</v>
      </c>
      <c r="H987" s="68">
        <f>31.6291* CHOOSE(CONTROL!$C$22, $C$13, 100%, $E$13)</f>
        <v>31.629100000000001</v>
      </c>
      <c r="I987" s="68">
        <f>31.6304 * CHOOSE(CONTROL!$C$22, $C$13, 100%, $E$13)</f>
        <v>31.630400000000002</v>
      </c>
      <c r="J987" s="68">
        <f>19.1742 * CHOOSE(CONTROL!$C$22, $C$13, 100%, $E$13)</f>
        <v>19.174199999999999</v>
      </c>
      <c r="K987" s="68">
        <f>19.1755 * CHOOSE(CONTROL!$C$22, $C$13, 100%, $E$13)</f>
        <v>19.1755</v>
      </c>
    </row>
    <row r="988" spans="1:11" ht="15">
      <c r="A988" s="13">
        <v>71194</v>
      </c>
      <c r="B988" s="67">
        <f>16.9727 * CHOOSE(CONTROL!$C$22, $C$13, 100%, $E$13)</f>
        <v>16.9727</v>
      </c>
      <c r="C988" s="67">
        <f>16.9727 * CHOOSE(CONTROL!$C$22, $C$13, 100%, $E$13)</f>
        <v>16.9727</v>
      </c>
      <c r="D988" s="67">
        <f>16.9737 * CHOOSE(CONTROL!$C$22, $C$13, 100%, $E$13)</f>
        <v>16.973700000000001</v>
      </c>
      <c r="E988" s="68">
        <f>18.9948 * CHOOSE(CONTROL!$C$22, $C$13, 100%, $E$13)</f>
        <v>18.994800000000001</v>
      </c>
      <c r="F988" s="68">
        <f>18.9948 * CHOOSE(CONTROL!$C$22, $C$13, 100%, $E$13)</f>
        <v>18.994800000000001</v>
      </c>
      <c r="G988" s="68">
        <f>18.9961 * CHOOSE(CONTROL!$C$22, $C$13, 100%, $E$13)</f>
        <v>18.996099999999998</v>
      </c>
      <c r="H988" s="68">
        <f>31.695* CHOOSE(CONTROL!$C$22, $C$13, 100%, $E$13)</f>
        <v>31.695</v>
      </c>
      <c r="I988" s="68">
        <f>31.6963 * CHOOSE(CONTROL!$C$22, $C$13, 100%, $E$13)</f>
        <v>31.696300000000001</v>
      </c>
      <c r="J988" s="68">
        <f>18.9948 * CHOOSE(CONTROL!$C$22, $C$13, 100%, $E$13)</f>
        <v>18.994800000000001</v>
      </c>
      <c r="K988" s="68">
        <f>18.9961 * CHOOSE(CONTROL!$C$22, $C$13, 100%, $E$13)</f>
        <v>18.996099999999998</v>
      </c>
    </row>
    <row r="989" spans="1:11" ht="15">
      <c r="A989" s="13">
        <v>71225</v>
      </c>
      <c r="B989" s="67">
        <f>16.9056 * CHOOSE(CONTROL!$C$22, $C$13, 100%, $E$13)</f>
        <v>16.9056</v>
      </c>
      <c r="C989" s="67">
        <f>16.9056 * CHOOSE(CONTROL!$C$22, $C$13, 100%, $E$13)</f>
        <v>16.9056</v>
      </c>
      <c r="D989" s="67">
        <f>16.9066 * CHOOSE(CONTROL!$C$22, $C$13, 100%, $E$13)</f>
        <v>16.906600000000001</v>
      </c>
      <c r="E989" s="68">
        <f>19.0697 * CHOOSE(CONTROL!$C$22, $C$13, 100%, $E$13)</f>
        <v>19.069700000000001</v>
      </c>
      <c r="F989" s="68">
        <f>19.0697 * CHOOSE(CONTROL!$C$22, $C$13, 100%, $E$13)</f>
        <v>19.069700000000001</v>
      </c>
      <c r="G989" s="68">
        <f>19.0709 * CHOOSE(CONTROL!$C$22, $C$13, 100%, $E$13)</f>
        <v>19.070900000000002</v>
      </c>
      <c r="H989" s="68">
        <f>31.4047* CHOOSE(CONTROL!$C$22, $C$13, 100%, $E$13)</f>
        <v>31.404699999999998</v>
      </c>
      <c r="I989" s="68">
        <f>31.406 * CHOOSE(CONTROL!$C$22, $C$13, 100%, $E$13)</f>
        <v>31.405999999999999</v>
      </c>
      <c r="J989" s="68">
        <f>19.0697 * CHOOSE(CONTROL!$C$22, $C$13, 100%, $E$13)</f>
        <v>19.069700000000001</v>
      </c>
      <c r="K989" s="68">
        <f>19.0709 * CHOOSE(CONTROL!$C$22, $C$13, 100%, $E$13)</f>
        <v>19.070900000000002</v>
      </c>
    </row>
    <row r="990" spans="1:11" ht="15">
      <c r="A990" s="13">
        <v>71256</v>
      </c>
      <c r="B990" s="67">
        <f>16.9025 * CHOOSE(CONTROL!$C$22, $C$13, 100%, $E$13)</f>
        <v>16.9025</v>
      </c>
      <c r="C990" s="67">
        <f>16.9025 * CHOOSE(CONTROL!$C$22, $C$13, 100%, $E$13)</f>
        <v>16.9025</v>
      </c>
      <c r="D990" s="67">
        <f>16.9035 * CHOOSE(CONTROL!$C$22, $C$13, 100%, $E$13)</f>
        <v>16.903500000000001</v>
      </c>
      <c r="E990" s="68">
        <f>18.7237 * CHOOSE(CONTROL!$C$22, $C$13, 100%, $E$13)</f>
        <v>18.723700000000001</v>
      </c>
      <c r="F990" s="68">
        <f>18.7237 * CHOOSE(CONTROL!$C$22, $C$13, 100%, $E$13)</f>
        <v>18.723700000000001</v>
      </c>
      <c r="G990" s="68">
        <f>18.725 * CHOOSE(CONTROL!$C$22, $C$13, 100%, $E$13)</f>
        <v>18.725000000000001</v>
      </c>
      <c r="H990" s="68">
        <f>31.4701* CHOOSE(CONTROL!$C$22, $C$13, 100%, $E$13)</f>
        <v>31.470099999999999</v>
      </c>
      <c r="I990" s="68">
        <f>31.4714 * CHOOSE(CONTROL!$C$22, $C$13, 100%, $E$13)</f>
        <v>31.471399999999999</v>
      </c>
      <c r="J990" s="68">
        <f>18.7237 * CHOOSE(CONTROL!$C$22, $C$13, 100%, $E$13)</f>
        <v>18.723700000000001</v>
      </c>
      <c r="K990" s="68">
        <f>18.725 * CHOOSE(CONTROL!$C$22, $C$13, 100%, $E$13)</f>
        <v>18.725000000000001</v>
      </c>
    </row>
    <row r="991" spans="1:11" ht="15">
      <c r="A991" s="13">
        <v>71284</v>
      </c>
      <c r="B991" s="67">
        <f>16.8995 * CHOOSE(CONTROL!$C$22, $C$13, 100%, $E$13)</f>
        <v>16.8995</v>
      </c>
      <c r="C991" s="67">
        <f>16.8995 * CHOOSE(CONTROL!$C$22, $C$13, 100%, $E$13)</f>
        <v>16.8995</v>
      </c>
      <c r="D991" s="67">
        <f>16.9005 * CHOOSE(CONTROL!$C$22, $C$13, 100%, $E$13)</f>
        <v>16.900500000000001</v>
      </c>
      <c r="E991" s="68">
        <f>18.9926 * CHOOSE(CONTROL!$C$22, $C$13, 100%, $E$13)</f>
        <v>18.992599999999999</v>
      </c>
      <c r="F991" s="68">
        <f>18.9926 * CHOOSE(CONTROL!$C$22, $C$13, 100%, $E$13)</f>
        <v>18.992599999999999</v>
      </c>
      <c r="G991" s="68">
        <f>18.9939 * CHOOSE(CONTROL!$C$22, $C$13, 100%, $E$13)</f>
        <v>18.9939</v>
      </c>
      <c r="H991" s="68">
        <f>31.5357* CHOOSE(CONTROL!$C$22, $C$13, 100%, $E$13)</f>
        <v>31.535699999999999</v>
      </c>
      <c r="I991" s="68">
        <f>31.537 * CHOOSE(CONTROL!$C$22, $C$13, 100%, $E$13)</f>
        <v>31.536999999999999</v>
      </c>
      <c r="J991" s="68">
        <f>18.9926 * CHOOSE(CONTROL!$C$22, $C$13, 100%, $E$13)</f>
        <v>18.992599999999999</v>
      </c>
      <c r="K991" s="68">
        <f>18.9939 * CHOOSE(CONTROL!$C$22, $C$13, 100%, $E$13)</f>
        <v>18.9939</v>
      </c>
    </row>
    <row r="992" spans="1:11" ht="15">
      <c r="A992" s="13">
        <v>71315</v>
      </c>
      <c r="B992" s="67">
        <f>16.9079 * CHOOSE(CONTROL!$C$22, $C$13, 100%, $E$13)</f>
        <v>16.907900000000001</v>
      </c>
      <c r="C992" s="67">
        <f>16.9079 * CHOOSE(CONTROL!$C$22, $C$13, 100%, $E$13)</f>
        <v>16.907900000000001</v>
      </c>
      <c r="D992" s="67">
        <f>16.9089 * CHOOSE(CONTROL!$C$22, $C$13, 100%, $E$13)</f>
        <v>16.908899999999999</v>
      </c>
      <c r="E992" s="68">
        <f>19.2795 * CHOOSE(CONTROL!$C$22, $C$13, 100%, $E$13)</f>
        <v>19.279499999999999</v>
      </c>
      <c r="F992" s="68">
        <f>19.2795 * CHOOSE(CONTROL!$C$22, $C$13, 100%, $E$13)</f>
        <v>19.279499999999999</v>
      </c>
      <c r="G992" s="68">
        <f>19.2808 * CHOOSE(CONTROL!$C$22, $C$13, 100%, $E$13)</f>
        <v>19.280799999999999</v>
      </c>
      <c r="H992" s="68">
        <f>31.6014* CHOOSE(CONTROL!$C$22, $C$13, 100%, $E$13)</f>
        <v>31.601400000000002</v>
      </c>
      <c r="I992" s="68">
        <f>31.6027 * CHOOSE(CONTROL!$C$22, $C$13, 100%, $E$13)</f>
        <v>31.602699999999999</v>
      </c>
      <c r="J992" s="68">
        <f>19.2795 * CHOOSE(CONTROL!$C$22, $C$13, 100%, $E$13)</f>
        <v>19.279499999999999</v>
      </c>
      <c r="K992" s="68">
        <f>19.2808 * CHOOSE(CONTROL!$C$22, $C$13, 100%, $E$13)</f>
        <v>19.280799999999999</v>
      </c>
    </row>
    <row r="993" spans="1:11" ht="15">
      <c r="A993" s="13">
        <v>71345</v>
      </c>
      <c r="B993" s="67">
        <f>16.9079 * CHOOSE(CONTROL!$C$22, $C$13, 100%, $E$13)</f>
        <v>16.907900000000001</v>
      </c>
      <c r="C993" s="67">
        <f>16.9079 * CHOOSE(CONTROL!$C$22, $C$13, 100%, $E$13)</f>
        <v>16.907900000000001</v>
      </c>
      <c r="D993" s="67">
        <f>16.9106 * CHOOSE(CONTROL!$C$22, $C$13, 100%, $E$13)</f>
        <v>16.910599999999999</v>
      </c>
      <c r="E993" s="68">
        <f>19.3887 * CHOOSE(CONTROL!$C$22, $C$13, 100%, $E$13)</f>
        <v>19.3887</v>
      </c>
      <c r="F993" s="68">
        <f>19.3887 * CHOOSE(CONTROL!$C$22, $C$13, 100%, $E$13)</f>
        <v>19.3887</v>
      </c>
      <c r="G993" s="68">
        <f>19.3919 * CHOOSE(CONTROL!$C$22, $C$13, 100%, $E$13)</f>
        <v>19.3919</v>
      </c>
      <c r="H993" s="68">
        <f>31.6672* CHOOSE(CONTROL!$C$22, $C$13, 100%, $E$13)</f>
        <v>31.667200000000001</v>
      </c>
      <c r="I993" s="68">
        <f>31.6705 * CHOOSE(CONTROL!$C$22, $C$13, 100%, $E$13)</f>
        <v>31.670500000000001</v>
      </c>
      <c r="J993" s="68">
        <f>19.3887 * CHOOSE(CONTROL!$C$22, $C$13, 100%, $E$13)</f>
        <v>19.3887</v>
      </c>
      <c r="K993" s="68">
        <f>19.3919 * CHOOSE(CONTROL!$C$22, $C$13, 100%, $E$13)</f>
        <v>19.3919</v>
      </c>
    </row>
    <row r="994" spans="1:11" ht="15">
      <c r="A994" s="13">
        <v>71376</v>
      </c>
      <c r="B994" s="67">
        <f>16.914 * CHOOSE(CONTROL!$C$22, $C$13, 100%, $E$13)</f>
        <v>16.914000000000001</v>
      </c>
      <c r="C994" s="67">
        <f>16.914 * CHOOSE(CONTROL!$C$22, $C$13, 100%, $E$13)</f>
        <v>16.914000000000001</v>
      </c>
      <c r="D994" s="67">
        <f>16.9166 * CHOOSE(CONTROL!$C$22, $C$13, 100%, $E$13)</f>
        <v>16.916599999999999</v>
      </c>
      <c r="E994" s="68">
        <f>19.2838 * CHOOSE(CONTROL!$C$22, $C$13, 100%, $E$13)</f>
        <v>19.283799999999999</v>
      </c>
      <c r="F994" s="68">
        <f>19.2838 * CHOOSE(CONTROL!$C$22, $C$13, 100%, $E$13)</f>
        <v>19.283799999999999</v>
      </c>
      <c r="G994" s="68">
        <f>19.287 * CHOOSE(CONTROL!$C$22, $C$13, 100%, $E$13)</f>
        <v>19.286999999999999</v>
      </c>
      <c r="H994" s="68">
        <f>31.7332* CHOOSE(CONTROL!$C$22, $C$13, 100%, $E$13)</f>
        <v>31.7332</v>
      </c>
      <c r="I994" s="68">
        <f>31.7365 * CHOOSE(CONTROL!$C$22, $C$13, 100%, $E$13)</f>
        <v>31.736499999999999</v>
      </c>
      <c r="J994" s="68">
        <f>19.2838 * CHOOSE(CONTROL!$C$22, $C$13, 100%, $E$13)</f>
        <v>19.283799999999999</v>
      </c>
      <c r="K994" s="68">
        <f>19.287 * CHOOSE(CONTROL!$C$22, $C$13, 100%, $E$13)</f>
        <v>19.286999999999999</v>
      </c>
    </row>
    <row r="995" spans="1:11" ht="15">
      <c r="A995" s="13">
        <v>71406</v>
      </c>
      <c r="B995" s="67">
        <f>17.1686 * CHOOSE(CONTROL!$C$22, $C$13, 100%, $E$13)</f>
        <v>17.168600000000001</v>
      </c>
      <c r="C995" s="67">
        <f>17.1686 * CHOOSE(CONTROL!$C$22, $C$13, 100%, $E$13)</f>
        <v>17.168600000000001</v>
      </c>
      <c r="D995" s="67">
        <f>17.1712 * CHOOSE(CONTROL!$C$22, $C$13, 100%, $E$13)</f>
        <v>17.171199999999999</v>
      </c>
      <c r="E995" s="68">
        <f>19.5882 * CHOOSE(CONTROL!$C$22, $C$13, 100%, $E$13)</f>
        <v>19.588200000000001</v>
      </c>
      <c r="F995" s="68">
        <f>19.5882 * CHOOSE(CONTROL!$C$22, $C$13, 100%, $E$13)</f>
        <v>19.588200000000001</v>
      </c>
      <c r="G995" s="68">
        <f>19.5914 * CHOOSE(CONTROL!$C$22, $C$13, 100%, $E$13)</f>
        <v>19.5914</v>
      </c>
      <c r="H995" s="68">
        <f>31.7993* CHOOSE(CONTROL!$C$22, $C$13, 100%, $E$13)</f>
        <v>31.799299999999999</v>
      </c>
      <c r="I995" s="68">
        <f>31.8026 * CHOOSE(CONTROL!$C$22, $C$13, 100%, $E$13)</f>
        <v>31.802600000000002</v>
      </c>
      <c r="J995" s="68">
        <f>19.5882 * CHOOSE(CONTROL!$C$22, $C$13, 100%, $E$13)</f>
        <v>19.588200000000001</v>
      </c>
      <c r="K995" s="68">
        <f>19.5914 * CHOOSE(CONTROL!$C$22, $C$13, 100%, $E$13)</f>
        <v>19.5914</v>
      </c>
    </row>
    <row r="996" spans="1:11" ht="15">
      <c r="A996" s="13">
        <v>71437</v>
      </c>
      <c r="B996" s="67">
        <f>17.1753 * CHOOSE(CONTROL!$C$22, $C$13, 100%, $E$13)</f>
        <v>17.1753</v>
      </c>
      <c r="C996" s="67">
        <f>17.1753 * CHOOSE(CONTROL!$C$22, $C$13, 100%, $E$13)</f>
        <v>17.1753</v>
      </c>
      <c r="D996" s="67">
        <f>17.1779 * CHOOSE(CONTROL!$C$22, $C$13, 100%, $E$13)</f>
        <v>17.177900000000001</v>
      </c>
      <c r="E996" s="68">
        <f>19.2653 * CHOOSE(CONTROL!$C$22, $C$13, 100%, $E$13)</f>
        <v>19.2653</v>
      </c>
      <c r="F996" s="68">
        <f>19.2653 * CHOOSE(CONTROL!$C$22, $C$13, 100%, $E$13)</f>
        <v>19.2653</v>
      </c>
      <c r="G996" s="68">
        <f>19.2686 * CHOOSE(CONTROL!$C$22, $C$13, 100%, $E$13)</f>
        <v>19.268599999999999</v>
      </c>
      <c r="H996" s="68">
        <f>31.8656* CHOOSE(CONTROL!$C$22, $C$13, 100%, $E$13)</f>
        <v>31.865600000000001</v>
      </c>
      <c r="I996" s="68">
        <f>31.8688 * CHOOSE(CONTROL!$C$22, $C$13, 100%, $E$13)</f>
        <v>31.8688</v>
      </c>
      <c r="J996" s="68">
        <f>19.2653 * CHOOSE(CONTROL!$C$22, $C$13, 100%, $E$13)</f>
        <v>19.2653</v>
      </c>
      <c r="K996" s="68">
        <f>19.2686 * CHOOSE(CONTROL!$C$22, $C$13, 100%, $E$13)</f>
        <v>19.268599999999999</v>
      </c>
    </row>
    <row r="997" spans="1:11" ht="15">
      <c r="A997" s="13">
        <v>71468</v>
      </c>
      <c r="B997" s="67">
        <f>17.1722 * CHOOSE(CONTROL!$C$22, $C$13, 100%, $E$13)</f>
        <v>17.1722</v>
      </c>
      <c r="C997" s="67">
        <f>17.1722 * CHOOSE(CONTROL!$C$22, $C$13, 100%, $E$13)</f>
        <v>17.1722</v>
      </c>
      <c r="D997" s="67">
        <f>17.1748 * CHOOSE(CONTROL!$C$22, $C$13, 100%, $E$13)</f>
        <v>17.174800000000001</v>
      </c>
      <c r="E997" s="68">
        <f>19.2268 * CHOOSE(CONTROL!$C$22, $C$13, 100%, $E$13)</f>
        <v>19.226800000000001</v>
      </c>
      <c r="F997" s="68">
        <f>19.2268 * CHOOSE(CONTROL!$C$22, $C$13, 100%, $E$13)</f>
        <v>19.226800000000001</v>
      </c>
      <c r="G997" s="68">
        <f>19.2301 * CHOOSE(CONTROL!$C$22, $C$13, 100%, $E$13)</f>
        <v>19.2301</v>
      </c>
      <c r="H997" s="68">
        <f>31.932* CHOOSE(CONTROL!$C$22, $C$13, 100%, $E$13)</f>
        <v>31.931999999999999</v>
      </c>
      <c r="I997" s="68">
        <f>31.9352 * CHOOSE(CONTROL!$C$22, $C$13, 100%, $E$13)</f>
        <v>31.935199999999998</v>
      </c>
      <c r="J997" s="68">
        <f>19.2268 * CHOOSE(CONTROL!$C$22, $C$13, 100%, $E$13)</f>
        <v>19.226800000000001</v>
      </c>
      <c r="K997" s="68">
        <f>19.2301 * CHOOSE(CONTROL!$C$22, $C$13, 100%, $E$13)</f>
        <v>19.2301</v>
      </c>
    </row>
    <row r="998" spans="1:11" ht="15">
      <c r="A998" s="13">
        <v>71498</v>
      </c>
      <c r="B998" s="67">
        <f>17.2096 * CHOOSE(CONTROL!$C$22, $C$13, 100%, $E$13)</f>
        <v>17.209599999999998</v>
      </c>
      <c r="C998" s="67">
        <f>17.2096 * CHOOSE(CONTROL!$C$22, $C$13, 100%, $E$13)</f>
        <v>17.209599999999998</v>
      </c>
      <c r="D998" s="67">
        <f>17.2106 * CHOOSE(CONTROL!$C$22, $C$13, 100%, $E$13)</f>
        <v>17.210599999999999</v>
      </c>
      <c r="E998" s="68">
        <f>19.359 * CHOOSE(CONTROL!$C$22, $C$13, 100%, $E$13)</f>
        <v>19.359000000000002</v>
      </c>
      <c r="F998" s="68">
        <f>19.359 * CHOOSE(CONTROL!$C$22, $C$13, 100%, $E$13)</f>
        <v>19.359000000000002</v>
      </c>
      <c r="G998" s="68">
        <f>19.3602 * CHOOSE(CONTROL!$C$22, $C$13, 100%, $E$13)</f>
        <v>19.360199999999999</v>
      </c>
      <c r="H998" s="68">
        <f>31.9985* CHOOSE(CONTROL!$C$22, $C$13, 100%, $E$13)</f>
        <v>31.9985</v>
      </c>
      <c r="I998" s="68">
        <f>31.9998 * CHOOSE(CONTROL!$C$22, $C$13, 100%, $E$13)</f>
        <v>31.9998</v>
      </c>
      <c r="J998" s="68">
        <f>19.359 * CHOOSE(CONTROL!$C$22, $C$13, 100%, $E$13)</f>
        <v>19.359000000000002</v>
      </c>
      <c r="K998" s="68">
        <f>19.3602 * CHOOSE(CONTROL!$C$22, $C$13, 100%, $E$13)</f>
        <v>19.360199999999999</v>
      </c>
    </row>
    <row r="999" spans="1:11" ht="15">
      <c r="A999" s="13">
        <v>71529</v>
      </c>
      <c r="B999" s="67">
        <f>17.2126 * CHOOSE(CONTROL!$C$22, $C$13, 100%, $E$13)</f>
        <v>17.212599999999998</v>
      </c>
      <c r="C999" s="67">
        <f>17.2126 * CHOOSE(CONTROL!$C$22, $C$13, 100%, $E$13)</f>
        <v>17.212599999999998</v>
      </c>
      <c r="D999" s="67">
        <f>17.2136 * CHOOSE(CONTROL!$C$22, $C$13, 100%, $E$13)</f>
        <v>17.2136</v>
      </c>
      <c r="E999" s="68">
        <f>19.4339 * CHOOSE(CONTROL!$C$22, $C$13, 100%, $E$13)</f>
        <v>19.433900000000001</v>
      </c>
      <c r="F999" s="68">
        <f>19.4339 * CHOOSE(CONTROL!$C$22, $C$13, 100%, $E$13)</f>
        <v>19.433900000000001</v>
      </c>
      <c r="G999" s="68">
        <f>19.4351 * CHOOSE(CONTROL!$C$22, $C$13, 100%, $E$13)</f>
        <v>19.435099999999998</v>
      </c>
      <c r="H999" s="68">
        <f>32.0651* CHOOSE(CONTROL!$C$22, $C$13, 100%, $E$13)</f>
        <v>32.065100000000001</v>
      </c>
      <c r="I999" s="68">
        <f>32.0664 * CHOOSE(CONTROL!$C$22, $C$13, 100%, $E$13)</f>
        <v>32.066400000000002</v>
      </c>
      <c r="J999" s="68">
        <f>19.4339 * CHOOSE(CONTROL!$C$22, $C$13, 100%, $E$13)</f>
        <v>19.433900000000001</v>
      </c>
      <c r="K999" s="68">
        <f>19.4351 * CHOOSE(CONTROL!$C$22, $C$13, 100%, $E$13)</f>
        <v>19.435099999999998</v>
      </c>
    </row>
    <row r="1000" spans="1:11" ht="15">
      <c r="A1000" s="13">
        <v>71559</v>
      </c>
      <c r="B1000" s="67">
        <f>17.2126 * CHOOSE(CONTROL!$C$22, $C$13, 100%, $E$13)</f>
        <v>17.212599999999998</v>
      </c>
      <c r="C1000" s="67">
        <f>17.2126 * CHOOSE(CONTROL!$C$22, $C$13, 100%, $E$13)</f>
        <v>17.212599999999998</v>
      </c>
      <c r="D1000" s="67">
        <f>17.2136 * CHOOSE(CONTROL!$C$22, $C$13, 100%, $E$13)</f>
        <v>17.2136</v>
      </c>
      <c r="E1000" s="68">
        <f>19.2519 * CHOOSE(CONTROL!$C$22, $C$13, 100%, $E$13)</f>
        <v>19.251899999999999</v>
      </c>
      <c r="F1000" s="68">
        <f>19.2519 * CHOOSE(CONTROL!$C$22, $C$13, 100%, $E$13)</f>
        <v>19.251899999999999</v>
      </c>
      <c r="G1000" s="68">
        <f>19.2532 * CHOOSE(CONTROL!$C$22, $C$13, 100%, $E$13)</f>
        <v>19.2532</v>
      </c>
      <c r="H1000" s="68">
        <f>32.1319* CHOOSE(CONTROL!$C$22, $C$13, 100%, $E$13)</f>
        <v>32.131900000000002</v>
      </c>
      <c r="I1000" s="68">
        <f>32.1332 * CHOOSE(CONTROL!$C$22, $C$13, 100%, $E$13)</f>
        <v>32.133200000000002</v>
      </c>
      <c r="J1000" s="68">
        <f>19.2519 * CHOOSE(CONTROL!$C$22, $C$13, 100%, $E$13)</f>
        <v>19.251899999999999</v>
      </c>
      <c r="K1000" s="68">
        <f>19.2532 * CHOOSE(CONTROL!$C$22, $C$13, 100%, $E$13)</f>
        <v>19.2532</v>
      </c>
    </row>
    <row r="1001" spans="1:11" ht="15">
      <c r="A1001" s="13">
        <v>71590</v>
      </c>
      <c r="B1001" s="67">
        <f>17.1412 * CHOOSE(CONTROL!$C$22, $C$13, 100%, $E$13)</f>
        <v>17.141200000000001</v>
      </c>
      <c r="C1001" s="67">
        <f>17.1412 * CHOOSE(CONTROL!$C$22, $C$13, 100%, $E$13)</f>
        <v>17.141200000000001</v>
      </c>
      <c r="D1001" s="67">
        <f>17.1421 * CHOOSE(CONTROL!$C$22, $C$13, 100%, $E$13)</f>
        <v>17.142099999999999</v>
      </c>
      <c r="E1001" s="68">
        <f>19.3244 * CHOOSE(CONTROL!$C$22, $C$13, 100%, $E$13)</f>
        <v>19.324400000000001</v>
      </c>
      <c r="F1001" s="68">
        <f>19.3244 * CHOOSE(CONTROL!$C$22, $C$13, 100%, $E$13)</f>
        <v>19.324400000000001</v>
      </c>
      <c r="G1001" s="68">
        <f>19.3257 * CHOOSE(CONTROL!$C$22, $C$13, 100%, $E$13)</f>
        <v>19.325700000000001</v>
      </c>
      <c r="H1001" s="68">
        <f>31.8317* CHOOSE(CONTROL!$C$22, $C$13, 100%, $E$13)</f>
        <v>31.831700000000001</v>
      </c>
      <c r="I1001" s="68">
        <f>31.833 * CHOOSE(CONTROL!$C$22, $C$13, 100%, $E$13)</f>
        <v>31.832999999999998</v>
      </c>
      <c r="J1001" s="68">
        <f>19.3244 * CHOOSE(CONTROL!$C$22, $C$13, 100%, $E$13)</f>
        <v>19.324400000000001</v>
      </c>
      <c r="K1001" s="68">
        <f>19.3257 * CHOOSE(CONTROL!$C$22, $C$13, 100%, $E$13)</f>
        <v>19.325700000000001</v>
      </c>
    </row>
    <row r="1002" spans="1:11" ht="15">
      <c r="A1002" s="13">
        <v>71621</v>
      </c>
      <c r="B1002" s="67">
        <f>17.1381 * CHOOSE(CONTROL!$C$22, $C$13, 100%, $E$13)</f>
        <v>17.138100000000001</v>
      </c>
      <c r="C1002" s="67">
        <f>17.1381 * CHOOSE(CONTROL!$C$22, $C$13, 100%, $E$13)</f>
        <v>17.138100000000001</v>
      </c>
      <c r="D1002" s="67">
        <f>17.1391 * CHOOSE(CONTROL!$C$22, $C$13, 100%, $E$13)</f>
        <v>17.139099999999999</v>
      </c>
      <c r="E1002" s="68">
        <f>18.9735 * CHOOSE(CONTROL!$C$22, $C$13, 100%, $E$13)</f>
        <v>18.973500000000001</v>
      </c>
      <c r="F1002" s="68">
        <f>18.9735 * CHOOSE(CONTROL!$C$22, $C$13, 100%, $E$13)</f>
        <v>18.973500000000001</v>
      </c>
      <c r="G1002" s="68">
        <f>18.9747 * CHOOSE(CONTROL!$C$22, $C$13, 100%, $E$13)</f>
        <v>18.974699999999999</v>
      </c>
      <c r="H1002" s="68">
        <f>31.8981* CHOOSE(CONTROL!$C$22, $C$13, 100%, $E$13)</f>
        <v>31.898099999999999</v>
      </c>
      <c r="I1002" s="68">
        <f>31.8993 * CHOOSE(CONTROL!$C$22, $C$13, 100%, $E$13)</f>
        <v>31.8993</v>
      </c>
      <c r="J1002" s="68">
        <f>18.9735 * CHOOSE(CONTROL!$C$22, $C$13, 100%, $E$13)</f>
        <v>18.973500000000001</v>
      </c>
      <c r="K1002" s="68">
        <f>18.9747 * CHOOSE(CONTROL!$C$22, $C$13, 100%, $E$13)</f>
        <v>18.974699999999999</v>
      </c>
    </row>
    <row r="1003" spans="1:11" ht="15">
      <c r="A1003" s="13">
        <v>71650</v>
      </c>
      <c r="B1003" s="67">
        <f>17.1351 * CHOOSE(CONTROL!$C$22, $C$13, 100%, $E$13)</f>
        <v>17.135100000000001</v>
      </c>
      <c r="C1003" s="67">
        <f>17.1351 * CHOOSE(CONTROL!$C$22, $C$13, 100%, $E$13)</f>
        <v>17.135100000000001</v>
      </c>
      <c r="D1003" s="67">
        <f>17.1361 * CHOOSE(CONTROL!$C$22, $C$13, 100%, $E$13)</f>
        <v>17.136099999999999</v>
      </c>
      <c r="E1003" s="68">
        <f>19.2463 * CHOOSE(CONTROL!$C$22, $C$13, 100%, $E$13)</f>
        <v>19.246300000000002</v>
      </c>
      <c r="F1003" s="68">
        <f>19.2463 * CHOOSE(CONTROL!$C$22, $C$13, 100%, $E$13)</f>
        <v>19.246300000000002</v>
      </c>
      <c r="G1003" s="68">
        <f>19.2476 * CHOOSE(CONTROL!$C$22, $C$13, 100%, $E$13)</f>
        <v>19.247599999999998</v>
      </c>
      <c r="H1003" s="68">
        <f>31.9645* CHOOSE(CONTROL!$C$22, $C$13, 100%, $E$13)</f>
        <v>31.964500000000001</v>
      </c>
      <c r="I1003" s="68">
        <f>31.9658 * CHOOSE(CONTROL!$C$22, $C$13, 100%, $E$13)</f>
        <v>31.965800000000002</v>
      </c>
      <c r="J1003" s="68">
        <f>19.2463 * CHOOSE(CONTROL!$C$22, $C$13, 100%, $E$13)</f>
        <v>19.246300000000002</v>
      </c>
      <c r="K1003" s="68">
        <f>19.2476 * CHOOSE(CONTROL!$C$22, $C$13, 100%, $E$13)</f>
        <v>19.247599999999998</v>
      </c>
    </row>
    <row r="1004" spans="1:11" ht="15">
      <c r="A1004" s="13">
        <v>71681</v>
      </c>
      <c r="B1004" s="67">
        <f>17.1437 * CHOOSE(CONTROL!$C$22, $C$13, 100%, $E$13)</f>
        <v>17.143699999999999</v>
      </c>
      <c r="C1004" s="67">
        <f>17.1437 * CHOOSE(CONTROL!$C$22, $C$13, 100%, $E$13)</f>
        <v>17.143699999999999</v>
      </c>
      <c r="D1004" s="67">
        <f>17.1447 * CHOOSE(CONTROL!$C$22, $C$13, 100%, $E$13)</f>
        <v>17.1447</v>
      </c>
      <c r="E1004" s="68">
        <f>19.5374 * CHOOSE(CONTROL!$C$22, $C$13, 100%, $E$13)</f>
        <v>19.537400000000002</v>
      </c>
      <c r="F1004" s="68">
        <f>19.5374 * CHOOSE(CONTROL!$C$22, $C$13, 100%, $E$13)</f>
        <v>19.537400000000002</v>
      </c>
      <c r="G1004" s="68">
        <f>19.5387 * CHOOSE(CONTROL!$C$22, $C$13, 100%, $E$13)</f>
        <v>19.538699999999999</v>
      </c>
      <c r="H1004" s="68">
        <f>32.0311* CHOOSE(CONTROL!$C$22, $C$13, 100%, $E$13)</f>
        <v>32.031100000000002</v>
      </c>
      <c r="I1004" s="68">
        <f>32.0324 * CHOOSE(CONTROL!$C$22, $C$13, 100%, $E$13)</f>
        <v>32.032400000000003</v>
      </c>
      <c r="J1004" s="68">
        <f>19.5374 * CHOOSE(CONTROL!$C$22, $C$13, 100%, $E$13)</f>
        <v>19.537400000000002</v>
      </c>
      <c r="K1004" s="68">
        <f>19.5387 * CHOOSE(CONTROL!$C$22, $C$13, 100%, $E$13)</f>
        <v>19.538699999999999</v>
      </c>
    </row>
    <row r="1005" spans="1:11" ht="15">
      <c r="A1005" s="13">
        <v>71711</v>
      </c>
      <c r="B1005" s="67">
        <f>17.1437 * CHOOSE(CONTROL!$C$22, $C$13, 100%, $E$13)</f>
        <v>17.143699999999999</v>
      </c>
      <c r="C1005" s="67">
        <f>17.1437 * CHOOSE(CONTROL!$C$22, $C$13, 100%, $E$13)</f>
        <v>17.143699999999999</v>
      </c>
      <c r="D1005" s="67">
        <f>17.1463 * CHOOSE(CONTROL!$C$22, $C$13, 100%, $E$13)</f>
        <v>17.1463</v>
      </c>
      <c r="E1005" s="68">
        <f>19.6481 * CHOOSE(CONTROL!$C$22, $C$13, 100%, $E$13)</f>
        <v>19.648099999999999</v>
      </c>
      <c r="F1005" s="68">
        <f>19.6481 * CHOOSE(CONTROL!$C$22, $C$13, 100%, $E$13)</f>
        <v>19.648099999999999</v>
      </c>
      <c r="G1005" s="68">
        <f>19.6514 * CHOOSE(CONTROL!$C$22, $C$13, 100%, $E$13)</f>
        <v>19.651399999999999</v>
      </c>
      <c r="H1005" s="68">
        <f>32.0978* CHOOSE(CONTROL!$C$22, $C$13, 100%, $E$13)</f>
        <v>32.097799999999999</v>
      </c>
      <c r="I1005" s="68">
        <f>32.1011 * CHOOSE(CONTROL!$C$22, $C$13, 100%, $E$13)</f>
        <v>32.101100000000002</v>
      </c>
      <c r="J1005" s="68">
        <f>19.6481 * CHOOSE(CONTROL!$C$22, $C$13, 100%, $E$13)</f>
        <v>19.648099999999999</v>
      </c>
      <c r="K1005" s="68">
        <f>19.6514 * CHOOSE(CONTROL!$C$22, $C$13, 100%, $E$13)</f>
        <v>19.651399999999999</v>
      </c>
    </row>
    <row r="1006" spans="1:11" ht="15">
      <c r="A1006" s="13">
        <v>71742</v>
      </c>
      <c r="B1006" s="67">
        <f>17.1498 * CHOOSE(CONTROL!$C$22, $C$13, 100%, $E$13)</f>
        <v>17.149799999999999</v>
      </c>
      <c r="C1006" s="67">
        <f>17.1498 * CHOOSE(CONTROL!$C$22, $C$13, 100%, $E$13)</f>
        <v>17.149799999999999</v>
      </c>
      <c r="D1006" s="67">
        <f>17.1524 * CHOOSE(CONTROL!$C$22, $C$13, 100%, $E$13)</f>
        <v>17.1524</v>
      </c>
      <c r="E1006" s="68">
        <f>19.5416 * CHOOSE(CONTROL!$C$22, $C$13, 100%, $E$13)</f>
        <v>19.541599999999999</v>
      </c>
      <c r="F1006" s="68">
        <f>19.5416 * CHOOSE(CONTROL!$C$22, $C$13, 100%, $E$13)</f>
        <v>19.541599999999999</v>
      </c>
      <c r="G1006" s="68">
        <f>19.5449 * CHOOSE(CONTROL!$C$22, $C$13, 100%, $E$13)</f>
        <v>19.544899999999998</v>
      </c>
      <c r="H1006" s="68">
        <f>32.1647* CHOOSE(CONTROL!$C$22, $C$13, 100%, $E$13)</f>
        <v>32.164700000000003</v>
      </c>
      <c r="I1006" s="68">
        <f>32.168 * CHOOSE(CONTROL!$C$22, $C$13, 100%, $E$13)</f>
        <v>32.167999999999999</v>
      </c>
      <c r="J1006" s="68">
        <f>19.5416 * CHOOSE(CONTROL!$C$22, $C$13, 100%, $E$13)</f>
        <v>19.541599999999999</v>
      </c>
      <c r="K1006" s="68">
        <f>19.5449 * CHOOSE(CONTROL!$C$22, $C$13, 100%, $E$13)</f>
        <v>19.544899999999998</v>
      </c>
    </row>
    <row r="1007" spans="1:11" ht="15">
      <c r="A1007" s="13">
        <v>71772</v>
      </c>
      <c r="B1007" s="67">
        <f>17.4078 * CHOOSE(CONTROL!$C$22, $C$13, 100%, $E$13)</f>
        <v>17.407800000000002</v>
      </c>
      <c r="C1007" s="67">
        <f>17.4078 * CHOOSE(CONTROL!$C$22, $C$13, 100%, $E$13)</f>
        <v>17.407800000000002</v>
      </c>
      <c r="D1007" s="67">
        <f>17.4104 * CHOOSE(CONTROL!$C$22, $C$13, 100%, $E$13)</f>
        <v>17.410399999999999</v>
      </c>
      <c r="E1007" s="68">
        <f>19.8499 * CHOOSE(CONTROL!$C$22, $C$13, 100%, $E$13)</f>
        <v>19.849900000000002</v>
      </c>
      <c r="F1007" s="68">
        <f>19.8499 * CHOOSE(CONTROL!$C$22, $C$13, 100%, $E$13)</f>
        <v>19.849900000000002</v>
      </c>
      <c r="G1007" s="68">
        <f>19.8532 * CHOOSE(CONTROL!$C$22, $C$13, 100%, $E$13)</f>
        <v>19.853200000000001</v>
      </c>
      <c r="H1007" s="68">
        <f>32.2317* CHOOSE(CONTROL!$C$22, $C$13, 100%, $E$13)</f>
        <v>32.231699999999996</v>
      </c>
      <c r="I1007" s="68">
        <f>32.235 * CHOOSE(CONTROL!$C$22, $C$13, 100%, $E$13)</f>
        <v>32.234999999999999</v>
      </c>
      <c r="J1007" s="68">
        <f>19.8499 * CHOOSE(CONTROL!$C$22, $C$13, 100%, $E$13)</f>
        <v>19.849900000000002</v>
      </c>
      <c r="K1007" s="68">
        <f>19.8532 * CHOOSE(CONTROL!$C$22, $C$13, 100%, $E$13)</f>
        <v>19.853200000000001</v>
      </c>
    </row>
    <row r="1008" spans="1:11" ht="15">
      <c r="A1008" s="13">
        <v>71803</v>
      </c>
      <c r="B1008" s="67">
        <f>17.4144 * CHOOSE(CONTROL!$C$22, $C$13, 100%, $E$13)</f>
        <v>17.414400000000001</v>
      </c>
      <c r="C1008" s="67">
        <f>17.4144 * CHOOSE(CONTROL!$C$22, $C$13, 100%, $E$13)</f>
        <v>17.414400000000001</v>
      </c>
      <c r="D1008" s="67">
        <f>17.4171 * CHOOSE(CONTROL!$C$22, $C$13, 100%, $E$13)</f>
        <v>17.417100000000001</v>
      </c>
      <c r="E1008" s="68">
        <f>19.5224 * CHOOSE(CONTROL!$C$22, $C$13, 100%, $E$13)</f>
        <v>19.522400000000001</v>
      </c>
      <c r="F1008" s="68">
        <f>19.5224 * CHOOSE(CONTROL!$C$22, $C$13, 100%, $E$13)</f>
        <v>19.522400000000001</v>
      </c>
      <c r="G1008" s="68">
        <f>19.5256 * CHOOSE(CONTROL!$C$22, $C$13, 100%, $E$13)</f>
        <v>19.525600000000001</v>
      </c>
      <c r="H1008" s="68">
        <f>32.2989* CHOOSE(CONTROL!$C$22, $C$13, 100%, $E$13)</f>
        <v>32.298900000000003</v>
      </c>
      <c r="I1008" s="68">
        <f>32.3021 * CHOOSE(CONTROL!$C$22, $C$13, 100%, $E$13)</f>
        <v>32.302100000000003</v>
      </c>
      <c r="J1008" s="68">
        <f>19.5224 * CHOOSE(CONTROL!$C$22, $C$13, 100%, $E$13)</f>
        <v>19.522400000000001</v>
      </c>
      <c r="K1008" s="68">
        <f>19.5256 * CHOOSE(CONTROL!$C$22, $C$13, 100%, $E$13)</f>
        <v>19.525600000000001</v>
      </c>
    </row>
    <row r="1009" spans="1:11" ht="15">
      <c r="A1009" s="13">
        <v>71834</v>
      </c>
      <c r="B1009" s="67">
        <f>17.4114 * CHOOSE(CONTROL!$C$22, $C$13, 100%, $E$13)</f>
        <v>17.4114</v>
      </c>
      <c r="C1009" s="67">
        <f>17.4114 * CHOOSE(CONTROL!$C$22, $C$13, 100%, $E$13)</f>
        <v>17.4114</v>
      </c>
      <c r="D1009" s="67">
        <f>17.414 * CHOOSE(CONTROL!$C$22, $C$13, 100%, $E$13)</f>
        <v>17.414000000000001</v>
      </c>
      <c r="E1009" s="68">
        <f>19.4834 * CHOOSE(CONTROL!$C$22, $C$13, 100%, $E$13)</f>
        <v>19.4834</v>
      </c>
      <c r="F1009" s="68">
        <f>19.4834 * CHOOSE(CONTROL!$C$22, $C$13, 100%, $E$13)</f>
        <v>19.4834</v>
      </c>
      <c r="G1009" s="68">
        <f>19.4866 * CHOOSE(CONTROL!$C$22, $C$13, 100%, $E$13)</f>
        <v>19.486599999999999</v>
      </c>
      <c r="H1009" s="68">
        <f>32.3661* CHOOSE(CONTROL!$C$22, $C$13, 100%, $E$13)</f>
        <v>32.366100000000003</v>
      </c>
      <c r="I1009" s="68">
        <f>32.3694 * CHOOSE(CONTROL!$C$22, $C$13, 100%, $E$13)</f>
        <v>32.369399999999999</v>
      </c>
      <c r="J1009" s="68">
        <f>19.4834 * CHOOSE(CONTROL!$C$22, $C$13, 100%, $E$13)</f>
        <v>19.4834</v>
      </c>
      <c r="K1009" s="68">
        <f>19.4866 * CHOOSE(CONTROL!$C$22, $C$13, 100%, $E$13)</f>
        <v>19.486599999999999</v>
      </c>
    </row>
    <row r="1010" spans="1:11" ht="15">
      <c r="A1010" s="13">
        <v>71864</v>
      </c>
      <c r="B1010" s="67">
        <f>17.4495 * CHOOSE(CONTROL!$C$22, $C$13, 100%, $E$13)</f>
        <v>17.4495</v>
      </c>
      <c r="C1010" s="67">
        <f>17.4495 * CHOOSE(CONTROL!$C$22, $C$13, 100%, $E$13)</f>
        <v>17.4495</v>
      </c>
      <c r="D1010" s="67">
        <f>17.4505 * CHOOSE(CONTROL!$C$22, $C$13, 100%, $E$13)</f>
        <v>17.450500000000002</v>
      </c>
      <c r="E1010" s="68">
        <f>19.6176 * CHOOSE(CONTROL!$C$22, $C$13, 100%, $E$13)</f>
        <v>19.617599999999999</v>
      </c>
      <c r="F1010" s="68">
        <f>19.6176 * CHOOSE(CONTROL!$C$22, $C$13, 100%, $E$13)</f>
        <v>19.617599999999999</v>
      </c>
      <c r="G1010" s="68">
        <f>19.6189 * CHOOSE(CONTROL!$C$22, $C$13, 100%, $E$13)</f>
        <v>19.6189</v>
      </c>
      <c r="H1010" s="68">
        <f>32.4336* CHOOSE(CONTROL!$C$22, $C$13, 100%, $E$13)</f>
        <v>32.433599999999998</v>
      </c>
      <c r="I1010" s="68">
        <f>32.4349 * CHOOSE(CONTROL!$C$22, $C$13, 100%, $E$13)</f>
        <v>32.434899999999999</v>
      </c>
      <c r="J1010" s="68">
        <f>19.6176 * CHOOSE(CONTROL!$C$22, $C$13, 100%, $E$13)</f>
        <v>19.617599999999999</v>
      </c>
      <c r="K1010" s="68">
        <f>19.6189 * CHOOSE(CONTROL!$C$22, $C$13, 100%, $E$13)</f>
        <v>19.6189</v>
      </c>
    </row>
    <row r="1011" spans="1:11" ht="15">
      <c r="A1011" s="13">
        <v>71895</v>
      </c>
      <c r="B1011" s="67">
        <f>17.4526 * CHOOSE(CONTROL!$C$22, $C$13, 100%, $E$13)</f>
        <v>17.4526</v>
      </c>
      <c r="C1011" s="67">
        <f>17.4526 * CHOOSE(CONTROL!$C$22, $C$13, 100%, $E$13)</f>
        <v>17.4526</v>
      </c>
      <c r="D1011" s="67">
        <f>17.4535 * CHOOSE(CONTROL!$C$22, $C$13, 100%, $E$13)</f>
        <v>17.453499999999998</v>
      </c>
      <c r="E1011" s="68">
        <f>19.6935 * CHOOSE(CONTROL!$C$22, $C$13, 100%, $E$13)</f>
        <v>19.6935</v>
      </c>
      <c r="F1011" s="68">
        <f>19.6935 * CHOOSE(CONTROL!$C$22, $C$13, 100%, $E$13)</f>
        <v>19.6935</v>
      </c>
      <c r="G1011" s="68">
        <f>19.6948 * CHOOSE(CONTROL!$C$22, $C$13, 100%, $E$13)</f>
        <v>19.694800000000001</v>
      </c>
      <c r="H1011" s="68">
        <f>32.5011* CHOOSE(CONTROL!$C$22, $C$13, 100%, $E$13)</f>
        <v>32.501100000000001</v>
      </c>
      <c r="I1011" s="68">
        <f>32.5024 * CHOOSE(CONTROL!$C$22, $C$13, 100%, $E$13)</f>
        <v>32.502400000000002</v>
      </c>
      <c r="J1011" s="68">
        <f>19.6935 * CHOOSE(CONTROL!$C$22, $C$13, 100%, $E$13)</f>
        <v>19.6935</v>
      </c>
      <c r="K1011" s="68">
        <f>19.6948 * CHOOSE(CONTROL!$C$22, $C$13, 100%, $E$13)</f>
        <v>19.694800000000001</v>
      </c>
    </row>
    <row r="1012" spans="1:11" ht="15">
      <c r="A1012" s="13">
        <v>71925</v>
      </c>
      <c r="B1012" s="67">
        <f>17.4526 * CHOOSE(CONTROL!$C$22, $C$13, 100%, $E$13)</f>
        <v>17.4526</v>
      </c>
      <c r="C1012" s="67">
        <f>17.4526 * CHOOSE(CONTROL!$C$22, $C$13, 100%, $E$13)</f>
        <v>17.4526</v>
      </c>
      <c r="D1012" s="67">
        <f>17.4535 * CHOOSE(CONTROL!$C$22, $C$13, 100%, $E$13)</f>
        <v>17.453499999999998</v>
      </c>
      <c r="E1012" s="68">
        <f>19.509 * CHOOSE(CONTROL!$C$22, $C$13, 100%, $E$13)</f>
        <v>19.509</v>
      </c>
      <c r="F1012" s="68">
        <f>19.509 * CHOOSE(CONTROL!$C$22, $C$13, 100%, $E$13)</f>
        <v>19.509</v>
      </c>
      <c r="G1012" s="68">
        <f>19.5103 * CHOOSE(CONTROL!$C$22, $C$13, 100%, $E$13)</f>
        <v>19.510300000000001</v>
      </c>
      <c r="H1012" s="68">
        <f>32.5689* CHOOSE(CONTROL!$C$22, $C$13, 100%, $E$13)</f>
        <v>32.568899999999999</v>
      </c>
      <c r="I1012" s="68">
        <f>32.5701 * CHOOSE(CONTROL!$C$22, $C$13, 100%, $E$13)</f>
        <v>32.570099999999996</v>
      </c>
      <c r="J1012" s="68">
        <f>19.509 * CHOOSE(CONTROL!$C$22, $C$13, 100%, $E$13)</f>
        <v>19.509</v>
      </c>
      <c r="K1012" s="68">
        <f>19.5103 * CHOOSE(CONTROL!$C$22, $C$13, 100%, $E$13)</f>
        <v>19.510300000000001</v>
      </c>
    </row>
    <row r="1013" spans="1:11" ht="15">
      <c r="A1013" s="13">
        <v>71956</v>
      </c>
      <c r="B1013" s="67">
        <f>17.3767 * CHOOSE(CONTROL!$C$22, $C$13, 100%, $E$13)</f>
        <v>17.3767</v>
      </c>
      <c r="C1013" s="67">
        <f>17.3767 * CHOOSE(CONTROL!$C$22, $C$13, 100%, $E$13)</f>
        <v>17.3767</v>
      </c>
      <c r="D1013" s="67">
        <f>17.3777 * CHOOSE(CONTROL!$C$22, $C$13, 100%, $E$13)</f>
        <v>17.377700000000001</v>
      </c>
      <c r="E1013" s="68">
        <f>19.5791 * CHOOSE(CONTROL!$C$22, $C$13, 100%, $E$13)</f>
        <v>19.5791</v>
      </c>
      <c r="F1013" s="68">
        <f>19.5791 * CHOOSE(CONTROL!$C$22, $C$13, 100%, $E$13)</f>
        <v>19.5791</v>
      </c>
      <c r="G1013" s="68">
        <f>19.5804 * CHOOSE(CONTROL!$C$22, $C$13, 100%, $E$13)</f>
        <v>19.580400000000001</v>
      </c>
      <c r="H1013" s="68">
        <f>32.2588* CHOOSE(CONTROL!$C$22, $C$13, 100%, $E$13)</f>
        <v>32.258800000000001</v>
      </c>
      <c r="I1013" s="68">
        <f>32.26 * CHOOSE(CONTROL!$C$22, $C$13, 100%, $E$13)</f>
        <v>32.26</v>
      </c>
      <c r="J1013" s="68">
        <f>19.5791 * CHOOSE(CONTROL!$C$22, $C$13, 100%, $E$13)</f>
        <v>19.5791</v>
      </c>
      <c r="K1013" s="68">
        <f>19.5804 * CHOOSE(CONTROL!$C$22, $C$13, 100%, $E$13)</f>
        <v>19.580400000000001</v>
      </c>
    </row>
    <row r="1014" spans="1:11" ht="15">
      <c r="A1014" s="13">
        <v>71987</v>
      </c>
      <c r="B1014" s="67">
        <f>17.3737 * CHOOSE(CONTROL!$C$22, $C$13, 100%, $E$13)</f>
        <v>17.373699999999999</v>
      </c>
      <c r="C1014" s="67">
        <f>17.3737 * CHOOSE(CONTROL!$C$22, $C$13, 100%, $E$13)</f>
        <v>17.373699999999999</v>
      </c>
      <c r="D1014" s="67">
        <f>17.3747 * CHOOSE(CONTROL!$C$22, $C$13, 100%, $E$13)</f>
        <v>17.374700000000001</v>
      </c>
      <c r="E1014" s="68">
        <f>19.2233 * CHOOSE(CONTROL!$C$22, $C$13, 100%, $E$13)</f>
        <v>19.223299999999998</v>
      </c>
      <c r="F1014" s="68">
        <f>19.2233 * CHOOSE(CONTROL!$C$22, $C$13, 100%, $E$13)</f>
        <v>19.223299999999998</v>
      </c>
      <c r="G1014" s="68">
        <f>19.2245 * CHOOSE(CONTROL!$C$22, $C$13, 100%, $E$13)</f>
        <v>19.224499999999999</v>
      </c>
      <c r="H1014" s="68">
        <f>32.326* CHOOSE(CONTROL!$C$22, $C$13, 100%, $E$13)</f>
        <v>32.326000000000001</v>
      </c>
      <c r="I1014" s="68">
        <f>32.3272 * CHOOSE(CONTROL!$C$22, $C$13, 100%, $E$13)</f>
        <v>32.327199999999998</v>
      </c>
      <c r="J1014" s="68">
        <f>19.2233 * CHOOSE(CONTROL!$C$22, $C$13, 100%, $E$13)</f>
        <v>19.223299999999998</v>
      </c>
      <c r="K1014" s="68">
        <f>19.2245 * CHOOSE(CONTROL!$C$22, $C$13, 100%, $E$13)</f>
        <v>19.224499999999999</v>
      </c>
    </row>
    <row r="1015" spans="1:11" ht="15">
      <c r="A1015" s="13">
        <v>72015</v>
      </c>
      <c r="B1015" s="67">
        <f>17.3706 * CHOOSE(CONTROL!$C$22, $C$13, 100%, $E$13)</f>
        <v>17.3706</v>
      </c>
      <c r="C1015" s="67">
        <f>17.3706 * CHOOSE(CONTROL!$C$22, $C$13, 100%, $E$13)</f>
        <v>17.3706</v>
      </c>
      <c r="D1015" s="67">
        <f>17.3716 * CHOOSE(CONTROL!$C$22, $C$13, 100%, $E$13)</f>
        <v>17.371600000000001</v>
      </c>
      <c r="E1015" s="68">
        <f>19.5 * CHOOSE(CONTROL!$C$22, $C$13, 100%, $E$13)</f>
        <v>19.5</v>
      </c>
      <c r="F1015" s="68">
        <f>19.5 * CHOOSE(CONTROL!$C$22, $C$13, 100%, $E$13)</f>
        <v>19.5</v>
      </c>
      <c r="G1015" s="68">
        <f>19.5013 * CHOOSE(CONTROL!$C$22, $C$13, 100%, $E$13)</f>
        <v>19.501300000000001</v>
      </c>
      <c r="H1015" s="68">
        <f>32.3933* CHOOSE(CONTROL!$C$22, $C$13, 100%, $E$13)</f>
        <v>32.393300000000004</v>
      </c>
      <c r="I1015" s="68">
        <f>32.3946 * CHOOSE(CONTROL!$C$22, $C$13, 100%, $E$13)</f>
        <v>32.394599999999997</v>
      </c>
      <c r="J1015" s="68">
        <f>19.5 * CHOOSE(CONTROL!$C$22, $C$13, 100%, $E$13)</f>
        <v>19.5</v>
      </c>
      <c r="K1015" s="68">
        <f>19.5013 * CHOOSE(CONTROL!$C$22, $C$13, 100%, $E$13)</f>
        <v>19.501300000000001</v>
      </c>
    </row>
    <row r="1016" spans="1:11" ht="15">
      <c r="A1016" s="13">
        <v>72046</v>
      </c>
      <c r="B1016" s="67">
        <f>17.3795 * CHOOSE(CONTROL!$C$22, $C$13, 100%, $E$13)</f>
        <v>17.3795</v>
      </c>
      <c r="C1016" s="67">
        <f>17.3795 * CHOOSE(CONTROL!$C$22, $C$13, 100%, $E$13)</f>
        <v>17.3795</v>
      </c>
      <c r="D1016" s="67">
        <f>17.3804 * CHOOSE(CONTROL!$C$22, $C$13, 100%, $E$13)</f>
        <v>17.380400000000002</v>
      </c>
      <c r="E1016" s="68">
        <f>19.7952 * CHOOSE(CONTROL!$C$22, $C$13, 100%, $E$13)</f>
        <v>19.795200000000001</v>
      </c>
      <c r="F1016" s="68">
        <f>19.7952 * CHOOSE(CONTROL!$C$22, $C$13, 100%, $E$13)</f>
        <v>19.795200000000001</v>
      </c>
      <c r="G1016" s="68">
        <f>19.7965 * CHOOSE(CONTROL!$C$22, $C$13, 100%, $E$13)</f>
        <v>19.796500000000002</v>
      </c>
      <c r="H1016" s="68">
        <f>32.4608* CHOOSE(CONTROL!$C$22, $C$13, 100%, $E$13)</f>
        <v>32.460799999999999</v>
      </c>
      <c r="I1016" s="68">
        <f>32.4621 * CHOOSE(CONTROL!$C$22, $C$13, 100%, $E$13)</f>
        <v>32.4621</v>
      </c>
      <c r="J1016" s="68">
        <f>19.7952 * CHOOSE(CONTROL!$C$22, $C$13, 100%, $E$13)</f>
        <v>19.795200000000001</v>
      </c>
      <c r="K1016" s="68">
        <f>19.7965 * CHOOSE(CONTROL!$C$22, $C$13, 100%, $E$13)</f>
        <v>19.796500000000002</v>
      </c>
    </row>
    <row r="1017" spans="1:11" ht="15">
      <c r="A1017" s="13">
        <v>72076</v>
      </c>
      <c r="B1017" s="67">
        <f>17.3795 * CHOOSE(CONTROL!$C$22, $C$13, 100%, $E$13)</f>
        <v>17.3795</v>
      </c>
      <c r="C1017" s="67">
        <f>17.3795 * CHOOSE(CONTROL!$C$22, $C$13, 100%, $E$13)</f>
        <v>17.3795</v>
      </c>
      <c r="D1017" s="67">
        <f>17.3821 * CHOOSE(CONTROL!$C$22, $C$13, 100%, $E$13)</f>
        <v>17.382100000000001</v>
      </c>
      <c r="E1017" s="68">
        <f>19.9075 * CHOOSE(CONTROL!$C$22, $C$13, 100%, $E$13)</f>
        <v>19.907499999999999</v>
      </c>
      <c r="F1017" s="68">
        <f>19.9075 * CHOOSE(CONTROL!$C$22, $C$13, 100%, $E$13)</f>
        <v>19.907499999999999</v>
      </c>
      <c r="G1017" s="68">
        <f>19.9108 * CHOOSE(CONTROL!$C$22, $C$13, 100%, $E$13)</f>
        <v>19.910799999999998</v>
      </c>
      <c r="H1017" s="68">
        <f>32.5284* CHOOSE(CONTROL!$C$22, $C$13, 100%, $E$13)</f>
        <v>32.528399999999998</v>
      </c>
      <c r="I1017" s="68">
        <f>32.5317 * CHOOSE(CONTROL!$C$22, $C$13, 100%, $E$13)</f>
        <v>32.531700000000001</v>
      </c>
      <c r="J1017" s="68">
        <f>19.9075 * CHOOSE(CONTROL!$C$22, $C$13, 100%, $E$13)</f>
        <v>19.907499999999999</v>
      </c>
      <c r="K1017" s="68">
        <f>19.9108 * CHOOSE(CONTROL!$C$22, $C$13, 100%, $E$13)</f>
        <v>19.910799999999998</v>
      </c>
    </row>
    <row r="1018" spans="1:11" ht="15">
      <c r="A1018" s="13">
        <v>72107</v>
      </c>
      <c r="B1018" s="67">
        <f>17.3855 * CHOOSE(CONTROL!$C$22, $C$13, 100%, $E$13)</f>
        <v>17.3855</v>
      </c>
      <c r="C1018" s="67">
        <f>17.3855 * CHOOSE(CONTROL!$C$22, $C$13, 100%, $E$13)</f>
        <v>17.3855</v>
      </c>
      <c r="D1018" s="67">
        <f>17.3882 * CHOOSE(CONTROL!$C$22, $C$13, 100%, $E$13)</f>
        <v>17.388200000000001</v>
      </c>
      <c r="E1018" s="68">
        <f>19.7995 * CHOOSE(CONTROL!$C$22, $C$13, 100%, $E$13)</f>
        <v>19.799499999999998</v>
      </c>
      <c r="F1018" s="68">
        <f>19.7995 * CHOOSE(CONTROL!$C$22, $C$13, 100%, $E$13)</f>
        <v>19.799499999999998</v>
      </c>
      <c r="G1018" s="68">
        <f>19.8027 * CHOOSE(CONTROL!$C$22, $C$13, 100%, $E$13)</f>
        <v>19.802700000000002</v>
      </c>
      <c r="H1018" s="68">
        <f>32.5962* CHOOSE(CONTROL!$C$22, $C$13, 100%, $E$13)</f>
        <v>32.596200000000003</v>
      </c>
      <c r="I1018" s="68">
        <f>32.5994 * CHOOSE(CONTROL!$C$22, $C$13, 100%, $E$13)</f>
        <v>32.599400000000003</v>
      </c>
      <c r="J1018" s="68">
        <f>19.7995 * CHOOSE(CONTROL!$C$22, $C$13, 100%, $E$13)</f>
        <v>19.799499999999998</v>
      </c>
      <c r="K1018" s="68">
        <f>19.8027 * CHOOSE(CONTROL!$C$22, $C$13, 100%, $E$13)</f>
        <v>19.802700000000002</v>
      </c>
    </row>
    <row r="1019" spans="1:11" ht="15">
      <c r="A1019" s="13">
        <v>72137</v>
      </c>
      <c r="B1019" s="67">
        <f>17.6469 * CHOOSE(CONTROL!$C$22, $C$13, 100%, $E$13)</f>
        <v>17.646899999999999</v>
      </c>
      <c r="C1019" s="67">
        <f>17.6469 * CHOOSE(CONTROL!$C$22, $C$13, 100%, $E$13)</f>
        <v>17.646899999999999</v>
      </c>
      <c r="D1019" s="67">
        <f>17.6496 * CHOOSE(CONTROL!$C$22, $C$13, 100%, $E$13)</f>
        <v>17.6496</v>
      </c>
      <c r="E1019" s="68">
        <f>20.1117 * CHOOSE(CONTROL!$C$22, $C$13, 100%, $E$13)</f>
        <v>20.111699999999999</v>
      </c>
      <c r="F1019" s="68">
        <f>20.1117 * CHOOSE(CONTROL!$C$22, $C$13, 100%, $E$13)</f>
        <v>20.111699999999999</v>
      </c>
      <c r="G1019" s="68">
        <f>20.115 * CHOOSE(CONTROL!$C$22, $C$13, 100%, $E$13)</f>
        <v>20.114999999999998</v>
      </c>
      <c r="H1019" s="68">
        <f>32.6641* CHOOSE(CONTROL!$C$22, $C$13, 100%, $E$13)</f>
        <v>32.664099999999998</v>
      </c>
      <c r="I1019" s="68">
        <f>32.6674 * CHOOSE(CONTROL!$C$22, $C$13, 100%, $E$13)</f>
        <v>32.667400000000001</v>
      </c>
      <c r="J1019" s="68">
        <f>20.1117 * CHOOSE(CONTROL!$C$22, $C$13, 100%, $E$13)</f>
        <v>20.111699999999999</v>
      </c>
      <c r="K1019" s="68">
        <f>20.115 * CHOOSE(CONTROL!$C$22, $C$13, 100%, $E$13)</f>
        <v>20.114999999999998</v>
      </c>
    </row>
    <row r="1020" spans="1:11" ht="15">
      <c r="A1020" s="13">
        <v>72168</v>
      </c>
      <c r="B1020" s="67">
        <f>17.6536 * CHOOSE(CONTROL!$C$22, $C$13, 100%, $E$13)</f>
        <v>17.653600000000001</v>
      </c>
      <c r="C1020" s="67">
        <f>17.6536 * CHOOSE(CONTROL!$C$22, $C$13, 100%, $E$13)</f>
        <v>17.653600000000001</v>
      </c>
      <c r="D1020" s="67">
        <f>17.6562 * CHOOSE(CONTROL!$C$22, $C$13, 100%, $E$13)</f>
        <v>17.656199999999998</v>
      </c>
      <c r="E1020" s="68">
        <f>19.7795 * CHOOSE(CONTROL!$C$22, $C$13, 100%, $E$13)</f>
        <v>19.779499999999999</v>
      </c>
      <c r="F1020" s="68">
        <f>19.7795 * CHOOSE(CONTROL!$C$22, $C$13, 100%, $E$13)</f>
        <v>19.779499999999999</v>
      </c>
      <c r="G1020" s="68">
        <f>19.7827 * CHOOSE(CONTROL!$C$22, $C$13, 100%, $E$13)</f>
        <v>19.782699999999998</v>
      </c>
      <c r="H1020" s="68">
        <f>32.7321* CHOOSE(CONTROL!$C$22, $C$13, 100%, $E$13)</f>
        <v>32.732100000000003</v>
      </c>
      <c r="I1020" s="68">
        <f>32.7354 * CHOOSE(CONTROL!$C$22, $C$13, 100%, $E$13)</f>
        <v>32.735399999999998</v>
      </c>
      <c r="J1020" s="68">
        <f>19.7795 * CHOOSE(CONTROL!$C$22, $C$13, 100%, $E$13)</f>
        <v>19.779499999999999</v>
      </c>
      <c r="K1020" s="68">
        <f>19.7827 * CHOOSE(CONTROL!$C$22, $C$13, 100%, $E$13)</f>
        <v>19.782699999999998</v>
      </c>
    </row>
    <row r="1021" spans="1:11" ht="15">
      <c r="A1021" s="13">
        <v>72199</v>
      </c>
      <c r="B1021" s="67">
        <f>17.6506 * CHOOSE(CONTROL!$C$22, $C$13, 100%, $E$13)</f>
        <v>17.650600000000001</v>
      </c>
      <c r="C1021" s="67">
        <f>17.6506 * CHOOSE(CONTROL!$C$22, $C$13, 100%, $E$13)</f>
        <v>17.650600000000001</v>
      </c>
      <c r="D1021" s="67">
        <f>17.6532 * CHOOSE(CONTROL!$C$22, $C$13, 100%, $E$13)</f>
        <v>17.653199999999998</v>
      </c>
      <c r="E1021" s="68">
        <f>19.7399 * CHOOSE(CONTROL!$C$22, $C$13, 100%, $E$13)</f>
        <v>19.739899999999999</v>
      </c>
      <c r="F1021" s="68">
        <f>19.7399 * CHOOSE(CONTROL!$C$22, $C$13, 100%, $E$13)</f>
        <v>19.739899999999999</v>
      </c>
      <c r="G1021" s="68">
        <f>19.7432 * CHOOSE(CONTROL!$C$22, $C$13, 100%, $E$13)</f>
        <v>19.743200000000002</v>
      </c>
      <c r="H1021" s="68">
        <f>32.8003* CHOOSE(CONTROL!$C$22, $C$13, 100%, $E$13)</f>
        <v>32.8003</v>
      </c>
      <c r="I1021" s="68">
        <f>32.8036 * CHOOSE(CONTROL!$C$22, $C$13, 100%, $E$13)</f>
        <v>32.803600000000003</v>
      </c>
      <c r="J1021" s="68">
        <f>19.7399 * CHOOSE(CONTROL!$C$22, $C$13, 100%, $E$13)</f>
        <v>19.739899999999999</v>
      </c>
      <c r="K1021" s="68">
        <f>19.7432 * CHOOSE(CONTROL!$C$22, $C$13, 100%, $E$13)</f>
        <v>19.743200000000002</v>
      </c>
    </row>
    <row r="1022" spans="1:11" ht="15">
      <c r="A1022" s="13">
        <v>72229</v>
      </c>
      <c r="B1022" s="67">
        <f>17.6895 * CHOOSE(CONTROL!$C$22, $C$13, 100%, $E$13)</f>
        <v>17.689499999999999</v>
      </c>
      <c r="C1022" s="67">
        <f>17.6895 * CHOOSE(CONTROL!$C$22, $C$13, 100%, $E$13)</f>
        <v>17.689499999999999</v>
      </c>
      <c r="D1022" s="67">
        <f>17.6904 * CHOOSE(CONTROL!$C$22, $C$13, 100%, $E$13)</f>
        <v>17.6904</v>
      </c>
      <c r="E1022" s="68">
        <f>19.8762 * CHOOSE(CONTROL!$C$22, $C$13, 100%, $E$13)</f>
        <v>19.876200000000001</v>
      </c>
      <c r="F1022" s="68">
        <f>19.8762 * CHOOSE(CONTROL!$C$22, $C$13, 100%, $E$13)</f>
        <v>19.876200000000001</v>
      </c>
      <c r="G1022" s="68">
        <f>19.8775 * CHOOSE(CONTROL!$C$22, $C$13, 100%, $E$13)</f>
        <v>19.877500000000001</v>
      </c>
      <c r="H1022" s="68">
        <f>32.8687* CHOOSE(CONTROL!$C$22, $C$13, 100%, $E$13)</f>
        <v>32.868699999999997</v>
      </c>
      <c r="I1022" s="68">
        <f>32.87 * CHOOSE(CONTROL!$C$22, $C$13, 100%, $E$13)</f>
        <v>32.869999999999997</v>
      </c>
      <c r="J1022" s="68">
        <f>19.8762 * CHOOSE(CONTROL!$C$22, $C$13, 100%, $E$13)</f>
        <v>19.876200000000001</v>
      </c>
      <c r="K1022" s="68">
        <f>19.8775 * CHOOSE(CONTROL!$C$22, $C$13, 100%, $E$13)</f>
        <v>19.877500000000001</v>
      </c>
    </row>
    <row r="1023" spans="1:11" ht="15">
      <c r="A1023" s="13">
        <v>72260</v>
      </c>
      <c r="B1023" s="67">
        <f>17.6925 * CHOOSE(CONTROL!$C$22, $C$13, 100%, $E$13)</f>
        <v>17.692499999999999</v>
      </c>
      <c r="C1023" s="67">
        <f>17.6925 * CHOOSE(CONTROL!$C$22, $C$13, 100%, $E$13)</f>
        <v>17.692499999999999</v>
      </c>
      <c r="D1023" s="67">
        <f>17.6935 * CHOOSE(CONTROL!$C$22, $C$13, 100%, $E$13)</f>
        <v>17.6935</v>
      </c>
      <c r="E1023" s="68">
        <f>19.9532 * CHOOSE(CONTROL!$C$22, $C$13, 100%, $E$13)</f>
        <v>19.953199999999999</v>
      </c>
      <c r="F1023" s="68">
        <f>19.9532 * CHOOSE(CONTROL!$C$22, $C$13, 100%, $E$13)</f>
        <v>19.953199999999999</v>
      </c>
      <c r="G1023" s="68">
        <f>19.9545 * CHOOSE(CONTROL!$C$22, $C$13, 100%, $E$13)</f>
        <v>19.954499999999999</v>
      </c>
      <c r="H1023" s="68">
        <f>32.9371* CHOOSE(CONTROL!$C$22, $C$13, 100%, $E$13)</f>
        <v>32.937100000000001</v>
      </c>
      <c r="I1023" s="68">
        <f>32.9384 * CHOOSE(CONTROL!$C$22, $C$13, 100%, $E$13)</f>
        <v>32.938400000000001</v>
      </c>
      <c r="J1023" s="68">
        <f>19.9532 * CHOOSE(CONTROL!$C$22, $C$13, 100%, $E$13)</f>
        <v>19.953199999999999</v>
      </c>
      <c r="K1023" s="68">
        <f>19.9545 * CHOOSE(CONTROL!$C$22, $C$13, 100%, $E$13)</f>
        <v>19.954499999999999</v>
      </c>
    </row>
    <row r="1024" spans="1:11" ht="15">
      <c r="A1024" s="13">
        <v>72290</v>
      </c>
      <c r="B1024" s="67">
        <f>17.6925 * CHOOSE(CONTROL!$C$22, $C$13, 100%, $E$13)</f>
        <v>17.692499999999999</v>
      </c>
      <c r="C1024" s="67">
        <f>17.6925 * CHOOSE(CONTROL!$C$22, $C$13, 100%, $E$13)</f>
        <v>17.692499999999999</v>
      </c>
      <c r="D1024" s="67">
        <f>17.6935 * CHOOSE(CONTROL!$C$22, $C$13, 100%, $E$13)</f>
        <v>17.6935</v>
      </c>
      <c r="E1024" s="68">
        <f>19.766 * CHOOSE(CONTROL!$C$22, $C$13, 100%, $E$13)</f>
        <v>19.765999999999998</v>
      </c>
      <c r="F1024" s="68">
        <f>19.766 * CHOOSE(CONTROL!$C$22, $C$13, 100%, $E$13)</f>
        <v>19.765999999999998</v>
      </c>
      <c r="G1024" s="68">
        <f>19.7673 * CHOOSE(CONTROL!$C$22, $C$13, 100%, $E$13)</f>
        <v>19.767299999999999</v>
      </c>
      <c r="H1024" s="68">
        <f>33.0058* CHOOSE(CONTROL!$C$22, $C$13, 100%, $E$13)</f>
        <v>33.005800000000001</v>
      </c>
      <c r="I1024" s="68">
        <f>33.0071 * CHOOSE(CONTROL!$C$22, $C$13, 100%, $E$13)</f>
        <v>33.007100000000001</v>
      </c>
      <c r="J1024" s="68">
        <f>19.766 * CHOOSE(CONTROL!$C$22, $C$13, 100%, $E$13)</f>
        <v>19.765999999999998</v>
      </c>
      <c r="K1024" s="68">
        <f>19.7673 * CHOOSE(CONTROL!$C$22, $C$13, 100%, $E$13)</f>
        <v>19.767299999999999</v>
      </c>
    </row>
    <row r="1025" spans="1:11" ht="15">
      <c r="A1025" s="13">
        <v>72321</v>
      </c>
      <c r="B1025" s="67">
        <f>17.6123 * CHOOSE(CONTROL!$C$22, $C$13, 100%, $E$13)</f>
        <v>17.612300000000001</v>
      </c>
      <c r="C1025" s="67">
        <f>17.6123 * CHOOSE(CONTROL!$C$22, $C$13, 100%, $E$13)</f>
        <v>17.612300000000001</v>
      </c>
      <c r="D1025" s="67">
        <f>17.6133 * CHOOSE(CONTROL!$C$22, $C$13, 100%, $E$13)</f>
        <v>17.613299999999999</v>
      </c>
      <c r="E1025" s="68">
        <f>19.8338 * CHOOSE(CONTROL!$C$22, $C$13, 100%, $E$13)</f>
        <v>19.8338</v>
      </c>
      <c r="F1025" s="68">
        <f>19.8338 * CHOOSE(CONTROL!$C$22, $C$13, 100%, $E$13)</f>
        <v>19.8338</v>
      </c>
      <c r="G1025" s="68">
        <f>19.8351 * CHOOSE(CONTROL!$C$22, $C$13, 100%, $E$13)</f>
        <v>19.835100000000001</v>
      </c>
      <c r="H1025" s="68">
        <f>32.6858* CHOOSE(CONTROL!$C$22, $C$13, 100%, $E$13)</f>
        <v>32.6858</v>
      </c>
      <c r="I1025" s="68">
        <f>32.6871 * CHOOSE(CONTROL!$C$22, $C$13, 100%, $E$13)</f>
        <v>32.687100000000001</v>
      </c>
      <c r="J1025" s="68">
        <f>19.8338 * CHOOSE(CONTROL!$C$22, $C$13, 100%, $E$13)</f>
        <v>19.8338</v>
      </c>
      <c r="K1025" s="68">
        <f>19.8351 * CHOOSE(CONTROL!$C$22, $C$13, 100%, $E$13)</f>
        <v>19.835100000000001</v>
      </c>
    </row>
    <row r="1026" spans="1:11" ht="15">
      <c r="A1026" s="13">
        <v>72352</v>
      </c>
      <c r="B1026" s="67">
        <f>17.6093 * CHOOSE(CONTROL!$C$22, $C$13, 100%, $E$13)</f>
        <v>17.609300000000001</v>
      </c>
      <c r="C1026" s="67">
        <f>17.6093 * CHOOSE(CONTROL!$C$22, $C$13, 100%, $E$13)</f>
        <v>17.609300000000001</v>
      </c>
      <c r="D1026" s="67">
        <f>17.6102 * CHOOSE(CONTROL!$C$22, $C$13, 100%, $E$13)</f>
        <v>17.610199999999999</v>
      </c>
      <c r="E1026" s="68">
        <f>19.473 * CHOOSE(CONTROL!$C$22, $C$13, 100%, $E$13)</f>
        <v>19.472999999999999</v>
      </c>
      <c r="F1026" s="68">
        <f>19.473 * CHOOSE(CONTROL!$C$22, $C$13, 100%, $E$13)</f>
        <v>19.472999999999999</v>
      </c>
      <c r="G1026" s="68">
        <f>19.4743 * CHOOSE(CONTROL!$C$22, $C$13, 100%, $E$13)</f>
        <v>19.474299999999999</v>
      </c>
      <c r="H1026" s="68">
        <f>32.7539* CHOOSE(CONTROL!$C$22, $C$13, 100%, $E$13)</f>
        <v>32.753900000000002</v>
      </c>
      <c r="I1026" s="68">
        <f>32.7552 * CHOOSE(CONTROL!$C$22, $C$13, 100%, $E$13)</f>
        <v>32.755200000000002</v>
      </c>
      <c r="J1026" s="68">
        <f>19.473 * CHOOSE(CONTROL!$C$22, $C$13, 100%, $E$13)</f>
        <v>19.472999999999999</v>
      </c>
      <c r="K1026" s="68">
        <f>19.4743 * CHOOSE(CONTROL!$C$22, $C$13, 100%, $E$13)</f>
        <v>19.474299999999999</v>
      </c>
    </row>
    <row r="1027" spans="1:11" ht="15">
      <c r="A1027" s="13">
        <v>72380</v>
      </c>
      <c r="B1027" s="67">
        <f>17.6062 * CHOOSE(CONTROL!$C$22, $C$13, 100%, $E$13)</f>
        <v>17.606200000000001</v>
      </c>
      <c r="C1027" s="67">
        <f>17.6062 * CHOOSE(CONTROL!$C$22, $C$13, 100%, $E$13)</f>
        <v>17.606200000000001</v>
      </c>
      <c r="D1027" s="67">
        <f>17.6072 * CHOOSE(CONTROL!$C$22, $C$13, 100%, $E$13)</f>
        <v>17.607199999999999</v>
      </c>
      <c r="E1027" s="68">
        <f>19.7537 * CHOOSE(CONTROL!$C$22, $C$13, 100%, $E$13)</f>
        <v>19.753699999999998</v>
      </c>
      <c r="F1027" s="68">
        <f>19.7537 * CHOOSE(CONTROL!$C$22, $C$13, 100%, $E$13)</f>
        <v>19.753699999999998</v>
      </c>
      <c r="G1027" s="68">
        <f>19.755 * CHOOSE(CONTROL!$C$22, $C$13, 100%, $E$13)</f>
        <v>19.754999999999999</v>
      </c>
      <c r="H1027" s="68">
        <f>32.8221* CHOOSE(CONTROL!$C$22, $C$13, 100%, $E$13)</f>
        <v>32.822099999999999</v>
      </c>
      <c r="I1027" s="68">
        <f>32.8234 * CHOOSE(CONTROL!$C$22, $C$13, 100%, $E$13)</f>
        <v>32.823399999999999</v>
      </c>
      <c r="J1027" s="68">
        <f>19.7537 * CHOOSE(CONTROL!$C$22, $C$13, 100%, $E$13)</f>
        <v>19.753699999999998</v>
      </c>
      <c r="K1027" s="68">
        <f>19.755 * CHOOSE(CONTROL!$C$22, $C$13, 100%, $E$13)</f>
        <v>19.754999999999999</v>
      </c>
    </row>
    <row r="1028" spans="1:11" ht="15">
      <c r="A1028" s="13">
        <v>72411</v>
      </c>
      <c r="B1028" s="67">
        <f>17.6152 * CHOOSE(CONTROL!$C$22, $C$13, 100%, $E$13)</f>
        <v>17.615200000000002</v>
      </c>
      <c r="C1028" s="67">
        <f>17.6152 * CHOOSE(CONTROL!$C$22, $C$13, 100%, $E$13)</f>
        <v>17.615200000000002</v>
      </c>
      <c r="D1028" s="67">
        <f>17.6162 * CHOOSE(CONTROL!$C$22, $C$13, 100%, $E$13)</f>
        <v>17.616199999999999</v>
      </c>
      <c r="E1028" s="68">
        <f>20.0531 * CHOOSE(CONTROL!$C$22, $C$13, 100%, $E$13)</f>
        <v>20.053100000000001</v>
      </c>
      <c r="F1028" s="68">
        <f>20.0531 * CHOOSE(CONTROL!$C$22, $C$13, 100%, $E$13)</f>
        <v>20.053100000000001</v>
      </c>
      <c r="G1028" s="68">
        <f>20.0544 * CHOOSE(CONTROL!$C$22, $C$13, 100%, $E$13)</f>
        <v>20.054400000000001</v>
      </c>
      <c r="H1028" s="68">
        <f>32.8905* CHOOSE(CONTROL!$C$22, $C$13, 100%, $E$13)</f>
        <v>32.890500000000003</v>
      </c>
      <c r="I1028" s="68">
        <f>32.8918 * CHOOSE(CONTROL!$C$22, $C$13, 100%, $E$13)</f>
        <v>32.891800000000003</v>
      </c>
      <c r="J1028" s="68">
        <f>20.0531 * CHOOSE(CONTROL!$C$22, $C$13, 100%, $E$13)</f>
        <v>20.053100000000001</v>
      </c>
      <c r="K1028" s="68">
        <f>20.0544 * CHOOSE(CONTROL!$C$22, $C$13, 100%, $E$13)</f>
        <v>20.054400000000001</v>
      </c>
    </row>
    <row r="1029" spans="1:11" ht="15">
      <c r="A1029" s="13">
        <v>72441</v>
      </c>
      <c r="B1029" s="67">
        <f>17.6152 * CHOOSE(CONTROL!$C$22, $C$13, 100%, $E$13)</f>
        <v>17.615200000000002</v>
      </c>
      <c r="C1029" s="67">
        <f>17.6152 * CHOOSE(CONTROL!$C$22, $C$13, 100%, $E$13)</f>
        <v>17.615200000000002</v>
      </c>
      <c r="D1029" s="67">
        <f>17.6178 * CHOOSE(CONTROL!$C$22, $C$13, 100%, $E$13)</f>
        <v>17.617799999999999</v>
      </c>
      <c r="E1029" s="68">
        <f>20.167 * CHOOSE(CONTROL!$C$22, $C$13, 100%, $E$13)</f>
        <v>20.167000000000002</v>
      </c>
      <c r="F1029" s="68">
        <f>20.167 * CHOOSE(CONTROL!$C$22, $C$13, 100%, $E$13)</f>
        <v>20.167000000000002</v>
      </c>
      <c r="G1029" s="68">
        <f>20.1702 * CHOOSE(CONTROL!$C$22, $C$13, 100%, $E$13)</f>
        <v>20.170200000000001</v>
      </c>
      <c r="H1029" s="68">
        <f>32.959* CHOOSE(CONTROL!$C$22, $C$13, 100%, $E$13)</f>
        <v>32.959000000000003</v>
      </c>
      <c r="I1029" s="68">
        <f>32.9623 * CHOOSE(CONTROL!$C$22, $C$13, 100%, $E$13)</f>
        <v>32.962299999999999</v>
      </c>
      <c r="J1029" s="68">
        <f>20.167 * CHOOSE(CONTROL!$C$22, $C$13, 100%, $E$13)</f>
        <v>20.167000000000002</v>
      </c>
      <c r="K1029" s="68">
        <f>20.1702 * CHOOSE(CONTROL!$C$22, $C$13, 100%, $E$13)</f>
        <v>20.170200000000001</v>
      </c>
    </row>
    <row r="1030" spans="1:11" ht="15">
      <c r="A1030" s="13">
        <v>72472</v>
      </c>
      <c r="B1030" s="67">
        <f>17.6213 * CHOOSE(CONTROL!$C$22, $C$13, 100%, $E$13)</f>
        <v>17.621300000000002</v>
      </c>
      <c r="C1030" s="67">
        <f>17.6213 * CHOOSE(CONTROL!$C$22, $C$13, 100%, $E$13)</f>
        <v>17.621300000000002</v>
      </c>
      <c r="D1030" s="67">
        <f>17.6239 * CHOOSE(CONTROL!$C$22, $C$13, 100%, $E$13)</f>
        <v>17.623899999999999</v>
      </c>
      <c r="E1030" s="68">
        <f>20.0573 * CHOOSE(CONTROL!$C$22, $C$13, 100%, $E$13)</f>
        <v>20.057300000000001</v>
      </c>
      <c r="F1030" s="68">
        <f>20.0573 * CHOOSE(CONTROL!$C$22, $C$13, 100%, $E$13)</f>
        <v>20.057300000000001</v>
      </c>
      <c r="G1030" s="68">
        <f>20.0606 * CHOOSE(CONTROL!$C$22, $C$13, 100%, $E$13)</f>
        <v>20.060600000000001</v>
      </c>
      <c r="H1030" s="68">
        <f>33.0277* CHOOSE(CONTROL!$C$22, $C$13, 100%, $E$13)</f>
        <v>33.027700000000003</v>
      </c>
      <c r="I1030" s="68">
        <f>33.0309 * CHOOSE(CONTROL!$C$22, $C$13, 100%, $E$13)</f>
        <v>33.030900000000003</v>
      </c>
      <c r="J1030" s="68">
        <f>20.0573 * CHOOSE(CONTROL!$C$22, $C$13, 100%, $E$13)</f>
        <v>20.057300000000001</v>
      </c>
      <c r="K1030" s="68">
        <f>20.0606 * CHOOSE(CONTROL!$C$22, $C$13, 100%, $E$13)</f>
        <v>20.060600000000001</v>
      </c>
    </row>
    <row r="1031" spans="1:11" ht="15">
      <c r="A1031" s="13">
        <v>72502</v>
      </c>
      <c r="B1031" s="67">
        <f>17.8861 * CHOOSE(CONTROL!$C$22, $C$13, 100%, $E$13)</f>
        <v>17.886099999999999</v>
      </c>
      <c r="C1031" s="67">
        <f>17.8861 * CHOOSE(CONTROL!$C$22, $C$13, 100%, $E$13)</f>
        <v>17.886099999999999</v>
      </c>
      <c r="D1031" s="67">
        <f>17.8887 * CHOOSE(CONTROL!$C$22, $C$13, 100%, $E$13)</f>
        <v>17.8887</v>
      </c>
      <c r="E1031" s="68">
        <f>20.3735 * CHOOSE(CONTROL!$C$22, $C$13, 100%, $E$13)</f>
        <v>20.3735</v>
      </c>
      <c r="F1031" s="68">
        <f>20.3735 * CHOOSE(CONTROL!$C$22, $C$13, 100%, $E$13)</f>
        <v>20.3735</v>
      </c>
      <c r="G1031" s="68">
        <f>20.3767 * CHOOSE(CONTROL!$C$22, $C$13, 100%, $E$13)</f>
        <v>20.3767</v>
      </c>
      <c r="H1031" s="68">
        <f>33.0965* CHOOSE(CONTROL!$C$22, $C$13, 100%, $E$13)</f>
        <v>33.096499999999999</v>
      </c>
      <c r="I1031" s="68">
        <f>33.0997 * CHOOSE(CONTROL!$C$22, $C$13, 100%, $E$13)</f>
        <v>33.099699999999999</v>
      </c>
      <c r="J1031" s="68">
        <f>20.3735 * CHOOSE(CONTROL!$C$22, $C$13, 100%, $E$13)</f>
        <v>20.3735</v>
      </c>
      <c r="K1031" s="68">
        <f>20.3767 * CHOOSE(CONTROL!$C$22, $C$13, 100%, $E$13)</f>
        <v>20.3767</v>
      </c>
    </row>
    <row r="1032" spans="1:11" ht="15">
      <c r="A1032" s="13">
        <v>72533</v>
      </c>
      <c r="B1032" s="67">
        <f>17.8928 * CHOOSE(CONTROL!$C$22, $C$13, 100%, $E$13)</f>
        <v>17.892800000000001</v>
      </c>
      <c r="C1032" s="67">
        <f>17.8928 * CHOOSE(CONTROL!$C$22, $C$13, 100%, $E$13)</f>
        <v>17.892800000000001</v>
      </c>
      <c r="D1032" s="67">
        <f>17.8954 * CHOOSE(CONTROL!$C$22, $C$13, 100%, $E$13)</f>
        <v>17.895399999999999</v>
      </c>
      <c r="E1032" s="68">
        <f>20.0365 * CHOOSE(CONTROL!$C$22, $C$13, 100%, $E$13)</f>
        <v>20.0365</v>
      </c>
      <c r="F1032" s="68">
        <f>20.0365 * CHOOSE(CONTROL!$C$22, $C$13, 100%, $E$13)</f>
        <v>20.0365</v>
      </c>
      <c r="G1032" s="68">
        <f>20.0398 * CHOOSE(CONTROL!$C$22, $C$13, 100%, $E$13)</f>
        <v>20.0398</v>
      </c>
      <c r="H1032" s="68">
        <f>33.1654* CHOOSE(CONTROL!$C$22, $C$13, 100%, $E$13)</f>
        <v>33.165399999999998</v>
      </c>
      <c r="I1032" s="68">
        <f>33.1687 * CHOOSE(CONTROL!$C$22, $C$13, 100%, $E$13)</f>
        <v>33.168700000000001</v>
      </c>
      <c r="J1032" s="68">
        <f>20.0365 * CHOOSE(CONTROL!$C$22, $C$13, 100%, $E$13)</f>
        <v>20.0365</v>
      </c>
      <c r="K1032" s="68">
        <f>20.0398 * CHOOSE(CONTROL!$C$22, $C$13, 100%, $E$13)</f>
        <v>20.0398</v>
      </c>
    </row>
    <row r="1033" spans="1:11" ht="15">
      <c r="A1033" s="13">
        <v>72564</v>
      </c>
      <c r="B1033" s="67">
        <f>17.8898 * CHOOSE(CONTROL!$C$22, $C$13, 100%, $E$13)</f>
        <v>17.889800000000001</v>
      </c>
      <c r="C1033" s="67">
        <f>17.8898 * CHOOSE(CONTROL!$C$22, $C$13, 100%, $E$13)</f>
        <v>17.889800000000001</v>
      </c>
      <c r="D1033" s="67">
        <f>17.8924 * CHOOSE(CONTROL!$C$22, $C$13, 100%, $E$13)</f>
        <v>17.892399999999999</v>
      </c>
      <c r="E1033" s="68">
        <f>19.9965 * CHOOSE(CONTROL!$C$22, $C$13, 100%, $E$13)</f>
        <v>19.996500000000001</v>
      </c>
      <c r="F1033" s="68">
        <f>19.9965 * CHOOSE(CONTROL!$C$22, $C$13, 100%, $E$13)</f>
        <v>19.996500000000001</v>
      </c>
      <c r="G1033" s="68">
        <f>19.9997 * CHOOSE(CONTROL!$C$22, $C$13, 100%, $E$13)</f>
        <v>19.999700000000001</v>
      </c>
      <c r="H1033" s="68">
        <f>33.2345* CHOOSE(CONTROL!$C$22, $C$13, 100%, $E$13)</f>
        <v>33.234499999999997</v>
      </c>
      <c r="I1033" s="68">
        <f>33.2378 * CHOOSE(CONTROL!$C$22, $C$13, 100%, $E$13)</f>
        <v>33.2378</v>
      </c>
      <c r="J1033" s="68">
        <f>19.9965 * CHOOSE(CONTROL!$C$22, $C$13, 100%, $E$13)</f>
        <v>19.996500000000001</v>
      </c>
      <c r="K1033" s="68">
        <f>19.9997 * CHOOSE(CONTROL!$C$22, $C$13, 100%, $E$13)</f>
        <v>19.999700000000001</v>
      </c>
    </row>
    <row r="1034" spans="1:11" ht="15">
      <c r="A1034" s="13">
        <v>72594</v>
      </c>
      <c r="B1034" s="67">
        <f>17.9294 * CHOOSE(CONTROL!$C$22, $C$13, 100%, $E$13)</f>
        <v>17.929400000000001</v>
      </c>
      <c r="C1034" s="67">
        <f>17.9294 * CHOOSE(CONTROL!$C$22, $C$13, 100%, $E$13)</f>
        <v>17.929400000000001</v>
      </c>
      <c r="D1034" s="67">
        <f>17.9304 * CHOOSE(CONTROL!$C$22, $C$13, 100%, $E$13)</f>
        <v>17.930399999999999</v>
      </c>
      <c r="E1034" s="68">
        <f>20.1349 * CHOOSE(CONTROL!$C$22, $C$13, 100%, $E$13)</f>
        <v>20.134899999999998</v>
      </c>
      <c r="F1034" s="68">
        <f>20.1349 * CHOOSE(CONTROL!$C$22, $C$13, 100%, $E$13)</f>
        <v>20.134899999999998</v>
      </c>
      <c r="G1034" s="68">
        <f>20.1362 * CHOOSE(CONTROL!$C$22, $C$13, 100%, $E$13)</f>
        <v>20.136199999999999</v>
      </c>
      <c r="H1034" s="68">
        <f>33.3038* CHOOSE(CONTROL!$C$22, $C$13, 100%, $E$13)</f>
        <v>33.303800000000003</v>
      </c>
      <c r="I1034" s="68">
        <f>33.3051 * CHOOSE(CONTROL!$C$22, $C$13, 100%, $E$13)</f>
        <v>33.305100000000003</v>
      </c>
      <c r="J1034" s="68">
        <f>20.1349 * CHOOSE(CONTROL!$C$22, $C$13, 100%, $E$13)</f>
        <v>20.134899999999998</v>
      </c>
      <c r="K1034" s="68">
        <f>20.1362 * CHOOSE(CONTROL!$C$22, $C$13, 100%, $E$13)</f>
        <v>20.136199999999999</v>
      </c>
    </row>
    <row r="1035" spans="1:11" ht="15">
      <c r="A1035" s="13">
        <v>72625</v>
      </c>
      <c r="B1035" s="67">
        <f>17.9324 * CHOOSE(CONTROL!$C$22, $C$13, 100%, $E$13)</f>
        <v>17.932400000000001</v>
      </c>
      <c r="C1035" s="67">
        <f>17.9324 * CHOOSE(CONTROL!$C$22, $C$13, 100%, $E$13)</f>
        <v>17.932400000000001</v>
      </c>
      <c r="D1035" s="67">
        <f>17.9334 * CHOOSE(CONTROL!$C$22, $C$13, 100%, $E$13)</f>
        <v>17.933399999999999</v>
      </c>
      <c r="E1035" s="68">
        <f>20.2129 * CHOOSE(CONTROL!$C$22, $C$13, 100%, $E$13)</f>
        <v>20.212900000000001</v>
      </c>
      <c r="F1035" s="68">
        <f>20.2129 * CHOOSE(CONTROL!$C$22, $C$13, 100%, $E$13)</f>
        <v>20.212900000000001</v>
      </c>
      <c r="G1035" s="68">
        <f>20.2142 * CHOOSE(CONTROL!$C$22, $C$13, 100%, $E$13)</f>
        <v>20.214200000000002</v>
      </c>
      <c r="H1035" s="68">
        <f>33.3732* CHOOSE(CONTROL!$C$22, $C$13, 100%, $E$13)</f>
        <v>33.373199999999997</v>
      </c>
      <c r="I1035" s="68">
        <f>33.3744 * CHOOSE(CONTROL!$C$22, $C$13, 100%, $E$13)</f>
        <v>33.374400000000001</v>
      </c>
      <c r="J1035" s="68">
        <f>20.2129 * CHOOSE(CONTROL!$C$22, $C$13, 100%, $E$13)</f>
        <v>20.212900000000001</v>
      </c>
      <c r="K1035" s="68">
        <f>20.2142 * CHOOSE(CONTROL!$C$22, $C$13, 100%, $E$13)</f>
        <v>20.214200000000002</v>
      </c>
    </row>
    <row r="1036" spans="1:11" ht="15">
      <c r="A1036" s="13">
        <v>72655</v>
      </c>
      <c r="B1036" s="67">
        <f>17.9324 * CHOOSE(CONTROL!$C$22, $C$13, 100%, $E$13)</f>
        <v>17.932400000000001</v>
      </c>
      <c r="C1036" s="67">
        <f>17.9324 * CHOOSE(CONTROL!$C$22, $C$13, 100%, $E$13)</f>
        <v>17.932400000000001</v>
      </c>
      <c r="D1036" s="67">
        <f>17.9334 * CHOOSE(CONTROL!$C$22, $C$13, 100%, $E$13)</f>
        <v>17.933399999999999</v>
      </c>
      <c r="E1036" s="68">
        <f>20.0231 * CHOOSE(CONTROL!$C$22, $C$13, 100%, $E$13)</f>
        <v>20.023099999999999</v>
      </c>
      <c r="F1036" s="68">
        <f>20.0231 * CHOOSE(CONTROL!$C$22, $C$13, 100%, $E$13)</f>
        <v>20.023099999999999</v>
      </c>
      <c r="G1036" s="68">
        <f>20.0244 * CHOOSE(CONTROL!$C$22, $C$13, 100%, $E$13)</f>
        <v>20.0244</v>
      </c>
      <c r="H1036" s="68">
        <f>33.4427* CHOOSE(CONTROL!$C$22, $C$13, 100%, $E$13)</f>
        <v>33.442700000000002</v>
      </c>
      <c r="I1036" s="68">
        <f>33.444 * CHOOSE(CONTROL!$C$22, $C$13, 100%, $E$13)</f>
        <v>33.444000000000003</v>
      </c>
      <c r="J1036" s="68">
        <f>20.0231 * CHOOSE(CONTROL!$C$22, $C$13, 100%, $E$13)</f>
        <v>20.023099999999999</v>
      </c>
      <c r="K1036" s="68">
        <f>20.0244 * CHOOSE(CONTROL!$C$22, $C$13, 100%, $E$13)</f>
        <v>20.0244</v>
      </c>
    </row>
    <row r="1037" spans="1:11" ht="15">
      <c r="A1037" s="13">
        <v>72686</v>
      </c>
      <c r="B1037" s="67">
        <f>17.8479 * CHOOSE(CONTROL!$C$22, $C$13, 100%, $E$13)</f>
        <v>17.847899999999999</v>
      </c>
      <c r="C1037" s="67">
        <f>17.8479 * CHOOSE(CONTROL!$C$22, $C$13, 100%, $E$13)</f>
        <v>17.847899999999999</v>
      </c>
      <c r="D1037" s="67">
        <f>17.8488 * CHOOSE(CONTROL!$C$22, $C$13, 100%, $E$13)</f>
        <v>17.848800000000001</v>
      </c>
      <c r="E1037" s="68">
        <f>20.0886 * CHOOSE(CONTROL!$C$22, $C$13, 100%, $E$13)</f>
        <v>20.0886</v>
      </c>
      <c r="F1037" s="68">
        <f>20.0886 * CHOOSE(CONTROL!$C$22, $C$13, 100%, $E$13)</f>
        <v>20.0886</v>
      </c>
      <c r="G1037" s="68">
        <f>20.0898 * CHOOSE(CONTROL!$C$22, $C$13, 100%, $E$13)</f>
        <v>20.0898</v>
      </c>
      <c r="H1037" s="68">
        <f>33.1128* CHOOSE(CONTROL!$C$22, $C$13, 100%, $E$13)</f>
        <v>33.1128</v>
      </c>
      <c r="I1037" s="68">
        <f>33.1141 * CHOOSE(CONTROL!$C$22, $C$13, 100%, $E$13)</f>
        <v>33.114100000000001</v>
      </c>
      <c r="J1037" s="68">
        <f>20.0886 * CHOOSE(CONTROL!$C$22, $C$13, 100%, $E$13)</f>
        <v>20.0886</v>
      </c>
      <c r="K1037" s="68">
        <f>20.0898 * CHOOSE(CONTROL!$C$22, $C$13, 100%, $E$13)</f>
        <v>20.0898</v>
      </c>
    </row>
    <row r="1038" spans="1:11" ht="15">
      <c r="A1038" s="13">
        <v>72717</v>
      </c>
      <c r="B1038" s="67">
        <f>17.8448 * CHOOSE(CONTROL!$C$22, $C$13, 100%, $E$13)</f>
        <v>17.844799999999999</v>
      </c>
      <c r="C1038" s="67">
        <f>17.8448 * CHOOSE(CONTROL!$C$22, $C$13, 100%, $E$13)</f>
        <v>17.844799999999999</v>
      </c>
      <c r="D1038" s="67">
        <f>17.8458 * CHOOSE(CONTROL!$C$22, $C$13, 100%, $E$13)</f>
        <v>17.845800000000001</v>
      </c>
      <c r="E1038" s="68">
        <f>19.7228 * CHOOSE(CONTROL!$C$22, $C$13, 100%, $E$13)</f>
        <v>19.722799999999999</v>
      </c>
      <c r="F1038" s="68">
        <f>19.7228 * CHOOSE(CONTROL!$C$22, $C$13, 100%, $E$13)</f>
        <v>19.722799999999999</v>
      </c>
      <c r="G1038" s="68">
        <f>19.7241 * CHOOSE(CONTROL!$C$22, $C$13, 100%, $E$13)</f>
        <v>19.7241</v>
      </c>
      <c r="H1038" s="68">
        <f>33.1818* CHOOSE(CONTROL!$C$22, $C$13, 100%, $E$13)</f>
        <v>33.181800000000003</v>
      </c>
      <c r="I1038" s="68">
        <f>33.1831 * CHOOSE(CONTROL!$C$22, $C$13, 100%, $E$13)</f>
        <v>33.183100000000003</v>
      </c>
      <c r="J1038" s="68">
        <f>19.7228 * CHOOSE(CONTROL!$C$22, $C$13, 100%, $E$13)</f>
        <v>19.722799999999999</v>
      </c>
      <c r="K1038" s="68">
        <f>19.7241 * CHOOSE(CONTROL!$C$22, $C$13, 100%, $E$13)</f>
        <v>19.7241</v>
      </c>
    </row>
    <row r="1039" spans="1:11" ht="15">
      <c r="A1039" s="13">
        <v>72745</v>
      </c>
      <c r="B1039" s="67">
        <f>17.8418 * CHOOSE(CONTROL!$C$22, $C$13, 100%, $E$13)</f>
        <v>17.841799999999999</v>
      </c>
      <c r="C1039" s="67">
        <f>17.8418 * CHOOSE(CONTROL!$C$22, $C$13, 100%, $E$13)</f>
        <v>17.841799999999999</v>
      </c>
      <c r="D1039" s="67">
        <f>17.8428 * CHOOSE(CONTROL!$C$22, $C$13, 100%, $E$13)</f>
        <v>17.8428</v>
      </c>
      <c r="E1039" s="68">
        <f>20.0074 * CHOOSE(CONTROL!$C$22, $C$13, 100%, $E$13)</f>
        <v>20.007400000000001</v>
      </c>
      <c r="F1039" s="68">
        <f>20.0074 * CHOOSE(CONTROL!$C$22, $C$13, 100%, $E$13)</f>
        <v>20.007400000000001</v>
      </c>
      <c r="G1039" s="68">
        <f>20.0086 * CHOOSE(CONTROL!$C$22, $C$13, 100%, $E$13)</f>
        <v>20.008600000000001</v>
      </c>
      <c r="H1039" s="68">
        <f>33.2509* CHOOSE(CONTROL!$C$22, $C$13, 100%, $E$13)</f>
        <v>33.250900000000001</v>
      </c>
      <c r="I1039" s="68">
        <f>33.2522 * CHOOSE(CONTROL!$C$22, $C$13, 100%, $E$13)</f>
        <v>33.252200000000002</v>
      </c>
      <c r="J1039" s="68">
        <f>20.0074 * CHOOSE(CONTROL!$C$22, $C$13, 100%, $E$13)</f>
        <v>20.007400000000001</v>
      </c>
      <c r="K1039" s="68">
        <f>20.0086 * CHOOSE(CONTROL!$C$22, $C$13, 100%, $E$13)</f>
        <v>20.008600000000001</v>
      </c>
    </row>
    <row r="1040" spans="1:11" ht="15">
      <c r="A1040" s="13">
        <v>72776</v>
      </c>
      <c r="B1040" s="67">
        <f>17.851 * CHOOSE(CONTROL!$C$22, $C$13, 100%, $E$13)</f>
        <v>17.850999999999999</v>
      </c>
      <c r="C1040" s="67">
        <f>17.851 * CHOOSE(CONTROL!$C$22, $C$13, 100%, $E$13)</f>
        <v>17.850999999999999</v>
      </c>
      <c r="D1040" s="67">
        <f>17.852 * CHOOSE(CONTROL!$C$22, $C$13, 100%, $E$13)</f>
        <v>17.852</v>
      </c>
      <c r="E1040" s="68">
        <f>20.311 * CHOOSE(CONTROL!$C$22, $C$13, 100%, $E$13)</f>
        <v>20.311</v>
      </c>
      <c r="F1040" s="68">
        <f>20.311 * CHOOSE(CONTROL!$C$22, $C$13, 100%, $E$13)</f>
        <v>20.311</v>
      </c>
      <c r="G1040" s="68">
        <f>20.3122 * CHOOSE(CONTROL!$C$22, $C$13, 100%, $E$13)</f>
        <v>20.312200000000001</v>
      </c>
      <c r="H1040" s="68">
        <f>33.3202* CHOOSE(CONTROL!$C$22, $C$13, 100%, $E$13)</f>
        <v>33.3202</v>
      </c>
      <c r="I1040" s="68">
        <f>33.3215 * CHOOSE(CONTROL!$C$22, $C$13, 100%, $E$13)</f>
        <v>33.3215</v>
      </c>
      <c r="J1040" s="68">
        <f>20.311 * CHOOSE(CONTROL!$C$22, $C$13, 100%, $E$13)</f>
        <v>20.311</v>
      </c>
      <c r="K1040" s="68">
        <f>20.3122 * CHOOSE(CONTROL!$C$22, $C$13, 100%, $E$13)</f>
        <v>20.312200000000001</v>
      </c>
    </row>
    <row r="1041" spans="1:11" ht="15">
      <c r="A1041" s="13">
        <v>72806</v>
      </c>
      <c r="B1041" s="67">
        <f>17.851 * CHOOSE(CONTROL!$C$22, $C$13, 100%, $E$13)</f>
        <v>17.850999999999999</v>
      </c>
      <c r="C1041" s="67">
        <f>17.851 * CHOOSE(CONTROL!$C$22, $C$13, 100%, $E$13)</f>
        <v>17.850999999999999</v>
      </c>
      <c r="D1041" s="67">
        <f>17.8536 * CHOOSE(CONTROL!$C$22, $C$13, 100%, $E$13)</f>
        <v>17.8536</v>
      </c>
      <c r="E1041" s="68">
        <f>20.4264 * CHOOSE(CONTROL!$C$22, $C$13, 100%, $E$13)</f>
        <v>20.426400000000001</v>
      </c>
      <c r="F1041" s="68">
        <f>20.4264 * CHOOSE(CONTROL!$C$22, $C$13, 100%, $E$13)</f>
        <v>20.426400000000001</v>
      </c>
      <c r="G1041" s="68">
        <f>20.4297 * CHOOSE(CONTROL!$C$22, $C$13, 100%, $E$13)</f>
        <v>20.4297</v>
      </c>
      <c r="H1041" s="68">
        <f>33.3896* CHOOSE(CONTROL!$C$22, $C$13, 100%, $E$13)</f>
        <v>33.389600000000002</v>
      </c>
      <c r="I1041" s="68">
        <f>33.3929 * CHOOSE(CONTROL!$C$22, $C$13, 100%, $E$13)</f>
        <v>33.392899999999997</v>
      </c>
      <c r="J1041" s="68">
        <f>20.4264 * CHOOSE(CONTROL!$C$22, $C$13, 100%, $E$13)</f>
        <v>20.426400000000001</v>
      </c>
      <c r="K1041" s="68">
        <f>20.4297 * CHOOSE(CONTROL!$C$22, $C$13, 100%, $E$13)</f>
        <v>20.4297</v>
      </c>
    </row>
    <row r="1042" spans="1:11" ht="15">
      <c r="A1042" s="13">
        <v>72837</v>
      </c>
      <c r="B1042" s="67">
        <f>17.8571 * CHOOSE(CONTROL!$C$22, $C$13, 100%, $E$13)</f>
        <v>17.857099999999999</v>
      </c>
      <c r="C1042" s="67">
        <f>17.8571 * CHOOSE(CONTROL!$C$22, $C$13, 100%, $E$13)</f>
        <v>17.857099999999999</v>
      </c>
      <c r="D1042" s="67">
        <f>17.8597 * CHOOSE(CONTROL!$C$22, $C$13, 100%, $E$13)</f>
        <v>17.8597</v>
      </c>
      <c r="E1042" s="68">
        <f>20.3152 * CHOOSE(CONTROL!$C$22, $C$13, 100%, $E$13)</f>
        <v>20.315200000000001</v>
      </c>
      <c r="F1042" s="68">
        <f>20.3152 * CHOOSE(CONTROL!$C$22, $C$13, 100%, $E$13)</f>
        <v>20.315200000000001</v>
      </c>
      <c r="G1042" s="68">
        <f>20.3185 * CHOOSE(CONTROL!$C$22, $C$13, 100%, $E$13)</f>
        <v>20.3185</v>
      </c>
      <c r="H1042" s="68">
        <f>33.4592* CHOOSE(CONTROL!$C$22, $C$13, 100%, $E$13)</f>
        <v>33.459200000000003</v>
      </c>
      <c r="I1042" s="68">
        <f>33.4624 * CHOOSE(CONTROL!$C$22, $C$13, 100%, $E$13)</f>
        <v>33.462400000000002</v>
      </c>
      <c r="J1042" s="68">
        <f>20.3152 * CHOOSE(CONTROL!$C$22, $C$13, 100%, $E$13)</f>
        <v>20.315200000000001</v>
      </c>
      <c r="K1042" s="68">
        <f>20.3185 * CHOOSE(CONTROL!$C$22, $C$13, 100%, $E$13)</f>
        <v>20.3185</v>
      </c>
    </row>
    <row r="1043" spans="1:11" ht="15">
      <c r="A1043" s="13">
        <v>72867</v>
      </c>
      <c r="B1043" s="67">
        <f>18.1253 * CHOOSE(CONTROL!$C$22, $C$13, 100%, $E$13)</f>
        <v>18.125299999999999</v>
      </c>
      <c r="C1043" s="67">
        <f>18.1253 * CHOOSE(CONTROL!$C$22, $C$13, 100%, $E$13)</f>
        <v>18.125299999999999</v>
      </c>
      <c r="D1043" s="67">
        <f>18.1279 * CHOOSE(CONTROL!$C$22, $C$13, 100%, $E$13)</f>
        <v>18.1279</v>
      </c>
      <c r="E1043" s="68">
        <f>20.6353 * CHOOSE(CONTROL!$C$22, $C$13, 100%, $E$13)</f>
        <v>20.635300000000001</v>
      </c>
      <c r="F1043" s="68">
        <f>20.6353 * CHOOSE(CONTROL!$C$22, $C$13, 100%, $E$13)</f>
        <v>20.635300000000001</v>
      </c>
      <c r="G1043" s="68">
        <f>20.6385 * CHOOSE(CONTROL!$C$22, $C$13, 100%, $E$13)</f>
        <v>20.638500000000001</v>
      </c>
      <c r="H1043" s="68">
        <f>33.5289* CHOOSE(CONTROL!$C$22, $C$13, 100%, $E$13)</f>
        <v>33.5289</v>
      </c>
      <c r="I1043" s="68">
        <f>33.5321 * CHOOSE(CONTROL!$C$22, $C$13, 100%, $E$13)</f>
        <v>33.5321</v>
      </c>
      <c r="J1043" s="68">
        <f>20.6353 * CHOOSE(CONTROL!$C$22, $C$13, 100%, $E$13)</f>
        <v>20.635300000000001</v>
      </c>
      <c r="K1043" s="68">
        <f>20.6385 * CHOOSE(CONTROL!$C$22, $C$13, 100%, $E$13)</f>
        <v>20.638500000000001</v>
      </c>
    </row>
    <row r="1044" spans="1:11" ht="15">
      <c r="A1044" s="13">
        <v>72898</v>
      </c>
      <c r="B1044" s="67">
        <f>18.132 * CHOOSE(CONTROL!$C$22, $C$13, 100%, $E$13)</f>
        <v>18.132000000000001</v>
      </c>
      <c r="C1044" s="67">
        <f>18.132 * CHOOSE(CONTROL!$C$22, $C$13, 100%, $E$13)</f>
        <v>18.132000000000001</v>
      </c>
      <c r="D1044" s="67">
        <f>18.1346 * CHOOSE(CONTROL!$C$22, $C$13, 100%, $E$13)</f>
        <v>18.134599999999999</v>
      </c>
      <c r="E1044" s="68">
        <f>20.2936 * CHOOSE(CONTROL!$C$22, $C$13, 100%, $E$13)</f>
        <v>20.293600000000001</v>
      </c>
      <c r="F1044" s="68">
        <f>20.2936 * CHOOSE(CONTROL!$C$22, $C$13, 100%, $E$13)</f>
        <v>20.293600000000001</v>
      </c>
      <c r="G1044" s="68">
        <f>20.2969 * CHOOSE(CONTROL!$C$22, $C$13, 100%, $E$13)</f>
        <v>20.296900000000001</v>
      </c>
      <c r="H1044" s="68">
        <f>33.5987* CHOOSE(CONTROL!$C$22, $C$13, 100%, $E$13)</f>
        <v>33.598700000000001</v>
      </c>
      <c r="I1044" s="68">
        <f>33.602 * CHOOSE(CONTROL!$C$22, $C$13, 100%, $E$13)</f>
        <v>33.601999999999997</v>
      </c>
      <c r="J1044" s="68">
        <f>20.2936 * CHOOSE(CONTROL!$C$22, $C$13, 100%, $E$13)</f>
        <v>20.293600000000001</v>
      </c>
      <c r="K1044" s="68">
        <f>20.2969 * CHOOSE(CONTROL!$C$22, $C$13, 100%, $E$13)</f>
        <v>20.296900000000001</v>
      </c>
    </row>
    <row r="1045" spans="1:11" ht="15">
      <c r="A1045" s="13">
        <v>72929</v>
      </c>
      <c r="B1045" s="67">
        <f>18.1289 * CHOOSE(CONTROL!$C$22, $C$13, 100%, $E$13)</f>
        <v>18.128900000000002</v>
      </c>
      <c r="C1045" s="67">
        <f>18.1289 * CHOOSE(CONTROL!$C$22, $C$13, 100%, $E$13)</f>
        <v>18.128900000000002</v>
      </c>
      <c r="D1045" s="67">
        <f>18.1316 * CHOOSE(CONTROL!$C$22, $C$13, 100%, $E$13)</f>
        <v>18.131599999999999</v>
      </c>
      <c r="E1045" s="68">
        <f>20.253 * CHOOSE(CONTROL!$C$22, $C$13, 100%, $E$13)</f>
        <v>20.253</v>
      </c>
      <c r="F1045" s="68">
        <f>20.253 * CHOOSE(CONTROL!$C$22, $C$13, 100%, $E$13)</f>
        <v>20.253</v>
      </c>
      <c r="G1045" s="68">
        <f>20.2563 * CHOOSE(CONTROL!$C$22, $C$13, 100%, $E$13)</f>
        <v>20.2563</v>
      </c>
      <c r="H1045" s="68">
        <f>33.6687* CHOOSE(CONTROL!$C$22, $C$13, 100%, $E$13)</f>
        <v>33.668700000000001</v>
      </c>
      <c r="I1045" s="68">
        <f>33.672 * CHOOSE(CONTROL!$C$22, $C$13, 100%, $E$13)</f>
        <v>33.671999999999997</v>
      </c>
      <c r="J1045" s="68">
        <f>20.253 * CHOOSE(CONTROL!$C$22, $C$13, 100%, $E$13)</f>
        <v>20.253</v>
      </c>
      <c r="K1045" s="68">
        <f>20.2563 * CHOOSE(CONTROL!$C$22, $C$13, 100%, $E$13)</f>
        <v>20.2563</v>
      </c>
    </row>
    <row r="1046" spans="1:11" ht="15">
      <c r="A1046" s="13">
        <v>72959</v>
      </c>
      <c r="B1046" s="67">
        <f>18.1693 * CHOOSE(CONTROL!$C$22, $C$13, 100%, $E$13)</f>
        <v>18.1693</v>
      </c>
      <c r="C1046" s="67">
        <f>18.1693 * CHOOSE(CONTROL!$C$22, $C$13, 100%, $E$13)</f>
        <v>18.1693</v>
      </c>
      <c r="D1046" s="67">
        <f>18.1703 * CHOOSE(CONTROL!$C$22, $C$13, 100%, $E$13)</f>
        <v>18.170300000000001</v>
      </c>
      <c r="E1046" s="68">
        <f>20.3935 * CHOOSE(CONTROL!$C$22, $C$13, 100%, $E$13)</f>
        <v>20.3935</v>
      </c>
      <c r="F1046" s="68">
        <f>20.3935 * CHOOSE(CONTROL!$C$22, $C$13, 100%, $E$13)</f>
        <v>20.3935</v>
      </c>
      <c r="G1046" s="68">
        <f>20.3948 * CHOOSE(CONTROL!$C$22, $C$13, 100%, $E$13)</f>
        <v>20.3948</v>
      </c>
      <c r="H1046" s="68">
        <f>33.7389* CHOOSE(CONTROL!$C$22, $C$13, 100%, $E$13)</f>
        <v>33.738900000000001</v>
      </c>
      <c r="I1046" s="68">
        <f>33.7401 * CHOOSE(CONTROL!$C$22, $C$13, 100%, $E$13)</f>
        <v>33.740099999999998</v>
      </c>
      <c r="J1046" s="68">
        <f>20.3935 * CHOOSE(CONTROL!$C$22, $C$13, 100%, $E$13)</f>
        <v>20.3935</v>
      </c>
      <c r="K1046" s="68">
        <f>20.3948 * CHOOSE(CONTROL!$C$22, $C$13, 100%, $E$13)</f>
        <v>20.3948</v>
      </c>
    </row>
    <row r="1047" spans="1:11" ht="15">
      <c r="A1047" s="13">
        <v>72990</v>
      </c>
      <c r="B1047" s="67">
        <f>18.1724 * CHOOSE(CONTROL!$C$22, $C$13, 100%, $E$13)</f>
        <v>18.1724</v>
      </c>
      <c r="C1047" s="67">
        <f>18.1724 * CHOOSE(CONTROL!$C$22, $C$13, 100%, $E$13)</f>
        <v>18.1724</v>
      </c>
      <c r="D1047" s="67">
        <f>18.1734 * CHOOSE(CONTROL!$C$22, $C$13, 100%, $E$13)</f>
        <v>18.173400000000001</v>
      </c>
      <c r="E1047" s="68">
        <f>20.4726 * CHOOSE(CONTROL!$C$22, $C$13, 100%, $E$13)</f>
        <v>20.4726</v>
      </c>
      <c r="F1047" s="68">
        <f>20.4726 * CHOOSE(CONTROL!$C$22, $C$13, 100%, $E$13)</f>
        <v>20.4726</v>
      </c>
      <c r="G1047" s="68">
        <f>20.4739 * CHOOSE(CONTROL!$C$22, $C$13, 100%, $E$13)</f>
        <v>20.4739</v>
      </c>
      <c r="H1047" s="68">
        <f>33.8092* CHOOSE(CONTROL!$C$22, $C$13, 100%, $E$13)</f>
        <v>33.809199999999997</v>
      </c>
      <c r="I1047" s="68">
        <f>33.8104 * CHOOSE(CONTROL!$C$22, $C$13, 100%, $E$13)</f>
        <v>33.810400000000001</v>
      </c>
      <c r="J1047" s="68">
        <f>20.4726 * CHOOSE(CONTROL!$C$22, $C$13, 100%, $E$13)</f>
        <v>20.4726</v>
      </c>
      <c r="K1047" s="68">
        <f>20.4739 * CHOOSE(CONTROL!$C$22, $C$13, 100%, $E$13)</f>
        <v>20.4739</v>
      </c>
    </row>
    <row r="1048" spans="1:11" ht="15">
      <c r="A1048" s="13">
        <v>73020</v>
      </c>
      <c r="B1048" s="67">
        <f>18.1724 * CHOOSE(CONTROL!$C$22, $C$13, 100%, $E$13)</f>
        <v>18.1724</v>
      </c>
      <c r="C1048" s="67">
        <f>18.1724 * CHOOSE(CONTROL!$C$22, $C$13, 100%, $E$13)</f>
        <v>18.1724</v>
      </c>
      <c r="D1048" s="67">
        <f>18.1734 * CHOOSE(CONTROL!$C$22, $C$13, 100%, $E$13)</f>
        <v>18.173400000000001</v>
      </c>
      <c r="E1048" s="68">
        <f>20.2802 * CHOOSE(CONTROL!$C$22, $C$13, 100%, $E$13)</f>
        <v>20.280200000000001</v>
      </c>
      <c r="F1048" s="68">
        <f>20.2802 * CHOOSE(CONTROL!$C$22, $C$13, 100%, $E$13)</f>
        <v>20.280200000000001</v>
      </c>
      <c r="G1048" s="68">
        <f>20.2815 * CHOOSE(CONTROL!$C$22, $C$13, 100%, $E$13)</f>
        <v>20.281500000000001</v>
      </c>
      <c r="H1048" s="68">
        <f>33.8796* CHOOSE(CONTROL!$C$22, $C$13, 100%, $E$13)</f>
        <v>33.879600000000003</v>
      </c>
      <c r="I1048" s="68">
        <f>33.8809 * CHOOSE(CONTROL!$C$22, $C$13, 100%, $E$13)</f>
        <v>33.880899999999997</v>
      </c>
      <c r="J1048" s="68">
        <f>20.2802 * CHOOSE(CONTROL!$C$22, $C$13, 100%, $E$13)</f>
        <v>20.280200000000001</v>
      </c>
      <c r="K1048" s="68">
        <f>20.2815 * CHOOSE(CONTROL!$C$22, $C$13, 100%, $E$13)</f>
        <v>20.281500000000001</v>
      </c>
    </row>
    <row r="1049" spans="1:11" ht="15">
      <c r="A1049" s="13">
        <v>73051</v>
      </c>
      <c r="B1049" s="67">
        <f>18.0834 * CHOOSE(CONTROL!$C$22, $C$13, 100%, $E$13)</f>
        <v>18.083400000000001</v>
      </c>
      <c r="C1049" s="67">
        <f>18.0834 * CHOOSE(CONTROL!$C$22, $C$13, 100%, $E$13)</f>
        <v>18.083400000000001</v>
      </c>
      <c r="D1049" s="67">
        <f>18.0844 * CHOOSE(CONTROL!$C$22, $C$13, 100%, $E$13)</f>
        <v>18.084399999999999</v>
      </c>
      <c r="E1049" s="68">
        <f>20.3433 * CHOOSE(CONTROL!$C$22, $C$13, 100%, $E$13)</f>
        <v>20.343299999999999</v>
      </c>
      <c r="F1049" s="68">
        <f>20.3433 * CHOOSE(CONTROL!$C$22, $C$13, 100%, $E$13)</f>
        <v>20.343299999999999</v>
      </c>
      <c r="G1049" s="68">
        <f>20.3446 * CHOOSE(CONTROL!$C$22, $C$13, 100%, $E$13)</f>
        <v>20.3446</v>
      </c>
      <c r="H1049" s="68">
        <f>33.5398* CHOOSE(CONTROL!$C$22, $C$13, 100%, $E$13)</f>
        <v>33.5398</v>
      </c>
      <c r="I1049" s="68">
        <f>33.5411 * CHOOSE(CONTROL!$C$22, $C$13, 100%, $E$13)</f>
        <v>33.5411</v>
      </c>
      <c r="J1049" s="68">
        <f>20.3433 * CHOOSE(CONTROL!$C$22, $C$13, 100%, $E$13)</f>
        <v>20.343299999999999</v>
      </c>
      <c r="K1049" s="68">
        <f>20.3446 * CHOOSE(CONTROL!$C$22, $C$13, 100%, $E$13)</f>
        <v>20.3446</v>
      </c>
    </row>
    <row r="1050" spans="1:11" ht="15">
      <c r="A1050" s="13">
        <v>73082</v>
      </c>
      <c r="B1050" s="67">
        <f>18.0804 * CHOOSE(CONTROL!$C$22, $C$13, 100%, $E$13)</f>
        <v>18.080400000000001</v>
      </c>
      <c r="C1050" s="67">
        <f>18.0804 * CHOOSE(CONTROL!$C$22, $C$13, 100%, $E$13)</f>
        <v>18.080400000000001</v>
      </c>
      <c r="D1050" s="67">
        <f>18.0814 * CHOOSE(CONTROL!$C$22, $C$13, 100%, $E$13)</f>
        <v>18.081399999999999</v>
      </c>
      <c r="E1050" s="68">
        <f>19.9726 * CHOOSE(CONTROL!$C$22, $C$13, 100%, $E$13)</f>
        <v>19.9726</v>
      </c>
      <c r="F1050" s="68">
        <f>19.9726 * CHOOSE(CONTROL!$C$22, $C$13, 100%, $E$13)</f>
        <v>19.9726</v>
      </c>
      <c r="G1050" s="68">
        <f>19.9739 * CHOOSE(CONTROL!$C$22, $C$13, 100%, $E$13)</f>
        <v>19.9739</v>
      </c>
      <c r="H1050" s="68">
        <f>33.6097* CHOOSE(CONTROL!$C$22, $C$13, 100%, $E$13)</f>
        <v>33.609699999999997</v>
      </c>
      <c r="I1050" s="68">
        <f>33.611 * CHOOSE(CONTROL!$C$22, $C$13, 100%, $E$13)</f>
        <v>33.610999999999997</v>
      </c>
      <c r="J1050" s="68">
        <f>19.9726 * CHOOSE(CONTROL!$C$22, $C$13, 100%, $E$13)</f>
        <v>19.9726</v>
      </c>
      <c r="K1050" s="68">
        <f>19.9739 * CHOOSE(CONTROL!$C$22, $C$13, 100%, $E$13)</f>
        <v>19.9739</v>
      </c>
    </row>
    <row r="1051" spans="1:11" ht="15">
      <c r="A1051" s="13">
        <v>73110</v>
      </c>
      <c r="B1051" s="67">
        <f>18.0774 * CHOOSE(CONTROL!$C$22, $C$13, 100%, $E$13)</f>
        <v>18.077400000000001</v>
      </c>
      <c r="C1051" s="67">
        <f>18.0774 * CHOOSE(CONTROL!$C$22, $C$13, 100%, $E$13)</f>
        <v>18.077400000000001</v>
      </c>
      <c r="D1051" s="67">
        <f>18.0783 * CHOOSE(CONTROL!$C$22, $C$13, 100%, $E$13)</f>
        <v>18.078299999999999</v>
      </c>
      <c r="E1051" s="68">
        <f>20.261 * CHOOSE(CONTROL!$C$22, $C$13, 100%, $E$13)</f>
        <v>20.260999999999999</v>
      </c>
      <c r="F1051" s="68">
        <f>20.261 * CHOOSE(CONTROL!$C$22, $C$13, 100%, $E$13)</f>
        <v>20.260999999999999</v>
      </c>
      <c r="G1051" s="68">
        <f>20.2623 * CHOOSE(CONTROL!$C$22, $C$13, 100%, $E$13)</f>
        <v>20.2623</v>
      </c>
      <c r="H1051" s="68">
        <f>33.6797* CHOOSE(CONTROL!$C$22, $C$13, 100%, $E$13)</f>
        <v>33.679699999999997</v>
      </c>
      <c r="I1051" s="68">
        <f>33.681 * CHOOSE(CONTROL!$C$22, $C$13, 100%, $E$13)</f>
        <v>33.680999999999997</v>
      </c>
      <c r="J1051" s="68">
        <f>20.261 * CHOOSE(CONTROL!$C$22, $C$13, 100%, $E$13)</f>
        <v>20.260999999999999</v>
      </c>
      <c r="K1051" s="68">
        <f>20.2623 * CHOOSE(CONTROL!$C$22, $C$13, 100%, $E$13)</f>
        <v>20.2623</v>
      </c>
    </row>
    <row r="1052" spans="1:11" ht="15">
      <c r="A1052" s="13">
        <v>73141</v>
      </c>
      <c r="B1052" s="67">
        <f>18.0868 * CHOOSE(CONTROL!$C$22, $C$13, 100%, $E$13)</f>
        <v>18.0868</v>
      </c>
      <c r="C1052" s="67">
        <f>18.0868 * CHOOSE(CONTROL!$C$22, $C$13, 100%, $E$13)</f>
        <v>18.0868</v>
      </c>
      <c r="D1052" s="67">
        <f>18.0877 * CHOOSE(CONTROL!$C$22, $C$13, 100%, $E$13)</f>
        <v>18.087700000000002</v>
      </c>
      <c r="E1052" s="68">
        <f>20.5688 * CHOOSE(CONTROL!$C$22, $C$13, 100%, $E$13)</f>
        <v>20.5688</v>
      </c>
      <c r="F1052" s="68">
        <f>20.5688 * CHOOSE(CONTROL!$C$22, $C$13, 100%, $E$13)</f>
        <v>20.5688</v>
      </c>
      <c r="G1052" s="68">
        <f>20.5701 * CHOOSE(CONTROL!$C$22, $C$13, 100%, $E$13)</f>
        <v>20.5701</v>
      </c>
      <c r="H1052" s="68">
        <f>33.7499* CHOOSE(CONTROL!$C$22, $C$13, 100%, $E$13)</f>
        <v>33.749899999999997</v>
      </c>
      <c r="I1052" s="68">
        <f>33.7512 * CHOOSE(CONTROL!$C$22, $C$13, 100%, $E$13)</f>
        <v>33.751199999999997</v>
      </c>
      <c r="J1052" s="68">
        <f>20.5688 * CHOOSE(CONTROL!$C$22, $C$13, 100%, $E$13)</f>
        <v>20.5688</v>
      </c>
      <c r="K1052" s="68">
        <f>20.5701 * CHOOSE(CONTROL!$C$22, $C$13, 100%, $E$13)</f>
        <v>20.5701</v>
      </c>
    </row>
    <row r="1053" spans="1:11" ht="15">
      <c r="A1053" s="13">
        <v>73171</v>
      </c>
      <c r="B1053" s="67">
        <f>18.0868 * CHOOSE(CONTROL!$C$22, $C$13, 100%, $E$13)</f>
        <v>18.0868</v>
      </c>
      <c r="C1053" s="67">
        <f>18.0868 * CHOOSE(CONTROL!$C$22, $C$13, 100%, $E$13)</f>
        <v>18.0868</v>
      </c>
      <c r="D1053" s="67">
        <f>18.0894 * CHOOSE(CONTROL!$C$22, $C$13, 100%, $E$13)</f>
        <v>18.089400000000001</v>
      </c>
      <c r="E1053" s="68">
        <f>20.6858 * CHOOSE(CONTROL!$C$22, $C$13, 100%, $E$13)</f>
        <v>20.6858</v>
      </c>
      <c r="F1053" s="68">
        <f>20.6858 * CHOOSE(CONTROL!$C$22, $C$13, 100%, $E$13)</f>
        <v>20.6858</v>
      </c>
      <c r="G1053" s="68">
        <f>20.6891 * CHOOSE(CONTROL!$C$22, $C$13, 100%, $E$13)</f>
        <v>20.6891</v>
      </c>
      <c r="H1053" s="68">
        <f>33.8202* CHOOSE(CONTROL!$C$22, $C$13, 100%, $E$13)</f>
        <v>33.8202</v>
      </c>
      <c r="I1053" s="68">
        <f>33.8234 * CHOOSE(CONTROL!$C$22, $C$13, 100%, $E$13)</f>
        <v>33.823399999999999</v>
      </c>
      <c r="J1053" s="68">
        <f>20.6858 * CHOOSE(CONTROL!$C$22, $C$13, 100%, $E$13)</f>
        <v>20.6858</v>
      </c>
      <c r="K1053" s="68">
        <f>20.6891 * CHOOSE(CONTROL!$C$22, $C$13, 100%, $E$13)</f>
        <v>20.6891</v>
      </c>
    </row>
    <row r="1054" spans="1:11" ht="15">
      <c r="A1054" s="13">
        <v>73202</v>
      </c>
      <c r="B1054" s="67">
        <f>18.0928 * CHOOSE(CONTROL!$C$22, $C$13, 100%, $E$13)</f>
        <v>18.0928</v>
      </c>
      <c r="C1054" s="67">
        <f>18.0928 * CHOOSE(CONTROL!$C$22, $C$13, 100%, $E$13)</f>
        <v>18.0928</v>
      </c>
      <c r="D1054" s="67">
        <f>18.0955 * CHOOSE(CONTROL!$C$22, $C$13, 100%, $E$13)</f>
        <v>18.095500000000001</v>
      </c>
      <c r="E1054" s="68">
        <f>20.5731 * CHOOSE(CONTROL!$C$22, $C$13, 100%, $E$13)</f>
        <v>20.5731</v>
      </c>
      <c r="F1054" s="68">
        <f>20.5731 * CHOOSE(CONTROL!$C$22, $C$13, 100%, $E$13)</f>
        <v>20.5731</v>
      </c>
      <c r="G1054" s="68">
        <f>20.5763 * CHOOSE(CONTROL!$C$22, $C$13, 100%, $E$13)</f>
        <v>20.5763</v>
      </c>
      <c r="H1054" s="68">
        <f>33.8907* CHOOSE(CONTROL!$C$22, $C$13, 100%, $E$13)</f>
        <v>33.890700000000002</v>
      </c>
      <c r="I1054" s="68">
        <f>33.8939 * CHOOSE(CONTROL!$C$22, $C$13, 100%, $E$13)</f>
        <v>33.893900000000002</v>
      </c>
      <c r="J1054" s="68">
        <f>20.5731 * CHOOSE(CONTROL!$C$22, $C$13, 100%, $E$13)</f>
        <v>20.5731</v>
      </c>
      <c r="K1054" s="68">
        <f>20.5763 * CHOOSE(CONTROL!$C$22, $C$13, 100%, $E$13)</f>
        <v>20.5763</v>
      </c>
    </row>
    <row r="1055" spans="1:11" ht="15">
      <c r="A1055" s="13">
        <v>73232</v>
      </c>
      <c r="B1055" s="67">
        <f>18.3645 * CHOOSE(CONTROL!$C$22, $C$13, 100%, $E$13)</f>
        <v>18.3645</v>
      </c>
      <c r="C1055" s="67">
        <f>18.3645 * CHOOSE(CONTROL!$C$22, $C$13, 100%, $E$13)</f>
        <v>18.3645</v>
      </c>
      <c r="D1055" s="67">
        <f>18.3671 * CHOOSE(CONTROL!$C$22, $C$13, 100%, $E$13)</f>
        <v>18.367100000000001</v>
      </c>
      <c r="E1055" s="68">
        <f>20.897 * CHOOSE(CONTROL!$C$22, $C$13, 100%, $E$13)</f>
        <v>20.896999999999998</v>
      </c>
      <c r="F1055" s="68">
        <f>20.897 * CHOOSE(CONTROL!$C$22, $C$13, 100%, $E$13)</f>
        <v>20.896999999999998</v>
      </c>
      <c r="G1055" s="68">
        <f>20.9003 * CHOOSE(CONTROL!$C$22, $C$13, 100%, $E$13)</f>
        <v>20.900300000000001</v>
      </c>
      <c r="H1055" s="68">
        <f>33.9613* CHOOSE(CONTROL!$C$22, $C$13, 100%, $E$13)</f>
        <v>33.961300000000001</v>
      </c>
      <c r="I1055" s="68">
        <f>33.9645 * CHOOSE(CONTROL!$C$22, $C$13, 100%, $E$13)</f>
        <v>33.964500000000001</v>
      </c>
      <c r="J1055" s="68">
        <f>20.897 * CHOOSE(CONTROL!$C$22, $C$13, 100%, $E$13)</f>
        <v>20.896999999999998</v>
      </c>
      <c r="K1055" s="68">
        <f>20.9003 * CHOOSE(CONTROL!$C$22, $C$13, 100%, $E$13)</f>
        <v>20.900300000000001</v>
      </c>
    </row>
    <row r="1056" spans="1:11" ht="15">
      <c r="A1056" s="13">
        <v>73263</v>
      </c>
      <c r="B1056" s="67">
        <f>18.3712 * CHOOSE(CONTROL!$C$22, $C$13, 100%, $E$13)</f>
        <v>18.371200000000002</v>
      </c>
      <c r="C1056" s="67">
        <f>18.3712 * CHOOSE(CONTROL!$C$22, $C$13, 100%, $E$13)</f>
        <v>18.371200000000002</v>
      </c>
      <c r="D1056" s="67">
        <f>18.3738 * CHOOSE(CONTROL!$C$22, $C$13, 100%, $E$13)</f>
        <v>18.373799999999999</v>
      </c>
      <c r="E1056" s="68">
        <f>20.5507 * CHOOSE(CONTROL!$C$22, $C$13, 100%, $E$13)</f>
        <v>20.550699999999999</v>
      </c>
      <c r="F1056" s="68">
        <f>20.5507 * CHOOSE(CONTROL!$C$22, $C$13, 100%, $E$13)</f>
        <v>20.550699999999999</v>
      </c>
      <c r="G1056" s="68">
        <f>20.5539 * CHOOSE(CONTROL!$C$22, $C$13, 100%, $E$13)</f>
        <v>20.553899999999999</v>
      </c>
      <c r="H1056" s="68">
        <f>34.032* CHOOSE(CONTROL!$C$22, $C$13, 100%, $E$13)</f>
        <v>34.031999999999996</v>
      </c>
      <c r="I1056" s="68">
        <f>34.0353 * CHOOSE(CONTROL!$C$22, $C$13, 100%, $E$13)</f>
        <v>34.035299999999999</v>
      </c>
      <c r="J1056" s="68">
        <f>20.5507 * CHOOSE(CONTROL!$C$22, $C$13, 100%, $E$13)</f>
        <v>20.550699999999999</v>
      </c>
      <c r="K1056" s="68">
        <f>20.5539 * CHOOSE(CONTROL!$C$22, $C$13, 100%, $E$13)</f>
        <v>20.553899999999999</v>
      </c>
    </row>
    <row r="1057" spans="1:11" ht="15">
      <c r="A1057" s="13">
        <v>73294</v>
      </c>
      <c r="B1057" s="67">
        <f>18.3681 * CHOOSE(CONTROL!$C$22, $C$13, 100%, $E$13)</f>
        <v>18.368099999999998</v>
      </c>
      <c r="C1057" s="67">
        <f>18.3681 * CHOOSE(CONTROL!$C$22, $C$13, 100%, $E$13)</f>
        <v>18.368099999999998</v>
      </c>
      <c r="D1057" s="67">
        <f>18.3707 * CHOOSE(CONTROL!$C$22, $C$13, 100%, $E$13)</f>
        <v>18.370699999999999</v>
      </c>
      <c r="E1057" s="68">
        <f>20.5095 * CHOOSE(CONTROL!$C$22, $C$13, 100%, $E$13)</f>
        <v>20.509499999999999</v>
      </c>
      <c r="F1057" s="68">
        <f>20.5095 * CHOOSE(CONTROL!$C$22, $C$13, 100%, $E$13)</f>
        <v>20.509499999999999</v>
      </c>
      <c r="G1057" s="68">
        <f>20.5128 * CHOOSE(CONTROL!$C$22, $C$13, 100%, $E$13)</f>
        <v>20.512799999999999</v>
      </c>
      <c r="H1057" s="68">
        <f>34.1029* CHOOSE(CONTROL!$C$22, $C$13, 100%, $E$13)</f>
        <v>34.102899999999998</v>
      </c>
      <c r="I1057" s="68">
        <f>34.1062 * CHOOSE(CONTROL!$C$22, $C$13, 100%, $E$13)</f>
        <v>34.106200000000001</v>
      </c>
      <c r="J1057" s="68">
        <f>20.5095 * CHOOSE(CONTROL!$C$22, $C$13, 100%, $E$13)</f>
        <v>20.509499999999999</v>
      </c>
      <c r="K1057" s="68">
        <f>20.5128 * CHOOSE(CONTROL!$C$22, $C$13, 100%, $E$13)</f>
        <v>20.512799999999999</v>
      </c>
    </row>
    <row r="1058" spans="1:11" ht="15">
      <c r="A1058" s="13">
        <v>73324</v>
      </c>
      <c r="B1058" s="67">
        <f>18.4093 * CHOOSE(CONTROL!$C$22, $C$13, 100%, $E$13)</f>
        <v>18.409300000000002</v>
      </c>
      <c r="C1058" s="67">
        <f>18.4093 * CHOOSE(CONTROL!$C$22, $C$13, 100%, $E$13)</f>
        <v>18.409300000000002</v>
      </c>
      <c r="D1058" s="67">
        <f>18.4103 * CHOOSE(CONTROL!$C$22, $C$13, 100%, $E$13)</f>
        <v>18.410299999999999</v>
      </c>
      <c r="E1058" s="68">
        <f>20.6521 * CHOOSE(CONTROL!$C$22, $C$13, 100%, $E$13)</f>
        <v>20.652100000000001</v>
      </c>
      <c r="F1058" s="68">
        <f>20.6521 * CHOOSE(CONTROL!$C$22, $C$13, 100%, $E$13)</f>
        <v>20.652100000000001</v>
      </c>
      <c r="G1058" s="68">
        <f>20.6534 * CHOOSE(CONTROL!$C$22, $C$13, 100%, $E$13)</f>
        <v>20.653400000000001</v>
      </c>
      <c r="H1058" s="68">
        <f>34.174* CHOOSE(CONTROL!$C$22, $C$13, 100%, $E$13)</f>
        <v>34.173999999999999</v>
      </c>
      <c r="I1058" s="68">
        <f>34.1752 * CHOOSE(CONTROL!$C$22, $C$13, 100%, $E$13)</f>
        <v>34.175199999999997</v>
      </c>
      <c r="J1058" s="68">
        <f>20.6521 * CHOOSE(CONTROL!$C$22, $C$13, 100%, $E$13)</f>
        <v>20.652100000000001</v>
      </c>
      <c r="K1058" s="68">
        <f>20.6534 * CHOOSE(CONTROL!$C$22, $C$13, 100%, $E$13)</f>
        <v>20.653400000000001</v>
      </c>
    </row>
    <row r="1059" spans="1:11" ht="15">
      <c r="A1059" s="13">
        <v>73355</v>
      </c>
      <c r="B1059" s="67">
        <f>18.4123 * CHOOSE(CONTROL!$C$22, $C$13, 100%, $E$13)</f>
        <v>18.412299999999998</v>
      </c>
      <c r="C1059" s="67">
        <f>18.4123 * CHOOSE(CONTROL!$C$22, $C$13, 100%, $E$13)</f>
        <v>18.412299999999998</v>
      </c>
      <c r="D1059" s="67">
        <f>18.4133 * CHOOSE(CONTROL!$C$22, $C$13, 100%, $E$13)</f>
        <v>18.4133</v>
      </c>
      <c r="E1059" s="68">
        <f>20.7323 * CHOOSE(CONTROL!$C$22, $C$13, 100%, $E$13)</f>
        <v>20.732299999999999</v>
      </c>
      <c r="F1059" s="68">
        <f>20.7323 * CHOOSE(CONTROL!$C$22, $C$13, 100%, $E$13)</f>
        <v>20.732299999999999</v>
      </c>
      <c r="G1059" s="68">
        <f>20.7336 * CHOOSE(CONTROL!$C$22, $C$13, 100%, $E$13)</f>
        <v>20.733599999999999</v>
      </c>
      <c r="H1059" s="68">
        <f>34.2452* CHOOSE(CONTROL!$C$22, $C$13, 100%, $E$13)</f>
        <v>34.245199999999997</v>
      </c>
      <c r="I1059" s="68">
        <f>34.2464 * CHOOSE(CONTROL!$C$22, $C$13, 100%, $E$13)</f>
        <v>34.246400000000001</v>
      </c>
      <c r="J1059" s="68">
        <f>20.7323 * CHOOSE(CONTROL!$C$22, $C$13, 100%, $E$13)</f>
        <v>20.732299999999999</v>
      </c>
      <c r="K1059" s="68">
        <f>20.7336 * CHOOSE(CONTROL!$C$22, $C$13, 100%, $E$13)</f>
        <v>20.733599999999999</v>
      </c>
    </row>
    <row r="1060" spans="1:11" ht="15">
      <c r="A1060" s="13">
        <v>73385</v>
      </c>
      <c r="B1060" s="67">
        <f>18.4123 * CHOOSE(CONTROL!$C$22, $C$13, 100%, $E$13)</f>
        <v>18.412299999999998</v>
      </c>
      <c r="C1060" s="67">
        <f>18.4123 * CHOOSE(CONTROL!$C$22, $C$13, 100%, $E$13)</f>
        <v>18.412299999999998</v>
      </c>
      <c r="D1060" s="67">
        <f>18.4133 * CHOOSE(CONTROL!$C$22, $C$13, 100%, $E$13)</f>
        <v>18.4133</v>
      </c>
      <c r="E1060" s="68">
        <f>20.5373 * CHOOSE(CONTROL!$C$22, $C$13, 100%, $E$13)</f>
        <v>20.537299999999998</v>
      </c>
      <c r="F1060" s="68">
        <f>20.5373 * CHOOSE(CONTROL!$C$22, $C$13, 100%, $E$13)</f>
        <v>20.537299999999998</v>
      </c>
      <c r="G1060" s="68">
        <f>20.5385 * CHOOSE(CONTROL!$C$22, $C$13, 100%, $E$13)</f>
        <v>20.538499999999999</v>
      </c>
      <c r="H1060" s="68">
        <f>34.3165* CHOOSE(CONTROL!$C$22, $C$13, 100%, $E$13)</f>
        <v>34.316499999999998</v>
      </c>
      <c r="I1060" s="68">
        <f>34.3178 * CHOOSE(CONTROL!$C$22, $C$13, 100%, $E$13)</f>
        <v>34.317799999999998</v>
      </c>
      <c r="J1060" s="68">
        <f>20.5373 * CHOOSE(CONTROL!$C$22, $C$13, 100%, $E$13)</f>
        <v>20.537299999999998</v>
      </c>
      <c r="K1060" s="68">
        <f>20.5385 * CHOOSE(CONTROL!$C$22, $C$13, 100%, $E$13)</f>
        <v>20.538499999999999</v>
      </c>
    </row>
    <row r="1061" spans="1:11" ht="15">
      <c r="A1061" s="10"/>
      <c r="B1061" s="67"/>
      <c r="C1061" s="67"/>
      <c r="D1061" s="67"/>
      <c r="E1061" s="68"/>
      <c r="F1061" s="68"/>
      <c r="G1061" s="68"/>
      <c r="H1061" s="68"/>
      <c r="I1061" s="68"/>
      <c r="J1061" s="68"/>
      <c r="K1061" s="68"/>
    </row>
    <row r="1062" spans="1:11" ht="15">
      <c r="A1062" s="3">
        <v>2014</v>
      </c>
      <c r="B1062" s="67">
        <f t="shared" ref="B1062:K1062" si="0">AVERAGE(B17:B28)</f>
        <v>2.4184833333333331</v>
      </c>
      <c r="C1062" s="67">
        <f t="shared" si="0"/>
        <v>2.4063500000000002</v>
      </c>
      <c r="D1062" s="67">
        <f t="shared" si="0"/>
        <v>2.4080083333333331</v>
      </c>
      <c r="E1062" s="67">
        <f t="shared" si="0"/>
        <v>3.2984333333333336</v>
      </c>
      <c r="F1062" s="67">
        <f t="shared" si="0"/>
        <v>3.4486666666666661</v>
      </c>
      <c r="G1062" s="67">
        <f t="shared" si="0"/>
        <v>3.4533583333333335</v>
      </c>
      <c r="H1062" s="67">
        <f t="shared" si="0"/>
        <v>5.5554083333333333</v>
      </c>
      <c r="I1062" s="67">
        <f t="shared" si="0"/>
        <v>5.5600833333333322</v>
      </c>
      <c r="J1062" s="67">
        <f t="shared" si="0"/>
        <v>3.2984333333333336</v>
      </c>
      <c r="K1062" s="67">
        <f t="shared" si="0"/>
        <v>3.3030916666666674</v>
      </c>
    </row>
    <row r="1063" spans="1:11" ht="15">
      <c r="A1063" s="3">
        <v>2015</v>
      </c>
      <c r="B1063" s="67">
        <f t="shared" ref="B1063:K1063" si="1">AVERAGE(B29:B40)</f>
        <v>2.5009166666666673</v>
      </c>
      <c r="C1063" s="67">
        <f t="shared" si="1"/>
        <v>2.5282416666666667</v>
      </c>
      <c r="D1063" s="67">
        <f t="shared" si="1"/>
        <v>2.5299083333333336</v>
      </c>
      <c r="E1063" s="67">
        <f t="shared" si="1"/>
        <v>3.2090166666666664</v>
      </c>
      <c r="F1063" s="67">
        <f t="shared" si="1"/>
        <v>3.254</v>
      </c>
      <c r="G1063" s="67">
        <f t="shared" si="1"/>
        <v>3.2561333333333331</v>
      </c>
      <c r="H1063" s="67">
        <f t="shared" si="1"/>
        <v>5.4149000000000003</v>
      </c>
      <c r="I1063" s="67">
        <f t="shared" si="1"/>
        <v>5.4169916666666653</v>
      </c>
      <c r="J1063" s="67">
        <f t="shared" si="1"/>
        <v>3.2090166666666664</v>
      </c>
      <c r="K1063" s="67">
        <f t="shared" si="1"/>
        <v>3.2111499999999999</v>
      </c>
    </row>
    <row r="1064" spans="1:11" ht="15">
      <c r="A1064" s="3">
        <v>2016</v>
      </c>
      <c r="B1064" s="67">
        <f t="shared" ref="B1064:K1064" si="2">AVERAGE(B41:B52)</f>
        <v>2.8711249999999997</v>
      </c>
      <c r="C1064" s="67">
        <f t="shared" si="2"/>
        <v>2.8711249999999997</v>
      </c>
      <c r="D1064" s="67">
        <f t="shared" si="2"/>
        <v>2.872783333333333</v>
      </c>
      <c r="E1064" s="67">
        <f t="shared" si="2"/>
        <v>3.3873333333333338</v>
      </c>
      <c r="F1064" s="67">
        <f t="shared" si="2"/>
        <v>3.4460000000000002</v>
      </c>
      <c r="G1064" s="67">
        <f t="shared" si="2"/>
        <v>3.4481333333333333</v>
      </c>
      <c r="H1064" s="67">
        <f t="shared" si="2"/>
        <v>5.551825</v>
      </c>
      <c r="I1064" s="67">
        <f t="shared" si="2"/>
        <v>5.5539416666666668</v>
      </c>
      <c r="J1064" s="67">
        <f t="shared" si="2"/>
        <v>3.3873333333333338</v>
      </c>
      <c r="K1064" s="67">
        <f t="shared" si="2"/>
        <v>3.3894666666666668</v>
      </c>
    </row>
    <row r="1065" spans="1:11" ht="15">
      <c r="A1065" s="3">
        <v>2017</v>
      </c>
      <c r="B1065" s="67">
        <f t="shared" ref="B1065:K1065" si="3">AVERAGE(B53:B64)</f>
        <v>3.0028000000000001</v>
      </c>
      <c r="C1065" s="67">
        <f t="shared" si="3"/>
        <v>3.0028000000000001</v>
      </c>
      <c r="D1065" s="67">
        <f t="shared" si="3"/>
        <v>3.0044749999999998</v>
      </c>
      <c r="E1065" s="67">
        <f t="shared" si="3"/>
        <v>3.5879916666666669</v>
      </c>
      <c r="F1065" s="67">
        <f t="shared" si="3"/>
        <v>3.5879916666666669</v>
      </c>
      <c r="G1065" s="67">
        <f t="shared" si="3"/>
        <v>3.5900916666666665</v>
      </c>
      <c r="H1065" s="67">
        <f t="shared" si="3"/>
        <v>5.6922249999999996</v>
      </c>
      <c r="I1065" s="67">
        <f t="shared" si="3"/>
        <v>5.6943333333333328</v>
      </c>
      <c r="J1065" s="67">
        <f t="shared" si="3"/>
        <v>3.5879916666666669</v>
      </c>
      <c r="K1065" s="67">
        <f t="shared" si="3"/>
        <v>3.5900916666666665</v>
      </c>
    </row>
    <row r="1066" spans="1:11" ht="15">
      <c r="A1066" s="3">
        <v>2018</v>
      </c>
      <c r="B1066" s="67">
        <f t="shared" ref="B1066:K1066" si="4">AVERAGE(B65:B76)</f>
        <v>3.1109000000000004</v>
      </c>
      <c r="C1066" s="67">
        <f t="shared" si="4"/>
        <v>3.1109000000000004</v>
      </c>
      <c r="D1066" s="67">
        <f t="shared" si="4"/>
        <v>3.1125583333333329</v>
      </c>
      <c r="E1066" s="67">
        <f t="shared" si="4"/>
        <v>3.7429000000000006</v>
      </c>
      <c r="F1066" s="67">
        <f t="shared" si="4"/>
        <v>3.7429000000000006</v>
      </c>
      <c r="G1066" s="67">
        <f t="shared" si="4"/>
        <v>3.7449999999999997</v>
      </c>
      <c r="H1066" s="67">
        <f t="shared" si="4"/>
        <v>5.8361749999999999</v>
      </c>
      <c r="I1066" s="67">
        <f t="shared" si="4"/>
        <v>5.838283333333333</v>
      </c>
      <c r="J1066" s="67">
        <f t="shared" si="4"/>
        <v>3.7429000000000006</v>
      </c>
      <c r="K1066" s="67">
        <f t="shared" si="4"/>
        <v>3.7449999999999997</v>
      </c>
    </row>
    <row r="1067" spans="1:11" ht="15">
      <c r="A1067" s="3">
        <v>2019</v>
      </c>
      <c r="B1067" s="67">
        <f t="shared" ref="B1067:K1067" si="5">AVERAGE(B77:B88)</f>
        <v>3.1375166666666665</v>
      </c>
      <c r="C1067" s="67">
        <f t="shared" si="5"/>
        <v>3.1375166666666665</v>
      </c>
      <c r="D1067" s="67">
        <f t="shared" si="5"/>
        <v>3.1391749999999994</v>
      </c>
      <c r="E1067" s="67">
        <f t="shared" si="5"/>
        <v>3.8573833333333334</v>
      </c>
      <c r="F1067" s="67">
        <f t="shared" si="5"/>
        <v>3.8573833333333334</v>
      </c>
      <c r="G1067" s="67">
        <f t="shared" si="5"/>
        <v>3.8594833333333334</v>
      </c>
      <c r="H1067" s="67">
        <f t="shared" si="5"/>
        <v>5.9837666666666669</v>
      </c>
      <c r="I1067" s="67">
        <f t="shared" si="5"/>
        <v>5.9858666666666656</v>
      </c>
      <c r="J1067" s="67">
        <f t="shared" si="5"/>
        <v>3.8573833333333334</v>
      </c>
      <c r="K1067" s="67">
        <f t="shared" si="5"/>
        <v>3.8594833333333334</v>
      </c>
    </row>
    <row r="1068" spans="1:11" ht="15">
      <c r="A1068" s="3">
        <v>2020</v>
      </c>
      <c r="B1068" s="67">
        <f t="shared" ref="B1068:K1068" si="6">AVERAGE(B89:B100)</f>
        <v>3.1985999999999994</v>
      </c>
      <c r="C1068" s="67">
        <f t="shared" si="6"/>
        <v>3.1985999999999994</v>
      </c>
      <c r="D1068" s="67">
        <f t="shared" si="6"/>
        <v>3.20025</v>
      </c>
      <c r="E1068" s="67">
        <f t="shared" si="6"/>
        <v>3.7282833333333336</v>
      </c>
      <c r="F1068" s="67">
        <f t="shared" si="6"/>
        <v>3.7282833333333336</v>
      </c>
      <c r="G1068" s="67">
        <f t="shared" si="6"/>
        <v>3.7303833333333341</v>
      </c>
      <c r="H1068" s="67">
        <f t="shared" si="6"/>
        <v>6.1350750000000005</v>
      </c>
      <c r="I1068" s="67">
        <f t="shared" si="6"/>
        <v>6.1372</v>
      </c>
      <c r="J1068" s="67">
        <f t="shared" si="6"/>
        <v>3.7282833333333336</v>
      </c>
      <c r="K1068" s="67">
        <f t="shared" si="6"/>
        <v>3.7303833333333341</v>
      </c>
    </row>
    <row r="1069" spans="1:11" ht="15">
      <c r="A1069" s="3">
        <v>2021</v>
      </c>
      <c r="B1069" s="67">
        <f t="shared" ref="B1069:K1069" si="7">AVERAGE(B101:B112)</f>
        <v>3.2682833333333332</v>
      </c>
      <c r="C1069" s="67">
        <f t="shared" si="7"/>
        <v>3.2682833333333332</v>
      </c>
      <c r="D1069" s="67">
        <f t="shared" si="7"/>
        <v>3.2699416666666665</v>
      </c>
      <c r="E1069" s="67">
        <f t="shared" si="7"/>
        <v>3.7707666666666668</v>
      </c>
      <c r="F1069" s="67">
        <f t="shared" si="7"/>
        <v>3.7707666666666668</v>
      </c>
      <c r="G1069" s="67">
        <f t="shared" si="7"/>
        <v>3.7728750000000004</v>
      </c>
      <c r="H1069" s="67">
        <f t="shared" si="7"/>
        <v>6.2902333333333331</v>
      </c>
      <c r="I1069" s="67">
        <f t="shared" si="7"/>
        <v>6.2923333333333327</v>
      </c>
      <c r="J1069" s="67">
        <f t="shared" si="7"/>
        <v>3.7707666666666668</v>
      </c>
      <c r="K1069" s="67">
        <f t="shared" si="7"/>
        <v>3.7728750000000004</v>
      </c>
    </row>
    <row r="1070" spans="1:11" ht="15">
      <c r="A1070" s="3">
        <v>2022</v>
      </c>
      <c r="B1070" s="67">
        <f t="shared" ref="B1070:K1070" si="8">AVERAGE(B113:B124)</f>
        <v>3.3391416666666669</v>
      </c>
      <c r="C1070" s="67">
        <f t="shared" si="8"/>
        <v>3.3391416666666669</v>
      </c>
      <c r="D1070" s="67">
        <f t="shared" si="8"/>
        <v>3.3407999999999998</v>
      </c>
      <c r="E1070" s="67">
        <f t="shared" si="8"/>
        <v>3.944116666666666</v>
      </c>
      <c r="F1070" s="67">
        <f t="shared" si="8"/>
        <v>3.944116666666666</v>
      </c>
      <c r="G1070" s="67">
        <f t="shared" si="8"/>
        <v>3.9462500000000005</v>
      </c>
      <c r="H1070" s="67">
        <f t="shared" si="8"/>
        <v>6.4492916666666664</v>
      </c>
      <c r="I1070" s="67">
        <f t="shared" si="8"/>
        <v>6.4514083333333332</v>
      </c>
      <c r="J1070" s="67">
        <f t="shared" si="8"/>
        <v>3.944116666666666</v>
      </c>
      <c r="K1070" s="67">
        <f t="shared" si="8"/>
        <v>3.9462500000000005</v>
      </c>
    </row>
    <row r="1071" spans="1:11" ht="15">
      <c r="A1071" s="3">
        <v>2023</v>
      </c>
      <c r="B1071" s="67">
        <f t="shared" ref="B1071:K1071" si="9">AVERAGE(B125:B136)</f>
        <v>3.4119833333333336</v>
      </c>
      <c r="C1071" s="67">
        <f t="shared" si="9"/>
        <v>3.4119833333333336</v>
      </c>
      <c r="D1071" s="67">
        <f t="shared" si="9"/>
        <v>3.4136583333333328</v>
      </c>
      <c r="E1071" s="67">
        <f t="shared" si="9"/>
        <v>4.0709833333333334</v>
      </c>
      <c r="F1071" s="67">
        <f t="shared" si="9"/>
        <v>4.0709833333333334</v>
      </c>
      <c r="G1071" s="67">
        <f t="shared" si="9"/>
        <v>4.0730916666666666</v>
      </c>
      <c r="H1071" s="67">
        <f t="shared" si="9"/>
        <v>6.6123833333333337</v>
      </c>
      <c r="I1071" s="67">
        <f t="shared" si="9"/>
        <v>6.6145000000000005</v>
      </c>
      <c r="J1071" s="67">
        <f t="shared" si="9"/>
        <v>4.0709833333333334</v>
      </c>
      <c r="K1071" s="67">
        <f t="shared" si="9"/>
        <v>4.0730916666666666</v>
      </c>
    </row>
    <row r="1072" spans="1:11" ht="15">
      <c r="A1072" s="3">
        <v>2024</v>
      </c>
      <c r="B1072" s="67">
        <f t="shared" ref="B1072:K1072" si="10">AVERAGE(B137:B148)</f>
        <v>3.4898833333333328</v>
      </c>
      <c r="C1072" s="67">
        <f t="shared" si="10"/>
        <v>3.4898833333333328</v>
      </c>
      <c r="D1072" s="67">
        <f t="shared" si="10"/>
        <v>3.4915583333333333</v>
      </c>
      <c r="E1072" s="67">
        <f t="shared" si="10"/>
        <v>4.1558083333333329</v>
      </c>
      <c r="F1072" s="67">
        <f t="shared" si="10"/>
        <v>4.1558083333333329</v>
      </c>
      <c r="G1072" s="67">
        <f t="shared" si="10"/>
        <v>4.157891666666667</v>
      </c>
      <c r="H1072" s="67">
        <f t="shared" si="10"/>
        <v>6.779608333333333</v>
      </c>
      <c r="I1072" s="67">
        <f t="shared" si="10"/>
        <v>6.7817166666666653</v>
      </c>
      <c r="J1072" s="67">
        <f t="shared" si="10"/>
        <v>4.1558083333333329</v>
      </c>
      <c r="K1072" s="67">
        <f t="shared" si="10"/>
        <v>4.157891666666667</v>
      </c>
    </row>
    <row r="1073" spans="1:11" ht="15">
      <c r="A1073" s="3">
        <v>2025</v>
      </c>
      <c r="B1073" s="67">
        <f t="shared" ref="B1073:K1073" si="11">AVERAGE(B149:B160)</f>
        <v>3.5713666666666675</v>
      </c>
      <c r="C1073" s="67">
        <f t="shared" si="11"/>
        <v>3.5713666666666675</v>
      </c>
      <c r="D1073" s="67">
        <f t="shared" si="11"/>
        <v>3.5730333333333335</v>
      </c>
      <c r="E1073" s="67">
        <f t="shared" si="11"/>
        <v>4.2415750000000001</v>
      </c>
      <c r="F1073" s="67">
        <f t="shared" si="11"/>
        <v>4.2415750000000001</v>
      </c>
      <c r="G1073" s="67">
        <f t="shared" si="11"/>
        <v>4.2436750000000005</v>
      </c>
      <c r="H1073" s="67">
        <f t="shared" si="11"/>
        <v>6.9510499999999995</v>
      </c>
      <c r="I1073" s="67">
        <f t="shared" si="11"/>
        <v>6.9531833333333326</v>
      </c>
      <c r="J1073" s="67">
        <f t="shared" si="11"/>
        <v>4.2415750000000001</v>
      </c>
      <c r="K1073" s="67">
        <f t="shared" si="11"/>
        <v>4.2436750000000005</v>
      </c>
    </row>
    <row r="1074" spans="1:11" ht="15">
      <c r="A1074" s="3">
        <v>2026</v>
      </c>
      <c r="B1074" s="67">
        <f t="shared" ref="B1074:K1074" si="12">AVERAGE(B161:B172)</f>
        <v>3.6529916666666669</v>
      </c>
      <c r="C1074" s="67">
        <f t="shared" si="12"/>
        <v>3.6529916666666669</v>
      </c>
      <c r="D1074" s="67">
        <f t="shared" si="12"/>
        <v>3.6546583333333325</v>
      </c>
      <c r="E1074" s="67">
        <f t="shared" si="12"/>
        <v>4.3426083333333336</v>
      </c>
      <c r="F1074" s="67">
        <f t="shared" si="12"/>
        <v>4.3426083333333336</v>
      </c>
      <c r="G1074" s="67">
        <f t="shared" si="12"/>
        <v>4.3447249999999995</v>
      </c>
      <c r="H1074" s="67">
        <f t="shared" si="12"/>
        <v>7.1268249999999993</v>
      </c>
      <c r="I1074" s="67">
        <f t="shared" si="12"/>
        <v>7.1289416666666661</v>
      </c>
      <c r="J1074" s="67">
        <f t="shared" si="12"/>
        <v>4.3426083333333336</v>
      </c>
      <c r="K1074" s="67">
        <f t="shared" si="12"/>
        <v>4.3447249999999995</v>
      </c>
    </row>
    <row r="1075" spans="1:11" ht="15">
      <c r="A1075" s="3">
        <v>2027</v>
      </c>
      <c r="B1075" s="67">
        <f t="shared" ref="B1075:K1075" si="13">AVERAGE(B173:B184)</f>
        <v>3.7325916666666674</v>
      </c>
      <c r="C1075" s="67">
        <f t="shared" si="13"/>
        <v>3.7325916666666674</v>
      </c>
      <c r="D1075" s="67">
        <f t="shared" si="13"/>
        <v>3.7342499999999994</v>
      </c>
      <c r="E1075" s="67">
        <f t="shared" si="13"/>
        <v>4.4449999999999994</v>
      </c>
      <c r="F1075" s="67">
        <f t="shared" si="13"/>
        <v>4.4449999999999994</v>
      </c>
      <c r="G1075" s="67">
        <f t="shared" si="13"/>
        <v>4.4471083333333334</v>
      </c>
      <c r="H1075" s="67">
        <f t="shared" si="13"/>
        <v>7.3070666666666684</v>
      </c>
      <c r="I1075" s="67">
        <f t="shared" si="13"/>
        <v>7.3091583333333334</v>
      </c>
      <c r="J1075" s="67">
        <f t="shared" si="13"/>
        <v>4.4449999999999994</v>
      </c>
      <c r="K1075" s="67">
        <f t="shared" si="13"/>
        <v>4.4471083333333334</v>
      </c>
    </row>
    <row r="1076" spans="1:11" ht="15">
      <c r="A1076" s="3">
        <v>2028</v>
      </c>
      <c r="B1076" s="67">
        <f t="shared" ref="B1076:K1076" si="14">AVERAGE(B185:B196)</f>
        <v>3.8206500000000001</v>
      </c>
      <c r="C1076" s="67">
        <f t="shared" si="14"/>
        <v>3.8206500000000001</v>
      </c>
      <c r="D1076" s="67">
        <f t="shared" si="14"/>
        <v>3.822316666666667</v>
      </c>
      <c r="E1076" s="67">
        <f t="shared" si="14"/>
        <v>4.5496749999999997</v>
      </c>
      <c r="F1076" s="67">
        <f t="shared" si="14"/>
        <v>4.5496749999999997</v>
      </c>
      <c r="G1076" s="67">
        <f t="shared" si="14"/>
        <v>4.5517750000000001</v>
      </c>
      <c r="H1076" s="67">
        <f t="shared" si="14"/>
        <v>7.4918499999999995</v>
      </c>
      <c r="I1076" s="67">
        <f t="shared" si="14"/>
        <v>7.4939583333333344</v>
      </c>
      <c r="J1076" s="67">
        <f t="shared" si="14"/>
        <v>4.5496749999999997</v>
      </c>
      <c r="K1076" s="67">
        <f t="shared" si="14"/>
        <v>4.5517750000000001</v>
      </c>
    </row>
    <row r="1077" spans="1:11" ht="15">
      <c r="A1077" s="3">
        <v>2029</v>
      </c>
      <c r="B1077" s="67">
        <f t="shared" ref="B1077:K1077" si="15">AVERAGE(B197:B208)</f>
        <v>3.9070166666666659</v>
      </c>
      <c r="C1077" s="67">
        <f t="shared" si="15"/>
        <v>3.9070166666666659</v>
      </c>
      <c r="D1077" s="67">
        <f t="shared" si="15"/>
        <v>3.9086916666666665</v>
      </c>
      <c r="E1077" s="67">
        <f t="shared" si="15"/>
        <v>4.6572416666666667</v>
      </c>
      <c r="F1077" s="67">
        <f t="shared" si="15"/>
        <v>4.6572416666666667</v>
      </c>
      <c r="G1077" s="67">
        <f t="shared" si="15"/>
        <v>4.6593583333333335</v>
      </c>
      <c r="H1077" s="67">
        <f t="shared" si="15"/>
        <v>7.681308333333333</v>
      </c>
      <c r="I1077" s="67">
        <f t="shared" si="15"/>
        <v>7.6834083333333325</v>
      </c>
      <c r="J1077" s="67">
        <f t="shared" si="15"/>
        <v>4.6572416666666667</v>
      </c>
      <c r="K1077" s="67">
        <f t="shared" si="15"/>
        <v>4.6593583333333335</v>
      </c>
    </row>
    <row r="1078" spans="1:11" ht="15">
      <c r="A1078" s="3">
        <v>2030</v>
      </c>
      <c r="B1078" s="67">
        <f t="shared" ref="B1078:K1078" si="16">AVERAGE(B209:B220)</f>
        <v>3.998324999999999</v>
      </c>
      <c r="C1078" s="67">
        <f t="shared" si="16"/>
        <v>3.998324999999999</v>
      </c>
      <c r="D1078" s="67">
        <f t="shared" si="16"/>
        <v>3.9999916666666668</v>
      </c>
      <c r="E1078" s="67">
        <f t="shared" si="16"/>
        <v>4.7692916666666667</v>
      </c>
      <c r="F1078" s="67">
        <f t="shared" si="16"/>
        <v>4.7692916666666667</v>
      </c>
      <c r="G1078" s="67">
        <f t="shared" si="16"/>
        <v>4.7714083333333326</v>
      </c>
      <c r="H1078" s="67">
        <f t="shared" si="16"/>
        <v>7.8755499999999996</v>
      </c>
      <c r="I1078" s="67">
        <f t="shared" si="16"/>
        <v>7.8776583333333328</v>
      </c>
      <c r="J1078" s="67">
        <f t="shared" si="16"/>
        <v>4.7692916666666667</v>
      </c>
      <c r="K1078" s="67">
        <f t="shared" si="16"/>
        <v>4.7714083333333326</v>
      </c>
    </row>
    <row r="1079" spans="1:11" ht="15">
      <c r="A1079" s="3">
        <v>2031</v>
      </c>
      <c r="B1079" s="67">
        <f t="shared" ref="B1079:K1079" si="17">AVERAGE(B221:B232)</f>
        <v>4.0933833333333327</v>
      </c>
      <c r="C1079" s="67">
        <f t="shared" si="17"/>
        <v>4.0933833333333327</v>
      </c>
      <c r="D1079" s="67">
        <f t="shared" si="17"/>
        <v>4.0950416666666669</v>
      </c>
      <c r="E1079" s="67">
        <f t="shared" si="17"/>
        <v>4.915375</v>
      </c>
      <c r="F1079" s="67">
        <f t="shared" si="17"/>
        <v>4.915375</v>
      </c>
      <c r="G1079" s="67">
        <f t="shared" si="17"/>
        <v>4.9174833333333341</v>
      </c>
      <c r="H1079" s="67">
        <f t="shared" si="17"/>
        <v>8.0747083333333336</v>
      </c>
      <c r="I1079" s="67">
        <f t="shared" si="17"/>
        <v>8.0768249999999995</v>
      </c>
      <c r="J1079" s="67">
        <f t="shared" si="17"/>
        <v>4.915375</v>
      </c>
      <c r="K1079" s="67">
        <f t="shared" si="17"/>
        <v>4.9174833333333341</v>
      </c>
    </row>
    <row r="1080" spans="1:11" ht="15">
      <c r="A1080" s="3">
        <v>2032</v>
      </c>
      <c r="B1080" s="67">
        <f t="shared" ref="B1080:K1080" si="18">AVERAGE(B233:B244)</f>
        <v>4.1982249999999999</v>
      </c>
      <c r="C1080" s="67">
        <f t="shared" si="18"/>
        <v>4.1982249999999999</v>
      </c>
      <c r="D1080" s="67">
        <f t="shared" si="18"/>
        <v>4.1998749999999996</v>
      </c>
      <c r="E1080" s="67">
        <f t="shared" si="18"/>
        <v>5.0666166666666665</v>
      </c>
      <c r="F1080" s="67">
        <f t="shared" si="18"/>
        <v>5.0666166666666665</v>
      </c>
      <c r="G1080" s="67">
        <f t="shared" si="18"/>
        <v>5.0687083333333325</v>
      </c>
      <c r="H1080" s="67">
        <f t="shared" si="18"/>
        <v>8.278908333333332</v>
      </c>
      <c r="I1080" s="67">
        <f t="shared" si="18"/>
        <v>8.2810083333333342</v>
      </c>
      <c r="J1080" s="67">
        <f t="shared" si="18"/>
        <v>5.0666166666666665</v>
      </c>
      <c r="K1080" s="67">
        <f t="shared" si="18"/>
        <v>5.0687083333333325</v>
      </c>
    </row>
    <row r="1081" spans="1:11" ht="15">
      <c r="A1081" s="3">
        <v>2033</v>
      </c>
      <c r="B1081" s="67">
        <f t="shared" ref="B1081:K1081" si="19">AVERAGE(B245:B256)</f>
        <v>4.3121749999999999</v>
      </c>
      <c r="C1081" s="67">
        <f t="shared" si="19"/>
        <v>4.3121749999999999</v>
      </c>
      <c r="D1081" s="67">
        <f t="shared" si="19"/>
        <v>4.3138416666666659</v>
      </c>
      <c r="E1081" s="67">
        <f t="shared" si="19"/>
        <v>5.2221833333333327</v>
      </c>
      <c r="F1081" s="67">
        <f t="shared" si="19"/>
        <v>5.2221833333333327</v>
      </c>
      <c r="G1081" s="67">
        <f t="shared" si="19"/>
        <v>5.2242833333333332</v>
      </c>
      <c r="H1081" s="67">
        <f t="shared" si="19"/>
        <v>8.4882583333333343</v>
      </c>
      <c r="I1081" s="67">
        <f t="shared" si="19"/>
        <v>8.4903666666666666</v>
      </c>
      <c r="J1081" s="67">
        <f t="shared" si="19"/>
        <v>5.2221833333333327</v>
      </c>
      <c r="K1081" s="67">
        <f t="shared" si="19"/>
        <v>5.2242833333333332</v>
      </c>
    </row>
    <row r="1082" spans="1:11" ht="15">
      <c r="A1082" s="3">
        <v>2034</v>
      </c>
      <c r="B1082" s="67">
        <f t="shared" ref="B1082:K1082" si="20">AVERAGE(B257:B268)</f>
        <v>4.4314749999999998</v>
      </c>
      <c r="C1082" s="67">
        <f t="shared" si="20"/>
        <v>4.4314749999999998</v>
      </c>
      <c r="D1082" s="67">
        <f t="shared" si="20"/>
        <v>4.4331249999999995</v>
      </c>
      <c r="E1082" s="67">
        <f t="shared" si="20"/>
        <v>5.3829916666666664</v>
      </c>
      <c r="F1082" s="67">
        <f t="shared" si="20"/>
        <v>5.3829916666666664</v>
      </c>
      <c r="G1082" s="67">
        <f t="shared" si="20"/>
        <v>5.3850833333333332</v>
      </c>
      <c r="H1082" s="67">
        <f t="shared" si="20"/>
        <v>8.7029333333333323</v>
      </c>
      <c r="I1082" s="67">
        <f t="shared" si="20"/>
        <v>8.7050333333333327</v>
      </c>
      <c r="J1082" s="67">
        <f t="shared" si="20"/>
        <v>5.3829916666666664</v>
      </c>
      <c r="K1082" s="67">
        <f t="shared" si="20"/>
        <v>5.3850833333333332</v>
      </c>
    </row>
    <row r="1083" spans="1:11" ht="15">
      <c r="A1083" s="3">
        <v>2035</v>
      </c>
      <c r="B1083" s="67">
        <f t="shared" ref="B1083:K1083" si="21">AVERAGE(B269:B280)</f>
        <v>4.5522083333333327</v>
      </c>
      <c r="C1083" s="67">
        <f t="shared" si="21"/>
        <v>4.5522083333333327</v>
      </c>
      <c r="D1083" s="67">
        <f t="shared" si="21"/>
        <v>4.5538583333333333</v>
      </c>
      <c r="E1083" s="67">
        <f t="shared" si="21"/>
        <v>5.5499833333333326</v>
      </c>
      <c r="F1083" s="67">
        <f t="shared" si="21"/>
        <v>5.5499833333333326</v>
      </c>
      <c r="G1083" s="67">
        <f t="shared" si="21"/>
        <v>5.5520749999999994</v>
      </c>
      <c r="H1083" s="67">
        <f t="shared" si="21"/>
        <v>8.9230083333333337</v>
      </c>
      <c r="I1083" s="67">
        <f t="shared" si="21"/>
        <v>8.9251166666666659</v>
      </c>
      <c r="J1083" s="67">
        <f t="shared" si="21"/>
        <v>5.5499833333333326</v>
      </c>
      <c r="K1083" s="67">
        <f t="shared" si="21"/>
        <v>5.5520749999999994</v>
      </c>
    </row>
    <row r="1084" spans="1:11" ht="15">
      <c r="A1084" s="3">
        <v>2036</v>
      </c>
      <c r="B1084" s="67">
        <f t="shared" ref="B1084:K1084" si="22">AVERAGE(B281:B292)</f>
        <v>4.6735916666666668</v>
      </c>
      <c r="C1084" s="67">
        <f t="shared" si="22"/>
        <v>4.6735916666666668</v>
      </c>
      <c r="D1084" s="67">
        <f t="shared" si="22"/>
        <v>4.6752583333333337</v>
      </c>
      <c r="E1084" s="67">
        <f t="shared" si="22"/>
        <v>5.7116166666666652</v>
      </c>
      <c r="F1084" s="67">
        <f t="shared" si="22"/>
        <v>5.7116166666666652</v>
      </c>
      <c r="G1084" s="67">
        <f t="shared" si="22"/>
        <v>5.7137249999999993</v>
      </c>
      <c r="H1084" s="67">
        <f t="shared" si="22"/>
        <v>9.1486333333333327</v>
      </c>
      <c r="I1084" s="67">
        <f t="shared" si="22"/>
        <v>9.1507666666666658</v>
      </c>
      <c r="J1084" s="67">
        <f t="shared" si="22"/>
        <v>5.7116166666666652</v>
      </c>
      <c r="K1084" s="67">
        <f t="shared" si="22"/>
        <v>5.7137249999999993</v>
      </c>
    </row>
    <row r="1085" spans="1:11" ht="15">
      <c r="A1085" s="3">
        <v>2037</v>
      </c>
      <c r="B1085" s="67">
        <f t="shared" ref="B1085:K1085" si="23">AVERAGE(B293:B304)</f>
        <v>4.7968249999999992</v>
      </c>
      <c r="C1085" s="67">
        <f t="shared" si="23"/>
        <v>4.7968249999999992</v>
      </c>
      <c r="D1085" s="67">
        <f t="shared" si="23"/>
        <v>4.7984916666666662</v>
      </c>
      <c r="E1085" s="67">
        <f t="shared" si="23"/>
        <v>5.8677333333333328</v>
      </c>
      <c r="F1085" s="67">
        <f t="shared" si="23"/>
        <v>5.8677333333333328</v>
      </c>
      <c r="G1085" s="67">
        <f t="shared" si="23"/>
        <v>5.8698333333333332</v>
      </c>
      <c r="H1085" s="67">
        <f t="shared" si="23"/>
        <v>9.3800000000000008</v>
      </c>
      <c r="I1085" s="67">
        <f t="shared" si="23"/>
        <v>9.382125000000002</v>
      </c>
      <c r="J1085" s="67">
        <f t="shared" si="23"/>
        <v>5.8677333333333328</v>
      </c>
      <c r="K1085" s="67">
        <f t="shared" si="23"/>
        <v>5.8698333333333332</v>
      </c>
    </row>
    <row r="1086" spans="1:11" ht="15">
      <c r="A1086" s="3">
        <v>2038</v>
      </c>
      <c r="B1086" s="67">
        <f t="shared" ref="B1086:K1086" si="24">AVERAGE(B305:B316)</f>
        <v>4.9241666666666664</v>
      </c>
      <c r="C1086" s="67">
        <f t="shared" si="24"/>
        <v>4.9241666666666664</v>
      </c>
      <c r="D1086" s="67">
        <f t="shared" si="24"/>
        <v>4.925841666666666</v>
      </c>
      <c r="E1086" s="67">
        <f t="shared" si="24"/>
        <v>6.0242416666666658</v>
      </c>
      <c r="F1086" s="67">
        <f t="shared" si="24"/>
        <v>6.0242416666666658</v>
      </c>
      <c r="G1086" s="67">
        <f t="shared" si="24"/>
        <v>6.0263416666666663</v>
      </c>
      <c r="H1086" s="67">
        <f t="shared" si="24"/>
        <v>9.6172250000000012</v>
      </c>
      <c r="I1086" s="67">
        <f t="shared" si="24"/>
        <v>9.6193333333333335</v>
      </c>
      <c r="J1086" s="67">
        <f t="shared" si="24"/>
        <v>6.0242416666666658</v>
      </c>
      <c r="K1086" s="67">
        <f t="shared" si="24"/>
        <v>6.0263416666666663</v>
      </c>
    </row>
    <row r="1087" spans="1:11" ht="15">
      <c r="A1087" s="3">
        <v>2039</v>
      </c>
      <c r="B1087" s="67">
        <f t="shared" ref="B1087:K1087" si="25">AVERAGE(B317:B328)</f>
        <v>5.0543916666666666</v>
      </c>
      <c r="C1087" s="67">
        <f t="shared" si="25"/>
        <v>5.0543916666666666</v>
      </c>
      <c r="D1087" s="67">
        <f t="shared" si="25"/>
        <v>5.0560583333333335</v>
      </c>
      <c r="E1087" s="67">
        <f t="shared" si="25"/>
        <v>6.1721166666666667</v>
      </c>
      <c r="F1087" s="67">
        <f t="shared" si="25"/>
        <v>6.1721166666666667</v>
      </c>
      <c r="G1087" s="67">
        <f t="shared" si="25"/>
        <v>6.1742166666666662</v>
      </c>
      <c r="H1087" s="67">
        <f t="shared" si="25"/>
        <v>9.8604250000000011</v>
      </c>
      <c r="I1087" s="67">
        <f t="shared" si="25"/>
        <v>9.8625333333333334</v>
      </c>
      <c r="J1087" s="67">
        <f t="shared" si="25"/>
        <v>6.1721166666666667</v>
      </c>
      <c r="K1087" s="67">
        <f t="shared" si="25"/>
        <v>6.1742166666666662</v>
      </c>
    </row>
    <row r="1088" spans="1:11" ht="15">
      <c r="A1088" s="3">
        <v>2040</v>
      </c>
      <c r="B1088" s="67">
        <f t="shared" ref="B1088:K1088" si="26">AVERAGE(B329:B340)</f>
        <v>5.1875999999999998</v>
      </c>
      <c r="C1088" s="67">
        <f t="shared" si="26"/>
        <v>5.1875999999999998</v>
      </c>
      <c r="D1088" s="67">
        <f t="shared" si="26"/>
        <v>5.1892583333333322</v>
      </c>
      <c r="E1088" s="67">
        <f t="shared" si="26"/>
        <v>6.3228333333333326</v>
      </c>
      <c r="F1088" s="67">
        <f t="shared" si="26"/>
        <v>6.3228333333333326</v>
      </c>
      <c r="G1088" s="67">
        <f t="shared" si="26"/>
        <v>6.3249500000000003</v>
      </c>
      <c r="H1088" s="67">
        <f t="shared" si="26"/>
        <v>10.109775000000001</v>
      </c>
      <c r="I1088" s="67">
        <f t="shared" si="26"/>
        <v>10.111883333333333</v>
      </c>
      <c r="J1088" s="67">
        <f t="shared" si="26"/>
        <v>6.3228333333333326</v>
      </c>
      <c r="K1088" s="67">
        <f t="shared" si="26"/>
        <v>6.3249500000000003</v>
      </c>
    </row>
    <row r="1089" spans="1:11" ht="15">
      <c r="A1089" s="3">
        <v>2041</v>
      </c>
      <c r="B1089" s="67">
        <f t="shared" ref="B1089:K1089" si="27">AVERAGE(B341:B352)</f>
        <v>5.324349999999999</v>
      </c>
      <c r="C1089" s="67">
        <f t="shared" si="27"/>
        <v>5.324349999999999</v>
      </c>
      <c r="D1089" s="67">
        <f t="shared" si="27"/>
        <v>5.3259999999999996</v>
      </c>
      <c r="E1089" s="67">
        <f t="shared" si="27"/>
        <v>6.4772500000000006</v>
      </c>
      <c r="F1089" s="67">
        <f t="shared" si="27"/>
        <v>6.4772500000000006</v>
      </c>
      <c r="G1089" s="67">
        <f t="shared" si="27"/>
        <v>6.4793666666666665</v>
      </c>
      <c r="H1089" s="67">
        <f t="shared" si="27"/>
        <v>10.365450000000001</v>
      </c>
      <c r="I1089" s="67">
        <f t="shared" si="27"/>
        <v>10.367533333333332</v>
      </c>
      <c r="J1089" s="67">
        <f t="shared" si="27"/>
        <v>6.4772500000000006</v>
      </c>
      <c r="K1089" s="67">
        <f t="shared" si="27"/>
        <v>6.4793666666666665</v>
      </c>
    </row>
    <row r="1090" spans="1:11" ht="15">
      <c r="A1090" s="3">
        <v>2042</v>
      </c>
      <c r="B1090" s="67">
        <f t="shared" ref="B1090:K1090" si="28">AVERAGE(B353:B364)</f>
        <v>5.4647166666666651</v>
      </c>
      <c r="C1090" s="67">
        <f t="shared" si="28"/>
        <v>5.4647166666666651</v>
      </c>
      <c r="D1090" s="67">
        <f t="shared" si="28"/>
        <v>5.4663749999999993</v>
      </c>
      <c r="E1090" s="67">
        <f t="shared" si="28"/>
        <v>6.6354583333333323</v>
      </c>
      <c r="F1090" s="67">
        <f t="shared" si="28"/>
        <v>6.6354583333333323</v>
      </c>
      <c r="G1090" s="67">
        <f t="shared" si="28"/>
        <v>6.6375750000000009</v>
      </c>
      <c r="H1090" s="67">
        <f t="shared" si="28"/>
        <v>10.627558333333333</v>
      </c>
      <c r="I1090" s="67">
        <f t="shared" si="28"/>
        <v>10.629666666666667</v>
      </c>
      <c r="J1090" s="67">
        <f t="shared" si="28"/>
        <v>6.6354583333333323</v>
      </c>
      <c r="K1090" s="67">
        <f t="shared" si="28"/>
        <v>6.6375750000000009</v>
      </c>
    </row>
    <row r="1091" spans="1:11" ht="15">
      <c r="A1091" s="3">
        <v>2043</v>
      </c>
      <c r="B1091" s="67">
        <f t="shared" ref="B1091:K1091" si="29">AVERAGE(B365:B376)</f>
        <v>5.6088500000000003</v>
      </c>
      <c r="C1091" s="67">
        <f t="shared" si="29"/>
        <v>5.6088500000000003</v>
      </c>
      <c r="D1091" s="67">
        <f t="shared" si="29"/>
        <v>5.6104916666666673</v>
      </c>
      <c r="E1091" s="67">
        <f t="shared" si="29"/>
        <v>6.7975583333333347</v>
      </c>
      <c r="F1091" s="67">
        <f t="shared" si="29"/>
        <v>6.7975583333333347</v>
      </c>
      <c r="G1091" s="67">
        <f t="shared" si="29"/>
        <v>6.7996500000000006</v>
      </c>
      <c r="H1091" s="67">
        <f t="shared" si="29"/>
        <v>10.896333333333331</v>
      </c>
      <c r="I1091" s="67">
        <f t="shared" si="29"/>
        <v>10.898424999999998</v>
      </c>
      <c r="J1091" s="67">
        <f t="shared" si="29"/>
        <v>6.7975583333333347</v>
      </c>
      <c r="K1091" s="67">
        <f t="shared" si="29"/>
        <v>6.7996500000000006</v>
      </c>
    </row>
    <row r="1092" spans="1:11" ht="15">
      <c r="A1092" s="3">
        <v>2044</v>
      </c>
      <c r="B1092" s="67">
        <f t="shared" ref="B1092:K1092" si="30">AVERAGE(B377:B388)</f>
        <v>5.7567750000000011</v>
      </c>
      <c r="C1092" s="67">
        <f t="shared" si="30"/>
        <v>5.7567750000000011</v>
      </c>
      <c r="D1092" s="67">
        <f t="shared" si="30"/>
        <v>5.7584499999999998</v>
      </c>
      <c r="E1092" s="67">
        <f t="shared" si="30"/>
        <v>6.9636083333333332</v>
      </c>
      <c r="F1092" s="67">
        <f t="shared" si="30"/>
        <v>6.9636083333333332</v>
      </c>
      <c r="G1092" s="67">
        <f t="shared" si="30"/>
        <v>6.9657249999999999</v>
      </c>
      <c r="H1092" s="67">
        <f t="shared" si="30"/>
        <v>11.171875</v>
      </c>
      <c r="I1092" s="67">
        <f t="shared" si="30"/>
        <v>11.173974999999999</v>
      </c>
      <c r="J1092" s="67">
        <f t="shared" si="30"/>
        <v>6.9636083333333332</v>
      </c>
      <c r="K1092" s="67">
        <f t="shared" si="30"/>
        <v>6.9657249999999999</v>
      </c>
    </row>
    <row r="1093" spans="1:11" ht="15">
      <c r="A1093" s="3">
        <v>2045</v>
      </c>
      <c r="B1093" s="67">
        <f t="shared" ref="B1093:K1093" si="31">AVERAGE(B389:B400)</f>
        <v>5.9086583333333325</v>
      </c>
      <c r="C1093" s="67">
        <f t="shared" si="31"/>
        <v>5.9086583333333325</v>
      </c>
      <c r="D1093" s="67">
        <f t="shared" si="31"/>
        <v>5.9103333333333339</v>
      </c>
      <c r="E1093" s="67">
        <f t="shared" si="31"/>
        <v>7.13375</v>
      </c>
      <c r="F1093" s="67">
        <f t="shared" si="31"/>
        <v>7.13375</v>
      </c>
      <c r="G1093" s="67">
        <f t="shared" si="31"/>
        <v>7.1358583333333341</v>
      </c>
      <c r="H1093" s="67">
        <f t="shared" si="31"/>
        <v>11.454391666666668</v>
      </c>
      <c r="I1093" s="67">
        <f t="shared" si="31"/>
        <v>11.456491666666667</v>
      </c>
      <c r="J1093" s="67">
        <f t="shared" si="31"/>
        <v>7.13375</v>
      </c>
      <c r="K1093" s="67">
        <f t="shared" si="31"/>
        <v>7.1358583333333341</v>
      </c>
    </row>
    <row r="1094" spans="1:11" ht="15">
      <c r="A1094" s="3">
        <v>2046</v>
      </c>
      <c r="B1094" s="67">
        <f t="shared" ref="B1094:K1094" si="32">AVERAGE(B401:B412)</f>
        <v>6.0645833333333341</v>
      </c>
      <c r="C1094" s="67">
        <f t="shared" si="32"/>
        <v>6.0645833333333341</v>
      </c>
      <c r="D1094" s="67">
        <f t="shared" si="32"/>
        <v>6.0662583333333338</v>
      </c>
      <c r="E1094" s="67">
        <f t="shared" si="32"/>
        <v>7.308083333333335</v>
      </c>
      <c r="F1094" s="67">
        <f t="shared" si="32"/>
        <v>7.308083333333335</v>
      </c>
      <c r="G1094" s="67">
        <f t="shared" si="32"/>
        <v>7.3101666666666674</v>
      </c>
      <c r="H1094" s="67">
        <f t="shared" si="32"/>
        <v>11.744066666666667</v>
      </c>
      <c r="I1094" s="67">
        <f t="shared" si="32"/>
        <v>11.746158333333334</v>
      </c>
      <c r="J1094" s="67">
        <f t="shared" si="32"/>
        <v>7.308083333333335</v>
      </c>
      <c r="K1094" s="67">
        <f t="shared" si="32"/>
        <v>7.3101666666666674</v>
      </c>
    </row>
    <row r="1095" spans="1:11" ht="15">
      <c r="A1095" s="3">
        <v>2047</v>
      </c>
      <c r="B1095" s="67">
        <f t="shared" ref="B1095:K1095" si="33">AVERAGE(B413:B424)</f>
        <v>6.2246583333333332</v>
      </c>
      <c r="C1095" s="67">
        <f t="shared" si="33"/>
        <v>6.2246583333333332</v>
      </c>
      <c r="D1095" s="67">
        <f t="shared" si="33"/>
        <v>6.2263416666666664</v>
      </c>
      <c r="E1095" s="67">
        <f t="shared" si="33"/>
        <v>7.4866750000000009</v>
      </c>
      <c r="F1095" s="67">
        <f t="shared" si="33"/>
        <v>7.4866750000000009</v>
      </c>
      <c r="G1095" s="67">
        <f t="shared" si="33"/>
        <v>7.488741666666666</v>
      </c>
      <c r="H1095" s="67">
        <f t="shared" si="33"/>
        <v>12.041049999999998</v>
      </c>
      <c r="I1095" s="67">
        <f t="shared" si="33"/>
        <v>12.043141666666665</v>
      </c>
      <c r="J1095" s="67">
        <f t="shared" si="33"/>
        <v>7.4866750000000009</v>
      </c>
      <c r="K1095" s="67">
        <f t="shared" si="33"/>
        <v>7.488741666666666</v>
      </c>
    </row>
    <row r="1096" spans="1:11" ht="15">
      <c r="A1096" s="3">
        <v>2048</v>
      </c>
      <c r="B1096" s="67">
        <f t="shared" ref="B1096:K1096" si="34">AVERAGE(B425:B436)</f>
        <v>6.3890083333333338</v>
      </c>
      <c r="C1096" s="67">
        <f t="shared" si="34"/>
        <v>6.3890083333333338</v>
      </c>
      <c r="D1096" s="67">
        <f t="shared" si="34"/>
        <v>6.3906833333333317</v>
      </c>
      <c r="E1096" s="67">
        <f t="shared" si="34"/>
        <v>7.6696083333333327</v>
      </c>
      <c r="F1096" s="67">
        <f t="shared" si="34"/>
        <v>7.6696083333333327</v>
      </c>
      <c r="G1096" s="67">
        <f t="shared" si="34"/>
        <v>7.6717249999999995</v>
      </c>
      <c r="H1096" s="67">
        <f t="shared" si="34"/>
        <v>12.345541666666668</v>
      </c>
      <c r="I1096" s="67">
        <f t="shared" si="34"/>
        <v>12.347641666666668</v>
      </c>
      <c r="J1096" s="67">
        <f t="shared" si="34"/>
        <v>7.6696083333333327</v>
      </c>
      <c r="K1096" s="67">
        <f t="shared" si="34"/>
        <v>7.6717249999999995</v>
      </c>
    </row>
    <row r="1097" spans="1:11" ht="15">
      <c r="A1097" s="3">
        <v>2049</v>
      </c>
      <c r="B1097" s="67">
        <f t="shared" ref="B1097:K1097" si="35">AVERAGE(B437:B448)</f>
        <v>6.5577333333333323</v>
      </c>
      <c r="C1097" s="67">
        <f t="shared" si="35"/>
        <v>6.5577333333333323</v>
      </c>
      <c r="D1097" s="67">
        <f t="shared" si="35"/>
        <v>6.5593916666666674</v>
      </c>
      <c r="E1097" s="67">
        <f t="shared" si="35"/>
        <v>7.8570916666666655</v>
      </c>
      <c r="F1097" s="67">
        <f t="shared" si="35"/>
        <v>7.8570916666666655</v>
      </c>
      <c r="G1097" s="67">
        <f t="shared" si="35"/>
        <v>7.859208333333334</v>
      </c>
      <c r="H1097" s="67">
        <f t="shared" si="35"/>
        <v>12.65775</v>
      </c>
      <c r="I1097" s="67">
        <f t="shared" si="35"/>
        <v>12.659833333333331</v>
      </c>
      <c r="J1097" s="67">
        <f t="shared" si="35"/>
        <v>7.8570916666666655</v>
      </c>
      <c r="K1097" s="67">
        <f t="shared" si="35"/>
        <v>7.859208333333334</v>
      </c>
    </row>
    <row r="1098" spans="1:11" ht="15">
      <c r="A1098" s="3">
        <v>2050</v>
      </c>
      <c r="B1098" s="67">
        <f t="shared" ref="B1098:K1098" si="36">AVERAGE(B449:B460)</f>
        <v>6.7309499999999991</v>
      </c>
      <c r="C1098" s="67">
        <f t="shared" si="36"/>
        <v>6.7309499999999991</v>
      </c>
      <c r="D1098" s="67">
        <f t="shared" si="36"/>
        <v>6.7326083333333324</v>
      </c>
      <c r="E1098" s="67">
        <f t="shared" si="36"/>
        <v>8.0491666666666681</v>
      </c>
      <c r="F1098" s="67">
        <f t="shared" si="36"/>
        <v>8.0491666666666681</v>
      </c>
      <c r="G1098" s="67">
        <f t="shared" si="36"/>
        <v>8.0512666666666668</v>
      </c>
      <c r="H1098" s="67">
        <f t="shared" si="36"/>
        <v>12.977841666666668</v>
      </c>
      <c r="I1098" s="67">
        <f t="shared" si="36"/>
        <v>12.979949999999997</v>
      </c>
      <c r="J1098" s="67">
        <f t="shared" si="36"/>
        <v>8.0491666666666681</v>
      </c>
      <c r="K1098" s="67">
        <f t="shared" si="36"/>
        <v>8.0512666666666668</v>
      </c>
    </row>
    <row r="1099" spans="1:11" ht="15">
      <c r="A1099" s="3">
        <v>2051</v>
      </c>
      <c r="B1099" s="67">
        <f t="shared" ref="B1099:K1099" si="37">AVERAGE(B461:B472)</f>
        <v>6.9087916666666667</v>
      </c>
      <c r="C1099" s="67">
        <f t="shared" si="37"/>
        <v>6.9087916666666667</v>
      </c>
      <c r="D1099" s="67">
        <f t="shared" si="37"/>
        <v>6.91045</v>
      </c>
      <c r="E1099" s="67">
        <f t="shared" si="37"/>
        <v>8.2459583333333324</v>
      </c>
      <c r="F1099" s="67">
        <f t="shared" si="37"/>
        <v>8.2459583333333324</v>
      </c>
      <c r="G1099" s="67">
        <f t="shared" si="37"/>
        <v>8.2480583333333328</v>
      </c>
      <c r="H1099" s="67">
        <f t="shared" si="37"/>
        <v>13.306033333333334</v>
      </c>
      <c r="I1099" s="67">
        <f t="shared" si="37"/>
        <v>13.308116666666665</v>
      </c>
      <c r="J1099" s="67">
        <f t="shared" si="37"/>
        <v>8.2459583333333324</v>
      </c>
      <c r="K1099" s="67">
        <f t="shared" si="37"/>
        <v>8.2480583333333328</v>
      </c>
    </row>
    <row r="1100" spans="1:11" ht="15">
      <c r="A1100" s="3">
        <v>2052</v>
      </c>
      <c r="B1100" s="67">
        <f t="shared" ref="B1100:K1100" si="38">AVERAGE(B473:B484)</f>
        <v>7.0913833333333329</v>
      </c>
      <c r="C1100" s="67">
        <f t="shared" si="38"/>
        <v>7.0913833333333329</v>
      </c>
      <c r="D1100" s="67">
        <f t="shared" si="38"/>
        <v>7.0930416666666671</v>
      </c>
      <c r="E1100" s="67">
        <f t="shared" si="38"/>
        <v>8.4475583333333333</v>
      </c>
      <c r="F1100" s="67">
        <f t="shared" si="38"/>
        <v>8.4475583333333333</v>
      </c>
      <c r="G1100" s="67">
        <f t="shared" si="38"/>
        <v>8.4496750000000009</v>
      </c>
      <c r="H1100" s="67">
        <f t="shared" si="38"/>
        <v>13.642516666666667</v>
      </c>
      <c r="I1100" s="67">
        <f t="shared" si="38"/>
        <v>13.644625000000003</v>
      </c>
      <c r="J1100" s="67">
        <f t="shared" si="38"/>
        <v>8.4475583333333333</v>
      </c>
      <c r="K1100" s="67">
        <f t="shared" si="38"/>
        <v>8.4496750000000009</v>
      </c>
    </row>
    <row r="1101" spans="1:11" ht="15">
      <c r="A1101" s="3">
        <v>2053</v>
      </c>
      <c r="B1101" s="67">
        <f t="shared" ref="B1101:K1101" si="39">AVERAGE(B485:B496)</f>
        <v>7.2788166666666667</v>
      </c>
      <c r="C1101" s="67">
        <f t="shared" si="39"/>
        <v>7.2788166666666667</v>
      </c>
      <c r="D1101" s="67">
        <f t="shared" si="39"/>
        <v>7.2804916666666672</v>
      </c>
      <c r="E1101" s="67">
        <f t="shared" si="39"/>
        <v>8.6541250000000005</v>
      </c>
      <c r="F1101" s="67">
        <f t="shared" si="39"/>
        <v>8.6541250000000005</v>
      </c>
      <c r="G1101" s="67">
        <f t="shared" si="39"/>
        <v>8.6562416666666664</v>
      </c>
      <c r="H1101" s="67">
        <f t="shared" si="39"/>
        <v>13.987525</v>
      </c>
      <c r="I1101" s="67">
        <f t="shared" si="39"/>
        <v>13.989633333333332</v>
      </c>
      <c r="J1101" s="67">
        <f t="shared" si="39"/>
        <v>8.6541250000000005</v>
      </c>
      <c r="K1101" s="67">
        <f t="shared" si="39"/>
        <v>8.6562416666666664</v>
      </c>
    </row>
    <row r="1102" spans="1:11" ht="15">
      <c r="A1102" s="3">
        <v>2054</v>
      </c>
      <c r="B1102" s="67">
        <f t="shared" ref="B1102:K1102" si="40">AVERAGE(B497:B508)</f>
        <v>7.4712500000000004</v>
      </c>
      <c r="C1102" s="67">
        <f t="shared" si="40"/>
        <v>7.4712500000000004</v>
      </c>
      <c r="D1102" s="67">
        <f t="shared" si="40"/>
        <v>7.4729083333333337</v>
      </c>
      <c r="E1102" s="67">
        <f t="shared" si="40"/>
        <v>8.8657833333333329</v>
      </c>
      <c r="F1102" s="67">
        <f t="shared" si="40"/>
        <v>8.8657833333333329</v>
      </c>
      <c r="G1102" s="67">
        <f t="shared" si="40"/>
        <v>8.8678749999999997</v>
      </c>
      <c r="H1102" s="67">
        <f t="shared" si="40"/>
        <v>14.341249999999997</v>
      </c>
      <c r="I1102" s="67">
        <f t="shared" si="40"/>
        <v>14.343341666666667</v>
      </c>
      <c r="J1102" s="67">
        <f t="shared" si="40"/>
        <v>8.8657833333333329</v>
      </c>
      <c r="K1102" s="67">
        <f t="shared" si="40"/>
        <v>8.8678749999999997</v>
      </c>
    </row>
    <row r="1103" spans="1:11" ht="15">
      <c r="A1103" s="3">
        <v>2055</v>
      </c>
      <c r="B1103" s="67">
        <f t="shared" ref="B1103:K1103" si="41">AVERAGE(B17:B520)</f>
        <v>4.7406188492063492</v>
      </c>
      <c r="C1103" s="67">
        <f t="shared" si="41"/>
        <v>4.7409805555555558</v>
      </c>
      <c r="D1103" s="67">
        <f t="shared" si="41"/>
        <v>4.7426438492063498</v>
      </c>
      <c r="E1103" s="67">
        <f t="shared" si="41"/>
        <v>5.7063898809523801</v>
      </c>
      <c r="F1103" s="67">
        <f t="shared" si="41"/>
        <v>5.7124347222222216</v>
      </c>
      <c r="G1103" s="67">
        <f t="shared" si="41"/>
        <v>5.7146019841269862</v>
      </c>
      <c r="H1103" s="67">
        <f t="shared" si="41"/>
        <v>9.2281309523809387</v>
      </c>
      <c r="I1103" s="67">
        <f t="shared" si="41"/>
        <v>9.230298214285714</v>
      </c>
      <c r="J1103" s="67">
        <f t="shared" si="41"/>
        <v>5.7063898809523801</v>
      </c>
      <c r="K1103" s="67">
        <f t="shared" si="41"/>
        <v>5.7085563492063507</v>
      </c>
    </row>
    <row r="1104" spans="1:11" ht="15">
      <c r="A1104" s="3">
        <v>2056</v>
      </c>
      <c r="B1104" s="67">
        <f t="shared" ref="B1104:K1104" si="42">AVERAGE(B521:B532)</f>
        <v>7.8716833333333343</v>
      </c>
      <c r="C1104" s="67">
        <f t="shared" si="42"/>
        <v>7.8716833333333343</v>
      </c>
      <c r="D1104" s="67">
        <f t="shared" si="42"/>
        <v>7.8733499999999985</v>
      </c>
      <c r="E1104" s="67">
        <f t="shared" si="42"/>
        <v>9.3047749999999994</v>
      </c>
      <c r="F1104" s="67">
        <f t="shared" si="42"/>
        <v>9.3047749999999994</v>
      </c>
      <c r="G1104" s="67">
        <f t="shared" si="42"/>
        <v>9.3068833333333316</v>
      </c>
      <c r="H1104" s="67">
        <f t="shared" si="42"/>
        <v>15.075749999999999</v>
      </c>
      <c r="I1104" s="67">
        <f t="shared" si="42"/>
        <v>15.07785</v>
      </c>
      <c r="J1104" s="67">
        <f t="shared" si="42"/>
        <v>9.3047749999999994</v>
      </c>
      <c r="K1104" s="67">
        <f t="shared" si="42"/>
        <v>9.3068833333333316</v>
      </c>
    </row>
    <row r="1105" spans="1:11" ht="15">
      <c r="A1105" s="3">
        <v>2057</v>
      </c>
      <c r="B1105" s="67">
        <f t="shared" ref="B1105:K1105" si="43">AVERAGE(B533:B544)</f>
        <v>8.079958333333332</v>
      </c>
      <c r="C1105" s="67">
        <f t="shared" si="43"/>
        <v>8.079958333333332</v>
      </c>
      <c r="D1105" s="67">
        <f t="shared" si="43"/>
        <v>8.0816083333333335</v>
      </c>
      <c r="E1105" s="67">
        <f t="shared" si="43"/>
        <v>9.5323916666666673</v>
      </c>
      <c r="F1105" s="67">
        <f t="shared" si="43"/>
        <v>9.5323916666666673</v>
      </c>
      <c r="G1105" s="67">
        <f t="shared" si="43"/>
        <v>9.5345083333333331</v>
      </c>
      <c r="H1105" s="67">
        <f t="shared" si="43"/>
        <v>15.456983333333335</v>
      </c>
      <c r="I1105" s="67">
        <f t="shared" si="43"/>
        <v>15.459108333333331</v>
      </c>
      <c r="J1105" s="67">
        <f t="shared" si="43"/>
        <v>9.5323916666666673</v>
      </c>
      <c r="K1105" s="67">
        <f t="shared" si="43"/>
        <v>9.5345083333333331</v>
      </c>
    </row>
    <row r="1106" spans="1:11" ht="15">
      <c r="A1106" s="3">
        <v>2058</v>
      </c>
      <c r="B1106" s="67">
        <f t="shared" ref="B1106:K1106" si="44">AVERAGE(B545:B556)</f>
        <v>8.2937916666666691</v>
      </c>
      <c r="C1106" s="67">
        <f t="shared" si="44"/>
        <v>8.2937916666666691</v>
      </c>
      <c r="D1106" s="67">
        <f t="shared" si="44"/>
        <v>8.2954666666666661</v>
      </c>
      <c r="E1106" s="67">
        <f t="shared" si="44"/>
        <v>9.7656249999999982</v>
      </c>
      <c r="F1106" s="67">
        <f t="shared" si="44"/>
        <v>9.7656249999999982</v>
      </c>
      <c r="G1106" s="67">
        <f t="shared" si="44"/>
        <v>9.7677416666666677</v>
      </c>
      <c r="H1106" s="67">
        <f t="shared" si="44"/>
        <v>15.847866666666668</v>
      </c>
      <c r="I1106" s="67">
        <f t="shared" si="44"/>
        <v>15.849974999999995</v>
      </c>
      <c r="J1106" s="67">
        <f t="shared" si="44"/>
        <v>9.7656249999999982</v>
      </c>
      <c r="K1106" s="67">
        <f t="shared" si="44"/>
        <v>9.7677416666666677</v>
      </c>
    </row>
    <row r="1107" spans="1:11" ht="15">
      <c r="A1107" s="3">
        <v>2059</v>
      </c>
      <c r="B1107" s="67">
        <f t="shared" ref="B1107:K1107" si="45">AVERAGE(B557:B568)</f>
        <v>8.513325</v>
      </c>
      <c r="C1107" s="67">
        <f t="shared" si="45"/>
        <v>8.513325</v>
      </c>
      <c r="D1107" s="67">
        <f t="shared" si="45"/>
        <v>8.5149833333333333</v>
      </c>
      <c r="E1107" s="67">
        <f t="shared" si="45"/>
        <v>10.004574999999999</v>
      </c>
      <c r="F1107" s="67">
        <f t="shared" si="45"/>
        <v>10.004574999999999</v>
      </c>
      <c r="G1107" s="67">
        <f t="shared" si="45"/>
        <v>10.006675</v>
      </c>
      <c r="H1107" s="67">
        <f t="shared" si="45"/>
        <v>16.248641666666668</v>
      </c>
      <c r="I1107" s="67">
        <f t="shared" si="45"/>
        <v>16.25075</v>
      </c>
      <c r="J1107" s="67">
        <f t="shared" si="45"/>
        <v>10.004574999999999</v>
      </c>
      <c r="K1107" s="67">
        <f t="shared" si="45"/>
        <v>10.006675</v>
      </c>
    </row>
    <row r="1108" spans="1:11" ht="15">
      <c r="A1108" s="3">
        <v>2060</v>
      </c>
      <c r="B1108" s="67">
        <f t="shared" ref="B1108:K1108" si="46">AVERAGE(B569:B580)</f>
        <v>8.738741666666666</v>
      </c>
      <c r="C1108" s="67">
        <f t="shared" si="46"/>
        <v>8.738741666666666</v>
      </c>
      <c r="D1108" s="67">
        <f t="shared" si="46"/>
        <v>8.7403999999999993</v>
      </c>
      <c r="E1108" s="67">
        <f t="shared" si="46"/>
        <v>10.249391666666666</v>
      </c>
      <c r="F1108" s="67">
        <f t="shared" si="46"/>
        <v>10.249391666666666</v>
      </c>
      <c r="G1108" s="67">
        <f t="shared" si="46"/>
        <v>10.2515</v>
      </c>
      <c r="H1108" s="67">
        <f t="shared" si="46"/>
        <v>16.659549999999999</v>
      </c>
      <c r="I1108" s="67">
        <f t="shared" si="46"/>
        <v>16.661641666666668</v>
      </c>
      <c r="J1108" s="67">
        <f t="shared" si="46"/>
        <v>10.249391666666666</v>
      </c>
      <c r="K1108" s="67">
        <f t="shared" si="46"/>
        <v>10.2515</v>
      </c>
    </row>
    <row r="1109" spans="1:11" ht="15">
      <c r="A1109" s="3">
        <v>2061</v>
      </c>
      <c r="B1109" s="67">
        <f t="shared" ref="B1109:K1109" si="47">AVERAGE(B581:B592)</f>
        <v>8.9701666666666657</v>
      </c>
      <c r="C1109" s="67">
        <f t="shared" si="47"/>
        <v>8.9701666666666657</v>
      </c>
      <c r="D1109" s="67">
        <f t="shared" si="47"/>
        <v>8.9718166666666654</v>
      </c>
      <c r="E1109" s="67">
        <f t="shared" si="47"/>
        <v>10.500225000000002</v>
      </c>
      <c r="F1109" s="67">
        <f t="shared" si="47"/>
        <v>10.500225000000002</v>
      </c>
      <c r="G1109" s="67">
        <f t="shared" si="47"/>
        <v>10.502350000000002</v>
      </c>
      <c r="H1109" s="67">
        <f t="shared" si="47"/>
        <v>17.080841666666668</v>
      </c>
      <c r="I1109" s="67">
        <f t="shared" si="47"/>
        <v>17.08295</v>
      </c>
      <c r="J1109" s="67">
        <f t="shared" si="47"/>
        <v>10.500225000000002</v>
      </c>
      <c r="K1109" s="67">
        <f t="shared" si="47"/>
        <v>10.502350000000002</v>
      </c>
    </row>
    <row r="1110" spans="1:11" ht="15">
      <c r="A1110" s="3">
        <v>2062</v>
      </c>
      <c r="B1110" s="67">
        <f t="shared" ref="B1110:K1119" ca="1" si="48">AVERAGE(OFFSET(B$593,($A1110-$A$1110)*12,0,12,1))</f>
        <v>9.2077833333333352</v>
      </c>
      <c r="C1110" s="67">
        <f t="shared" ca="1" si="48"/>
        <v>9.2077833333333352</v>
      </c>
      <c r="D1110" s="67">
        <f t="shared" ca="1" si="48"/>
        <v>9.2094499999999986</v>
      </c>
      <c r="E1110" s="67">
        <f t="shared" ca="1" si="48"/>
        <v>10.757233333333332</v>
      </c>
      <c r="F1110" s="67">
        <f t="shared" ca="1" si="48"/>
        <v>10.757233333333332</v>
      </c>
      <c r="G1110" s="67">
        <f t="shared" ca="1" si="48"/>
        <v>10.75935</v>
      </c>
      <c r="H1110" s="67">
        <f t="shared" ca="1" si="48"/>
        <v>17.512791666666665</v>
      </c>
      <c r="I1110" s="67">
        <f t="shared" ca="1" si="48"/>
        <v>17.514875</v>
      </c>
      <c r="J1110" s="67">
        <f t="shared" ca="1" si="48"/>
        <v>10.757233333333332</v>
      </c>
      <c r="K1110" s="67">
        <f t="shared" ca="1" si="48"/>
        <v>10.75935</v>
      </c>
    </row>
    <row r="1111" spans="1:11" ht="15">
      <c r="A1111" s="3">
        <v>2063</v>
      </c>
      <c r="B1111" s="67">
        <f t="shared" ca="1" si="48"/>
        <v>9.4453666666666667</v>
      </c>
      <c r="C1111" s="67">
        <f t="shared" ca="1" si="48"/>
        <v>9.4453666666666667</v>
      </c>
      <c r="D1111" s="67">
        <f t="shared" ca="1" si="48"/>
        <v>9.4470500000000008</v>
      </c>
      <c r="E1111" s="67">
        <f t="shared" ca="1" si="48"/>
        <v>11.014258333333332</v>
      </c>
      <c r="F1111" s="67">
        <f t="shared" ca="1" si="48"/>
        <v>11.014258333333332</v>
      </c>
      <c r="G1111" s="67">
        <f t="shared" ca="1" si="48"/>
        <v>11.016366666666668</v>
      </c>
      <c r="H1111" s="67">
        <f t="shared" ca="1" si="48"/>
        <v>17.944733333333335</v>
      </c>
      <c r="I1111" s="67">
        <f t="shared" ca="1" si="48"/>
        <v>17.946824999999997</v>
      </c>
      <c r="J1111" s="67">
        <f t="shared" ca="1" si="48"/>
        <v>11.014258333333332</v>
      </c>
      <c r="K1111" s="67">
        <f t="shared" ca="1" si="48"/>
        <v>11.016366666666668</v>
      </c>
    </row>
    <row r="1112" spans="1:11" ht="15">
      <c r="A1112" s="3">
        <v>2064</v>
      </c>
      <c r="B1112" s="67">
        <f t="shared" ca="1" si="48"/>
        <v>9.6830083333333334</v>
      </c>
      <c r="C1112" s="67">
        <f t="shared" ca="1" si="48"/>
        <v>9.6830083333333334</v>
      </c>
      <c r="D1112" s="67">
        <f t="shared" ca="1" si="48"/>
        <v>9.6846666666666668</v>
      </c>
      <c r="E1112" s="67">
        <f t="shared" ca="1" si="48"/>
        <v>11.271266666666667</v>
      </c>
      <c r="F1112" s="67">
        <f t="shared" ca="1" si="48"/>
        <v>11.271266666666667</v>
      </c>
      <c r="G1112" s="67">
        <f t="shared" ca="1" si="48"/>
        <v>11.273375000000001</v>
      </c>
      <c r="H1112" s="67">
        <f t="shared" ca="1" si="48"/>
        <v>18.376683333333336</v>
      </c>
      <c r="I1112" s="67">
        <f t="shared" ca="1" si="48"/>
        <v>18.378766666666667</v>
      </c>
      <c r="J1112" s="67">
        <f t="shared" ca="1" si="48"/>
        <v>11.271266666666667</v>
      </c>
      <c r="K1112" s="67">
        <f t="shared" ca="1" si="48"/>
        <v>11.273375000000001</v>
      </c>
    </row>
    <row r="1113" spans="1:11" ht="15">
      <c r="A1113" s="3">
        <v>2065</v>
      </c>
      <c r="B1113" s="67">
        <f t="shared" ca="1" si="48"/>
        <v>9.9206166666666658</v>
      </c>
      <c r="C1113" s="67">
        <f t="shared" ca="1" si="48"/>
        <v>9.9206166666666658</v>
      </c>
      <c r="D1113" s="67">
        <f t="shared" ca="1" si="48"/>
        <v>9.9222833333333327</v>
      </c>
      <c r="E1113" s="67">
        <f t="shared" ca="1" si="48"/>
        <v>11.528291666666666</v>
      </c>
      <c r="F1113" s="67">
        <f t="shared" ca="1" si="48"/>
        <v>11.528291666666666</v>
      </c>
      <c r="G1113" s="67">
        <f t="shared" ca="1" si="48"/>
        <v>11.530374999999999</v>
      </c>
      <c r="H1113" s="67">
        <f t="shared" ca="1" si="48"/>
        <v>18.808624999999996</v>
      </c>
      <c r="I1113" s="67">
        <f t="shared" ca="1" si="48"/>
        <v>18.810733333333335</v>
      </c>
      <c r="J1113" s="67">
        <f t="shared" ca="1" si="48"/>
        <v>11.528291666666666</v>
      </c>
      <c r="K1113" s="67">
        <f t="shared" ca="1" si="48"/>
        <v>11.530374999999999</v>
      </c>
    </row>
    <row r="1114" spans="1:11" ht="15">
      <c r="A1114" s="3">
        <v>2066</v>
      </c>
      <c r="B1114" s="67">
        <f t="shared" ca="1" si="48"/>
        <v>10.158233333333335</v>
      </c>
      <c r="C1114" s="67">
        <f t="shared" ca="1" si="48"/>
        <v>10.158233333333335</v>
      </c>
      <c r="D1114" s="67">
        <f t="shared" ca="1" si="48"/>
        <v>10.159883333333335</v>
      </c>
      <c r="E1114" s="67">
        <f t="shared" ca="1" si="48"/>
        <v>11.785283333333332</v>
      </c>
      <c r="F1114" s="67">
        <f t="shared" ca="1" si="48"/>
        <v>11.785283333333332</v>
      </c>
      <c r="G1114" s="67">
        <f t="shared" ca="1" si="48"/>
        <v>11.78739166666667</v>
      </c>
      <c r="H1114" s="67">
        <f t="shared" ca="1" si="48"/>
        <v>19.240558333333329</v>
      </c>
      <c r="I1114" s="67">
        <f t="shared" ca="1" si="48"/>
        <v>19.242683333333336</v>
      </c>
      <c r="J1114" s="67">
        <f t="shared" ca="1" si="48"/>
        <v>11.785283333333332</v>
      </c>
      <c r="K1114" s="67">
        <f t="shared" ca="1" si="48"/>
        <v>11.78739166666667</v>
      </c>
    </row>
    <row r="1115" spans="1:11" ht="15">
      <c r="A1115" s="3">
        <v>2067</v>
      </c>
      <c r="B1115" s="67">
        <f t="shared" ca="1" si="48"/>
        <v>10.395849999999998</v>
      </c>
      <c r="C1115" s="67">
        <f t="shared" ca="1" si="48"/>
        <v>10.395849999999998</v>
      </c>
      <c r="D1115" s="67">
        <f t="shared" ca="1" si="48"/>
        <v>10.397508333333333</v>
      </c>
      <c r="E1115" s="67">
        <f t="shared" ca="1" si="48"/>
        <v>12.042299999999999</v>
      </c>
      <c r="F1115" s="67">
        <f t="shared" ca="1" si="48"/>
        <v>12.042299999999999</v>
      </c>
      <c r="G1115" s="67">
        <f t="shared" ca="1" si="48"/>
        <v>12.044400000000001</v>
      </c>
      <c r="H1115" s="67">
        <f t="shared" ca="1" si="48"/>
        <v>19.672508333333329</v>
      </c>
      <c r="I1115" s="67">
        <f t="shared" ca="1" si="48"/>
        <v>19.674633333333333</v>
      </c>
      <c r="J1115" s="67">
        <f t="shared" ca="1" si="48"/>
        <v>12.042299999999999</v>
      </c>
      <c r="K1115" s="67">
        <f t="shared" ca="1" si="48"/>
        <v>12.044400000000001</v>
      </c>
    </row>
    <row r="1116" spans="1:11" ht="15">
      <c r="A1116" s="3">
        <v>2068</v>
      </c>
      <c r="B1116" s="67">
        <f t="shared" ca="1" si="48"/>
        <v>10.633449999999998</v>
      </c>
      <c r="C1116" s="67">
        <f t="shared" ca="1" si="48"/>
        <v>10.633449999999998</v>
      </c>
      <c r="D1116" s="67">
        <f t="shared" ca="1" si="48"/>
        <v>10.635116666666669</v>
      </c>
      <c r="E1116" s="67">
        <f t="shared" ca="1" si="48"/>
        <v>12.299291666666669</v>
      </c>
      <c r="F1116" s="67">
        <f t="shared" ca="1" si="48"/>
        <v>12.299291666666669</v>
      </c>
      <c r="G1116" s="67">
        <f t="shared" ca="1" si="48"/>
        <v>12.301416666666668</v>
      </c>
      <c r="H1116" s="67">
        <f t="shared" ca="1" si="48"/>
        <v>20.104458333333334</v>
      </c>
      <c r="I1116" s="67">
        <f t="shared" ca="1" si="48"/>
        <v>20.106566666666662</v>
      </c>
      <c r="J1116" s="67">
        <f t="shared" ca="1" si="48"/>
        <v>12.299291666666669</v>
      </c>
      <c r="K1116" s="67">
        <f t="shared" ca="1" si="48"/>
        <v>12.301416666666668</v>
      </c>
    </row>
    <row r="1117" spans="1:11" ht="15">
      <c r="A1117" s="3">
        <v>2069</v>
      </c>
      <c r="B1117" s="67">
        <f t="shared" ca="1" si="48"/>
        <v>10.871066666666664</v>
      </c>
      <c r="C1117" s="67">
        <f t="shared" ca="1" si="48"/>
        <v>10.871066666666664</v>
      </c>
      <c r="D1117" s="67">
        <f t="shared" ca="1" si="48"/>
        <v>10.872724999999997</v>
      </c>
      <c r="E1117" s="67">
        <f t="shared" ca="1" si="48"/>
        <v>12.556333333333333</v>
      </c>
      <c r="F1117" s="67">
        <f t="shared" ca="1" si="48"/>
        <v>12.556333333333333</v>
      </c>
      <c r="G1117" s="67">
        <f t="shared" ca="1" si="48"/>
        <v>12.558433333333333</v>
      </c>
      <c r="H1117" s="67">
        <f t="shared" ca="1" si="48"/>
        <v>20.536424999999998</v>
      </c>
      <c r="I1117" s="67">
        <f t="shared" ca="1" si="48"/>
        <v>20.53853333333333</v>
      </c>
      <c r="J1117" s="67">
        <f t="shared" ca="1" si="48"/>
        <v>12.556333333333333</v>
      </c>
      <c r="K1117" s="67">
        <f t="shared" ca="1" si="48"/>
        <v>12.558433333333333</v>
      </c>
    </row>
    <row r="1118" spans="1:11" ht="15">
      <c r="A1118" s="3">
        <v>2070</v>
      </c>
      <c r="B1118" s="67">
        <f t="shared" ca="1" si="48"/>
        <v>11.108683333333333</v>
      </c>
      <c r="C1118" s="67">
        <f t="shared" ca="1" si="48"/>
        <v>11.108683333333333</v>
      </c>
      <c r="D1118" s="67">
        <f t="shared" ca="1" si="48"/>
        <v>11.110358333333332</v>
      </c>
      <c r="E1118" s="67">
        <f t="shared" ca="1" si="48"/>
        <v>12.813333333333333</v>
      </c>
      <c r="F1118" s="67">
        <f t="shared" ca="1" si="48"/>
        <v>12.813333333333333</v>
      </c>
      <c r="G1118" s="67">
        <f t="shared" ca="1" si="48"/>
        <v>12.815424999999999</v>
      </c>
      <c r="H1118" s="67">
        <f t="shared" ca="1" si="48"/>
        <v>20.968374999999998</v>
      </c>
      <c r="I1118" s="67">
        <f t="shared" ca="1" si="48"/>
        <v>20.970474999999997</v>
      </c>
      <c r="J1118" s="67">
        <f t="shared" ca="1" si="48"/>
        <v>12.813333333333333</v>
      </c>
      <c r="K1118" s="67">
        <f t="shared" ca="1" si="48"/>
        <v>12.815424999999999</v>
      </c>
    </row>
    <row r="1119" spans="1:11" ht="15">
      <c r="A1119" s="3">
        <v>2071</v>
      </c>
      <c r="B1119" s="67">
        <f t="shared" ca="1" si="48"/>
        <v>11.346308333333333</v>
      </c>
      <c r="C1119" s="67">
        <f t="shared" ca="1" si="48"/>
        <v>11.346308333333333</v>
      </c>
      <c r="D1119" s="67">
        <f t="shared" ca="1" si="48"/>
        <v>11.347958333333333</v>
      </c>
      <c r="E1119" s="67">
        <f t="shared" ca="1" si="48"/>
        <v>13.070333333333332</v>
      </c>
      <c r="F1119" s="67">
        <f t="shared" ca="1" si="48"/>
        <v>13.070333333333332</v>
      </c>
      <c r="G1119" s="67">
        <f t="shared" ca="1" si="48"/>
        <v>13.072449999999998</v>
      </c>
      <c r="H1119" s="67">
        <f t="shared" ca="1" si="48"/>
        <v>21.400316666666669</v>
      </c>
      <c r="I1119" s="67">
        <f t="shared" ca="1" si="48"/>
        <v>21.402424999999997</v>
      </c>
      <c r="J1119" s="67">
        <f t="shared" ca="1" si="48"/>
        <v>13.070333333333332</v>
      </c>
      <c r="K1119" s="67">
        <f t="shared" ca="1" si="48"/>
        <v>13.072449999999998</v>
      </c>
    </row>
    <row r="1120" spans="1:11" ht="15">
      <c r="A1120" s="3">
        <v>2072</v>
      </c>
      <c r="B1120" s="67">
        <f t="shared" ref="B1120:K1129" ca="1" si="49">AVERAGE(OFFSET(B$593,($A1120-$A$1110)*12,0,12,1))</f>
        <v>11.583908333333333</v>
      </c>
      <c r="C1120" s="67">
        <f t="shared" ca="1" si="49"/>
        <v>11.583908333333333</v>
      </c>
      <c r="D1120" s="67">
        <f t="shared" ca="1" si="49"/>
        <v>11.585575</v>
      </c>
      <c r="E1120" s="67">
        <f t="shared" ca="1" si="49"/>
        <v>13.327350000000001</v>
      </c>
      <c r="F1120" s="67">
        <f t="shared" ca="1" si="49"/>
        <v>13.327350000000001</v>
      </c>
      <c r="G1120" s="67">
        <f t="shared" ca="1" si="49"/>
        <v>13.329458333333333</v>
      </c>
      <c r="H1120" s="67">
        <f t="shared" ca="1" si="49"/>
        <v>21.832266666666669</v>
      </c>
      <c r="I1120" s="67">
        <f t="shared" ca="1" si="49"/>
        <v>21.834366666666668</v>
      </c>
      <c r="J1120" s="67">
        <f t="shared" ca="1" si="49"/>
        <v>13.327350000000001</v>
      </c>
      <c r="K1120" s="67">
        <f t="shared" ca="1" si="49"/>
        <v>13.329458333333333</v>
      </c>
    </row>
    <row r="1121" spans="1:11" ht="15">
      <c r="A1121" s="3">
        <v>2073</v>
      </c>
      <c r="B1121" s="67">
        <f t="shared" ca="1" si="49"/>
        <v>11.821525000000001</v>
      </c>
      <c r="C1121" s="67">
        <f t="shared" ca="1" si="49"/>
        <v>11.821525000000001</v>
      </c>
      <c r="D1121" s="67">
        <f t="shared" ca="1" si="49"/>
        <v>11.823183333333334</v>
      </c>
      <c r="E1121" s="67">
        <f t="shared" ca="1" si="49"/>
        <v>13.584366666666666</v>
      </c>
      <c r="F1121" s="67">
        <f t="shared" ca="1" si="49"/>
        <v>13.584366666666666</v>
      </c>
      <c r="G1121" s="67">
        <f t="shared" ca="1" si="49"/>
        <v>13.586458333333335</v>
      </c>
      <c r="H1121" s="67">
        <f t="shared" ca="1" si="49"/>
        <v>22.264208333333329</v>
      </c>
      <c r="I1121" s="67">
        <f t="shared" ca="1" si="49"/>
        <v>22.266308333333338</v>
      </c>
      <c r="J1121" s="67">
        <f t="shared" ca="1" si="49"/>
        <v>13.584366666666666</v>
      </c>
      <c r="K1121" s="67">
        <f t="shared" ca="1" si="49"/>
        <v>13.586458333333335</v>
      </c>
    </row>
    <row r="1122" spans="1:11" ht="15">
      <c r="A1122" s="3">
        <v>2074</v>
      </c>
      <c r="B1122" s="67">
        <f t="shared" ca="1" si="49"/>
        <v>12.059150000000001</v>
      </c>
      <c r="C1122" s="67">
        <f t="shared" ca="1" si="49"/>
        <v>12.059150000000001</v>
      </c>
      <c r="D1122" s="67">
        <f t="shared" ca="1" si="49"/>
        <v>12.060808333333334</v>
      </c>
      <c r="E1122" s="67">
        <f t="shared" ca="1" si="49"/>
        <v>13.841366666666666</v>
      </c>
      <c r="F1122" s="67">
        <f t="shared" ca="1" si="49"/>
        <v>13.841366666666666</v>
      </c>
      <c r="G1122" s="67">
        <f t="shared" ca="1" si="49"/>
        <v>13.843483333333333</v>
      </c>
      <c r="H1122" s="67">
        <f t="shared" ca="1" si="49"/>
        <v>22.696166666666667</v>
      </c>
      <c r="I1122" s="67">
        <f t="shared" ca="1" si="49"/>
        <v>22.698266666666665</v>
      </c>
      <c r="J1122" s="67">
        <f t="shared" ca="1" si="49"/>
        <v>13.841366666666666</v>
      </c>
      <c r="K1122" s="67">
        <f t="shared" ca="1" si="49"/>
        <v>13.843483333333333</v>
      </c>
    </row>
    <row r="1123" spans="1:11" ht="15">
      <c r="A1123" s="3">
        <v>2075</v>
      </c>
      <c r="B1123" s="67">
        <f t="shared" ca="1" si="49"/>
        <v>12.296750000000001</v>
      </c>
      <c r="C1123" s="67">
        <f t="shared" ca="1" si="49"/>
        <v>12.296750000000001</v>
      </c>
      <c r="D1123" s="67">
        <f t="shared" ca="1" si="49"/>
        <v>12.298425</v>
      </c>
      <c r="E1123" s="67">
        <f t="shared" ca="1" si="49"/>
        <v>14.098391666666664</v>
      </c>
      <c r="F1123" s="67">
        <f t="shared" ca="1" si="49"/>
        <v>14.098391666666664</v>
      </c>
      <c r="G1123" s="67">
        <f t="shared" ca="1" si="49"/>
        <v>14.100483333333331</v>
      </c>
      <c r="H1123" s="67">
        <f t="shared" ca="1" si="49"/>
        <v>23.128116666666671</v>
      </c>
      <c r="I1123" s="67">
        <f t="shared" ca="1" si="49"/>
        <v>23.130208333333332</v>
      </c>
      <c r="J1123" s="67">
        <f t="shared" ca="1" si="49"/>
        <v>14.098391666666664</v>
      </c>
      <c r="K1123" s="67">
        <f t="shared" ca="1" si="49"/>
        <v>14.100483333333331</v>
      </c>
    </row>
    <row r="1124" spans="1:11" ht="15">
      <c r="A1124" s="3">
        <v>2076</v>
      </c>
      <c r="B1124" s="67">
        <f t="shared" ca="1" si="49"/>
        <v>12.534383333333331</v>
      </c>
      <c r="C1124" s="67">
        <f t="shared" ca="1" si="49"/>
        <v>12.534383333333331</v>
      </c>
      <c r="D1124" s="67">
        <f t="shared" ca="1" si="49"/>
        <v>12.536025</v>
      </c>
      <c r="E1124" s="67">
        <f t="shared" ca="1" si="49"/>
        <v>14.355391666666668</v>
      </c>
      <c r="F1124" s="67">
        <f t="shared" ca="1" si="49"/>
        <v>14.355391666666668</v>
      </c>
      <c r="G1124" s="67">
        <f t="shared" ca="1" si="49"/>
        <v>14.357500000000002</v>
      </c>
      <c r="H1124" s="67">
        <f t="shared" ca="1" si="49"/>
        <v>23.560049999999993</v>
      </c>
      <c r="I1124" s="67">
        <f t="shared" ca="1" si="49"/>
        <v>23.56216666666667</v>
      </c>
      <c r="J1124" s="67">
        <f t="shared" ca="1" si="49"/>
        <v>14.355391666666668</v>
      </c>
      <c r="K1124" s="67">
        <f t="shared" ca="1" si="49"/>
        <v>14.357500000000002</v>
      </c>
    </row>
    <row r="1125" spans="1:11" ht="15">
      <c r="A1125" s="3">
        <v>2077</v>
      </c>
      <c r="B1125" s="67">
        <f t="shared" ca="1" si="49"/>
        <v>12.771983333333333</v>
      </c>
      <c r="C1125" s="67">
        <f t="shared" ca="1" si="49"/>
        <v>12.771983333333333</v>
      </c>
      <c r="D1125" s="67">
        <f t="shared" ca="1" si="49"/>
        <v>12.773658333333335</v>
      </c>
      <c r="E1125" s="67">
        <f t="shared" ca="1" si="49"/>
        <v>14.612399999999999</v>
      </c>
      <c r="F1125" s="67">
        <f t="shared" ca="1" si="49"/>
        <v>14.612399999999999</v>
      </c>
      <c r="G1125" s="67">
        <f t="shared" ca="1" si="49"/>
        <v>14.614491666666666</v>
      </c>
      <c r="H1125" s="67">
        <f t="shared" ca="1" si="49"/>
        <v>23.992008333333334</v>
      </c>
      <c r="I1125" s="67">
        <f t="shared" ca="1" si="49"/>
        <v>23.994124999999997</v>
      </c>
      <c r="J1125" s="67">
        <f t="shared" ca="1" si="49"/>
        <v>14.612399999999999</v>
      </c>
      <c r="K1125" s="67">
        <f t="shared" ca="1" si="49"/>
        <v>14.614491666666666</v>
      </c>
    </row>
    <row r="1126" spans="1:11" ht="15">
      <c r="A1126" s="3">
        <v>2078</v>
      </c>
      <c r="B1126" s="67">
        <f t="shared" ca="1" si="49"/>
        <v>13.009583333333333</v>
      </c>
      <c r="C1126" s="67">
        <f t="shared" ca="1" si="49"/>
        <v>13.009583333333333</v>
      </c>
      <c r="D1126" s="67">
        <f t="shared" ca="1" si="49"/>
        <v>13.011250000000002</v>
      </c>
      <c r="E1126" s="67">
        <f t="shared" ca="1" si="49"/>
        <v>14.869391666666665</v>
      </c>
      <c r="F1126" s="67">
        <f t="shared" ca="1" si="49"/>
        <v>14.869391666666665</v>
      </c>
      <c r="G1126" s="67">
        <f t="shared" ca="1" si="49"/>
        <v>14.871525</v>
      </c>
      <c r="H1126" s="67">
        <f t="shared" ca="1" si="49"/>
        <v>24.423966666666669</v>
      </c>
      <c r="I1126" s="67">
        <f t="shared" ca="1" si="49"/>
        <v>24.426066666666671</v>
      </c>
      <c r="J1126" s="67">
        <f t="shared" ca="1" si="49"/>
        <v>14.869391666666665</v>
      </c>
      <c r="K1126" s="67">
        <f t="shared" ca="1" si="49"/>
        <v>14.871525</v>
      </c>
    </row>
    <row r="1127" spans="1:11" ht="15">
      <c r="A1127" s="3">
        <v>2079</v>
      </c>
      <c r="B1127" s="67">
        <f t="shared" ca="1" si="49"/>
        <v>13.247225000000002</v>
      </c>
      <c r="C1127" s="67">
        <f t="shared" ca="1" si="49"/>
        <v>13.247225000000002</v>
      </c>
      <c r="D1127" s="67">
        <f t="shared" ca="1" si="49"/>
        <v>13.248883333333332</v>
      </c>
      <c r="E1127" s="67">
        <f t="shared" ca="1" si="49"/>
        <v>15.126424999999999</v>
      </c>
      <c r="F1127" s="67">
        <f t="shared" ca="1" si="49"/>
        <v>15.126424999999999</v>
      </c>
      <c r="G1127" s="67">
        <f t="shared" ca="1" si="49"/>
        <v>15.128533333333335</v>
      </c>
      <c r="H1127" s="67">
        <f t="shared" ca="1" si="49"/>
        <v>24.855908333333332</v>
      </c>
      <c r="I1127" s="67">
        <f t="shared" ca="1" si="49"/>
        <v>24.858024999999998</v>
      </c>
      <c r="J1127" s="67">
        <f t="shared" ca="1" si="49"/>
        <v>15.126424999999999</v>
      </c>
      <c r="K1127" s="67">
        <f t="shared" ca="1" si="49"/>
        <v>15.128533333333335</v>
      </c>
    </row>
    <row r="1128" spans="1:11" ht="15">
      <c r="A1128" s="3">
        <v>2080</v>
      </c>
      <c r="B1128" s="67">
        <f t="shared" ca="1" si="49"/>
        <v>13.484824999999995</v>
      </c>
      <c r="C1128" s="67">
        <f t="shared" ca="1" si="49"/>
        <v>13.484824999999995</v>
      </c>
      <c r="D1128" s="67">
        <f t="shared" ca="1" si="49"/>
        <v>13.486483333333332</v>
      </c>
      <c r="E1128" s="67">
        <f t="shared" ca="1" si="49"/>
        <v>15.383441666666668</v>
      </c>
      <c r="F1128" s="67">
        <f t="shared" ca="1" si="49"/>
        <v>15.383441666666668</v>
      </c>
      <c r="G1128" s="67">
        <f t="shared" ca="1" si="49"/>
        <v>15.385533333333333</v>
      </c>
      <c r="H1128" s="67">
        <f t="shared" ca="1" si="49"/>
        <v>25.287858333333336</v>
      </c>
      <c r="I1128" s="67">
        <f t="shared" ca="1" si="49"/>
        <v>25.289966666666668</v>
      </c>
      <c r="J1128" s="67">
        <f t="shared" ca="1" si="49"/>
        <v>15.383441666666668</v>
      </c>
      <c r="K1128" s="67">
        <f t="shared" ca="1" si="49"/>
        <v>15.385533333333333</v>
      </c>
    </row>
    <row r="1129" spans="1:11" ht="15">
      <c r="A1129" s="3">
        <v>2081</v>
      </c>
      <c r="B1129" s="67">
        <f t="shared" ca="1" si="49"/>
        <v>13.72245</v>
      </c>
      <c r="C1129" s="67">
        <f t="shared" ca="1" si="49"/>
        <v>13.72245</v>
      </c>
      <c r="D1129" s="67">
        <f t="shared" ca="1" si="49"/>
        <v>13.724091666666666</v>
      </c>
      <c r="E1129" s="67">
        <f t="shared" ca="1" si="49"/>
        <v>15.640424999999999</v>
      </c>
      <c r="F1129" s="67">
        <f t="shared" ca="1" si="49"/>
        <v>15.640424999999999</v>
      </c>
      <c r="G1129" s="67">
        <f t="shared" ca="1" si="49"/>
        <v>15.642558333333332</v>
      </c>
      <c r="H1129" s="67">
        <f t="shared" ca="1" si="49"/>
        <v>25.719799999999996</v>
      </c>
      <c r="I1129" s="67">
        <f t="shared" ca="1" si="49"/>
        <v>25.721908333333332</v>
      </c>
      <c r="J1129" s="67">
        <f t="shared" ca="1" si="49"/>
        <v>15.640424999999999</v>
      </c>
      <c r="K1129" s="67">
        <f t="shared" ca="1" si="49"/>
        <v>15.642558333333332</v>
      </c>
    </row>
    <row r="1130" spans="1:11" ht="15">
      <c r="A1130" s="3">
        <v>2082</v>
      </c>
      <c r="B1130" s="67">
        <f t="shared" ref="B1130:K1139" ca="1" si="50">AVERAGE(OFFSET(B$593,($A1130-$A$1110)*12,0,12,1))</f>
        <v>13.960058333333334</v>
      </c>
      <c r="C1130" s="67">
        <f t="shared" ca="1" si="50"/>
        <v>13.960058333333334</v>
      </c>
      <c r="D1130" s="67">
        <f t="shared" ca="1" si="50"/>
        <v>13.961716666666668</v>
      </c>
      <c r="E1130" s="67">
        <f t="shared" ca="1" si="50"/>
        <v>15.897450000000001</v>
      </c>
      <c r="F1130" s="67">
        <f t="shared" ca="1" si="50"/>
        <v>15.897450000000001</v>
      </c>
      <c r="G1130" s="67">
        <f t="shared" ca="1" si="50"/>
        <v>15.89955</v>
      </c>
      <c r="H1130" s="67">
        <f t="shared" ca="1" si="50"/>
        <v>26.151750000000003</v>
      </c>
      <c r="I1130" s="67">
        <f t="shared" ca="1" si="50"/>
        <v>26.153841666666661</v>
      </c>
      <c r="J1130" s="67">
        <f t="shared" ca="1" si="50"/>
        <v>15.897450000000001</v>
      </c>
      <c r="K1130" s="67">
        <f t="shared" ca="1" si="50"/>
        <v>15.89955</v>
      </c>
    </row>
    <row r="1131" spans="1:11" ht="15">
      <c r="A1131" s="3">
        <v>2083</v>
      </c>
      <c r="B1131" s="67">
        <f t="shared" ca="1" si="50"/>
        <v>14.197650000000001</v>
      </c>
      <c r="C1131" s="67">
        <f t="shared" ca="1" si="50"/>
        <v>14.197650000000001</v>
      </c>
      <c r="D1131" s="67">
        <f t="shared" ca="1" si="50"/>
        <v>14.19931666666667</v>
      </c>
      <c r="E1131" s="67">
        <f t="shared" ca="1" si="50"/>
        <v>16.154466666666668</v>
      </c>
      <c r="F1131" s="67">
        <f t="shared" ca="1" si="50"/>
        <v>16.154466666666668</v>
      </c>
      <c r="G1131" s="67">
        <f t="shared" ca="1" si="50"/>
        <v>16.156549999999996</v>
      </c>
      <c r="H1131" s="67">
        <f t="shared" ca="1" si="50"/>
        <v>26.583700000000004</v>
      </c>
      <c r="I1131" s="67">
        <f t="shared" ca="1" si="50"/>
        <v>26.585783333333335</v>
      </c>
      <c r="J1131" s="67">
        <f t="shared" ca="1" si="50"/>
        <v>16.154466666666668</v>
      </c>
      <c r="K1131" s="67">
        <f t="shared" ca="1" si="50"/>
        <v>16.156549999999996</v>
      </c>
    </row>
    <row r="1132" spans="1:11" ht="15">
      <c r="A1132" s="3">
        <v>2084</v>
      </c>
      <c r="B1132" s="67">
        <f t="shared" ca="1" si="50"/>
        <v>14.435274999999997</v>
      </c>
      <c r="C1132" s="67">
        <f t="shared" ca="1" si="50"/>
        <v>14.435274999999997</v>
      </c>
      <c r="D1132" s="67">
        <f t="shared" ca="1" si="50"/>
        <v>14.436941666666668</v>
      </c>
      <c r="E1132" s="67">
        <f t="shared" ca="1" si="50"/>
        <v>16.411466666666669</v>
      </c>
      <c r="F1132" s="67">
        <f t="shared" ca="1" si="50"/>
        <v>16.411466666666669</v>
      </c>
      <c r="G1132" s="67">
        <f t="shared" ca="1" si="50"/>
        <v>16.413558333333334</v>
      </c>
      <c r="H1132" s="67">
        <f t="shared" ca="1" si="50"/>
        <v>27.01563333333333</v>
      </c>
      <c r="I1132" s="67">
        <f t="shared" ca="1" si="50"/>
        <v>27.017741666666666</v>
      </c>
      <c r="J1132" s="67">
        <f t="shared" ca="1" si="50"/>
        <v>16.411466666666669</v>
      </c>
      <c r="K1132" s="67">
        <f t="shared" ca="1" si="50"/>
        <v>16.413558333333334</v>
      </c>
    </row>
    <row r="1133" spans="1:11" ht="15">
      <c r="A1133" s="3">
        <v>2085</v>
      </c>
      <c r="B1133" s="67">
        <f t="shared" ca="1" si="50"/>
        <v>14.672899999999998</v>
      </c>
      <c r="C1133" s="67">
        <f t="shared" ca="1" si="50"/>
        <v>14.672899999999998</v>
      </c>
      <c r="D1133" s="67">
        <f t="shared" ca="1" si="50"/>
        <v>14.674566666666664</v>
      </c>
      <c r="E1133" s="67">
        <f t="shared" ca="1" si="50"/>
        <v>16.668466666666667</v>
      </c>
      <c r="F1133" s="67">
        <f t="shared" ca="1" si="50"/>
        <v>16.668466666666667</v>
      </c>
      <c r="G1133" s="67">
        <f t="shared" ca="1" si="50"/>
        <v>16.670591666666667</v>
      </c>
      <c r="H1133" s="67">
        <f t="shared" ca="1" si="50"/>
        <v>27.447583333333338</v>
      </c>
      <c r="I1133" s="67">
        <f t="shared" ca="1" si="50"/>
        <v>27.449691666666666</v>
      </c>
      <c r="J1133" s="67">
        <f t="shared" ca="1" si="50"/>
        <v>16.668466666666667</v>
      </c>
      <c r="K1133" s="67">
        <f t="shared" ca="1" si="50"/>
        <v>16.670591666666667</v>
      </c>
    </row>
    <row r="1134" spans="1:11" ht="15">
      <c r="A1134" s="3">
        <v>2086</v>
      </c>
      <c r="B1134" s="67">
        <f t="shared" ca="1" si="50"/>
        <v>14.910500000000004</v>
      </c>
      <c r="C1134" s="67">
        <f t="shared" ca="1" si="50"/>
        <v>14.910500000000004</v>
      </c>
      <c r="D1134" s="67">
        <f t="shared" ca="1" si="50"/>
        <v>14.912166666666669</v>
      </c>
      <c r="E1134" s="67">
        <f t="shared" ca="1" si="50"/>
        <v>16.925483333333336</v>
      </c>
      <c r="F1134" s="67">
        <f t="shared" ca="1" si="50"/>
        <v>16.925483333333336</v>
      </c>
      <c r="G1134" s="67">
        <f t="shared" ca="1" si="50"/>
        <v>16.927599999999998</v>
      </c>
      <c r="H1134" s="67">
        <f t="shared" ca="1" si="50"/>
        <v>27.879516666666664</v>
      </c>
      <c r="I1134" s="67">
        <f t="shared" ca="1" si="50"/>
        <v>27.88163333333334</v>
      </c>
      <c r="J1134" s="67">
        <f t="shared" ca="1" si="50"/>
        <v>16.925483333333336</v>
      </c>
      <c r="K1134" s="67">
        <f t="shared" ca="1" si="50"/>
        <v>16.927599999999998</v>
      </c>
    </row>
    <row r="1135" spans="1:11" ht="15">
      <c r="A1135" s="3">
        <v>2087</v>
      </c>
      <c r="B1135" s="67">
        <f t="shared" ca="1" si="50"/>
        <v>15.148116666666667</v>
      </c>
      <c r="C1135" s="67">
        <f t="shared" ca="1" si="50"/>
        <v>15.148116666666667</v>
      </c>
      <c r="D1135" s="67">
        <f t="shared" ca="1" si="50"/>
        <v>15.149783333333337</v>
      </c>
      <c r="E1135" s="67">
        <f t="shared" ca="1" si="50"/>
        <v>17.182508333333335</v>
      </c>
      <c r="F1135" s="67">
        <f t="shared" ca="1" si="50"/>
        <v>17.182508333333335</v>
      </c>
      <c r="G1135" s="67">
        <f t="shared" ca="1" si="50"/>
        <v>17.184591666666662</v>
      </c>
      <c r="H1135" s="67">
        <f t="shared" ca="1" si="50"/>
        <v>28.311475000000002</v>
      </c>
      <c r="I1135" s="67">
        <f t="shared" ca="1" si="50"/>
        <v>28.313591666666664</v>
      </c>
      <c r="J1135" s="67">
        <f t="shared" ca="1" si="50"/>
        <v>17.182508333333335</v>
      </c>
      <c r="K1135" s="67">
        <f t="shared" ca="1" si="50"/>
        <v>17.184591666666662</v>
      </c>
    </row>
    <row r="1136" spans="1:11" ht="15">
      <c r="A1136" s="3">
        <v>2088</v>
      </c>
      <c r="B1136" s="67">
        <f t="shared" ca="1" si="50"/>
        <v>15.385741666666663</v>
      </c>
      <c r="C1136" s="67">
        <f t="shared" ca="1" si="50"/>
        <v>15.385741666666663</v>
      </c>
      <c r="D1136" s="67">
        <f t="shared" ca="1" si="50"/>
        <v>15.3874</v>
      </c>
      <c r="E1136" s="67">
        <f t="shared" ca="1" si="50"/>
        <v>17.439516666666666</v>
      </c>
      <c r="F1136" s="67">
        <f t="shared" ca="1" si="50"/>
        <v>17.439516666666666</v>
      </c>
      <c r="G1136" s="67">
        <f t="shared" ca="1" si="50"/>
        <v>17.441633333333336</v>
      </c>
      <c r="H1136" s="67">
        <f t="shared" ca="1" si="50"/>
        <v>28.743433333333339</v>
      </c>
      <c r="I1136" s="67">
        <f t="shared" ca="1" si="50"/>
        <v>28.745558333333335</v>
      </c>
      <c r="J1136" s="67">
        <f t="shared" ca="1" si="50"/>
        <v>17.439516666666666</v>
      </c>
      <c r="K1136" s="67">
        <f t="shared" ca="1" si="50"/>
        <v>17.441633333333336</v>
      </c>
    </row>
    <row r="1137" spans="1:11" ht="15">
      <c r="A1137" s="3">
        <v>2089</v>
      </c>
      <c r="B1137" s="67">
        <f t="shared" ca="1" si="50"/>
        <v>15.623341666666667</v>
      </c>
      <c r="C1137" s="67">
        <f t="shared" ca="1" si="50"/>
        <v>15.623341666666667</v>
      </c>
      <c r="D1137" s="67">
        <f t="shared" ca="1" si="50"/>
        <v>15.625016666666667</v>
      </c>
      <c r="E1137" s="67">
        <f t="shared" ca="1" si="50"/>
        <v>17.696524999999998</v>
      </c>
      <c r="F1137" s="67">
        <f t="shared" ca="1" si="50"/>
        <v>17.696524999999998</v>
      </c>
      <c r="G1137" s="67">
        <f t="shared" ca="1" si="50"/>
        <v>17.698625000000003</v>
      </c>
      <c r="H1137" s="67">
        <f t="shared" ca="1" si="50"/>
        <v>29.175374999999999</v>
      </c>
      <c r="I1137" s="67">
        <f t="shared" ca="1" si="50"/>
        <v>29.177491666666672</v>
      </c>
      <c r="J1137" s="67">
        <f t="shared" ca="1" si="50"/>
        <v>17.696524999999998</v>
      </c>
      <c r="K1137" s="67">
        <f t="shared" ca="1" si="50"/>
        <v>17.698625000000003</v>
      </c>
    </row>
    <row r="1138" spans="1:11" ht="15">
      <c r="A1138" s="3">
        <v>2090</v>
      </c>
      <c r="B1138" s="67">
        <f t="shared" ca="1" si="50"/>
        <v>15.860966666666668</v>
      </c>
      <c r="C1138" s="67">
        <f t="shared" ca="1" si="50"/>
        <v>15.860966666666668</v>
      </c>
      <c r="D1138" s="67">
        <f t="shared" ca="1" si="50"/>
        <v>15.862625000000001</v>
      </c>
      <c r="E1138" s="67">
        <f t="shared" ca="1" si="50"/>
        <v>17.953533333333333</v>
      </c>
      <c r="F1138" s="67">
        <f t="shared" ca="1" si="50"/>
        <v>17.953533333333333</v>
      </c>
      <c r="G1138" s="67">
        <f t="shared" ca="1" si="50"/>
        <v>17.955616666666668</v>
      </c>
      <c r="H1138" s="67">
        <f t="shared" ca="1" si="50"/>
        <v>29.607325000000003</v>
      </c>
      <c r="I1138" s="67">
        <f t="shared" ca="1" si="50"/>
        <v>29.609433333333332</v>
      </c>
      <c r="J1138" s="67">
        <f t="shared" ca="1" si="50"/>
        <v>17.953533333333333</v>
      </c>
      <c r="K1138" s="67">
        <f t="shared" ca="1" si="50"/>
        <v>17.955616666666668</v>
      </c>
    </row>
    <row r="1139" spans="1:11" ht="15">
      <c r="A1139" s="3">
        <v>2091</v>
      </c>
      <c r="B1139" s="67">
        <f t="shared" ca="1" si="50"/>
        <v>16.098591666666668</v>
      </c>
      <c r="C1139" s="67">
        <f t="shared" ca="1" si="50"/>
        <v>16.098591666666668</v>
      </c>
      <c r="D1139" s="67">
        <f t="shared" ca="1" si="50"/>
        <v>16.100241666666665</v>
      </c>
      <c r="E1139" s="67">
        <f t="shared" ca="1" si="50"/>
        <v>18.210533333333338</v>
      </c>
      <c r="F1139" s="67">
        <f t="shared" ca="1" si="50"/>
        <v>18.210533333333338</v>
      </c>
      <c r="G1139" s="67">
        <f t="shared" ca="1" si="50"/>
        <v>18.212641666666666</v>
      </c>
      <c r="H1139" s="67">
        <f t="shared" ca="1" si="50"/>
        <v>30.039275</v>
      </c>
      <c r="I1139" s="67">
        <f t="shared" ca="1" si="50"/>
        <v>30.041383333333343</v>
      </c>
      <c r="J1139" s="67">
        <f t="shared" ca="1" si="50"/>
        <v>18.210533333333338</v>
      </c>
      <c r="K1139" s="67">
        <f t="shared" ca="1" si="50"/>
        <v>18.212641666666666</v>
      </c>
    </row>
    <row r="1140" spans="1:11" ht="15">
      <c r="A1140" s="3">
        <v>2092</v>
      </c>
      <c r="B1140" s="67">
        <f t="shared" ref="B1140:K1148" ca="1" si="51">AVERAGE(OFFSET(B$593,($A1140-$A$1110)*12,0,12,1))</f>
        <v>16.336183333333331</v>
      </c>
      <c r="C1140" s="67">
        <f t="shared" ca="1" si="51"/>
        <v>16.336183333333331</v>
      </c>
      <c r="D1140" s="67">
        <f t="shared" ca="1" si="51"/>
        <v>16.337858333333333</v>
      </c>
      <c r="E1140" s="67">
        <f t="shared" ca="1" si="51"/>
        <v>18.467549999999999</v>
      </c>
      <c r="F1140" s="67">
        <f t="shared" ca="1" si="51"/>
        <v>18.467549999999999</v>
      </c>
      <c r="G1140" s="67">
        <f t="shared" ca="1" si="51"/>
        <v>18.469658333333332</v>
      </c>
      <c r="H1140" s="67">
        <f t="shared" ca="1" si="51"/>
        <v>30.471233333333327</v>
      </c>
      <c r="I1140" s="67">
        <f t="shared" ca="1" si="51"/>
        <v>30.473325000000003</v>
      </c>
      <c r="J1140" s="67">
        <f t="shared" ca="1" si="51"/>
        <v>18.467549999999999</v>
      </c>
      <c r="K1140" s="67">
        <f t="shared" ca="1" si="51"/>
        <v>18.469658333333332</v>
      </c>
    </row>
    <row r="1141" spans="1:11" ht="15">
      <c r="A1141" s="3">
        <v>2093</v>
      </c>
      <c r="B1141" s="67">
        <f t="shared" ca="1" si="51"/>
        <v>16.573799999999999</v>
      </c>
      <c r="C1141" s="67">
        <f t="shared" ca="1" si="51"/>
        <v>16.573799999999999</v>
      </c>
      <c r="D1141" s="67">
        <f t="shared" ca="1" si="51"/>
        <v>16.575458333333334</v>
      </c>
      <c r="E1141" s="67">
        <f t="shared" ca="1" si="51"/>
        <v>18.724558333333331</v>
      </c>
      <c r="F1141" s="67">
        <f t="shared" ca="1" si="51"/>
        <v>18.724558333333331</v>
      </c>
      <c r="G1141" s="67">
        <f t="shared" ca="1" si="51"/>
        <v>18.726675</v>
      </c>
      <c r="H1141" s="67">
        <f t="shared" ca="1" si="51"/>
        <v>30.903175000000005</v>
      </c>
      <c r="I1141" s="67">
        <f t="shared" ca="1" si="51"/>
        <v>30.90528333333334</v>
      </c>
      <c r="J1141" s="67">
        <f t="shared" ca="1" si="51"/>
        <v>18.724558333333331</v>
      </c>
      <c r="K1141" s="67">
        <f t="shared" ca="1" si="51"/>
        <v>18.726675</v>
      </c>
    </row>
    <row r="1142" spans="1:11" ht="15">
      <c r="A1142" s="3">
        <v>2094</v>
      </c>
      <c r="B1142" s="67">
        <f t="shared" ca="1" si="51"/>
        <v>16.81141666666667</v>
      </c>
      <c r="C1142" s="67">
        <f t="shared" ca="1" si="51"/>
        <v>16.81141666666667</v>
      </c>
      <c r="D1142" s="67">
        <f t="shared" ca="1" si="51"/>
        <v>16.813100000000002</v>
      </c>
      <c r="E1142" s="67">
        <f t="shared" ca="1" si="51"/>
        <v>18.981583333333333</v>
      </c>
      <c r="F1142" s="67">
        <f t="shared" ca="1" si="51"/>
        <v>18.981583333333333</v>
      </c>
      <c r="G1142" s="67">
        <f t="shared" ca="1" si="51"/>
        <v>18.983675000000002</v>
      </c>
      <c r="H1142" s="67">
        <f t="shared" ca="1" si="51"/>
        <v>31.335108333333334</v>
      </c>
      <c r="I1142" s="67">
        <f t="shared" ca="1" si="51"/>
        <v>31.337225000000004</v>
      </c>
      <c r="J1142" s="67">
        <f t="shared" ca="1" si="51"/>
        <v>18.981583333333333</v>
      </c>
      <c r="K1142" s="67">
        <f t="shared" ca="1" si="51"/>
        <v>18.983675000000002</v>
      </c>
    </row>
    <row r="1143" spans="1:11" ht="15">
      <c r="A1143" s="3">
        <v>2095</v>
      </c>
      <c r="B1143" s="67">
        <f t="shared" ca="1" si="51"/>
        <v>17.049025</v>
      </c>
      <c r="C1143" s="67">
        <f t="shared" ca="1" si="51"/>
        <v>17.049025</v>
      </c>
      <c r="D1143" s="67">
        <f t="shared" ca="1" si="51"/>
        <v>17.050700000000003</v>
      </c>
      <c r="E1143" s="67">
        <f t="shared" ca="1" si="51"/>
        <v>19.238591666666668</v>
      </c>
      <c r="F1143" s="67">
        <f t="shared" ca="1" si="51"/>
        <v>19.238591666666668</v>
      </c>
      <c r="G1143" s="67">
        <f t="shared" ca="1" si="51"/>
        <v>19.240675</v>
      </c>
      <c r="H1143" s="67">
        <f t="shared" ca="1" si="51"/>
        <v>31.767058333333324</v>
      </c>
      <c r="I1143" s="67">
        <f t="shared" ca="1" si="51"/>
        <v>31.769175000000001</v>
      </c>
      <c r="J1143" s="67">
        <f t="shared" ca="1" si="51"/>
        <v>19.238591666666668</v>
      </c>
      <c r="K1143" s="67">
        <f t="shared" ca="1" si="51"/>
        <v>19.240675</v>
      </c>
    </row>
    <row r="1144" spans="1:11" ht="15">
      <c r="A1144" s="3">
        <v>2096</v>
      </c>
      <c r="B1144" s="67">
        <f t="shared" ca="1" si="51"/>
        <v>17.286658333333332</v>
      </c>
      <c r="C1144" s="67">
        <f t="shared" ca="1" si="51"/>
        <v>17.286658333333332</v>
      </c>
      <c r="D1144" s="67">
        <f t="shared" ca="1" si="51"/>
        <v>17.28830833333333</v>
      </c>
      <c r="E1144" s="67">
        <f t="shared" ca="1" si="51"/>
        <v>19.49559166666667</v>
      </c>
      <c r="F1144" s="67">
        <f t="shared" ca="1" si="51"/>
        <v>19.49559166666667</v>
      </c>
      <c r="G1144" s="67">
        <f t="shared" ca="1" si="51"/>
        <v>19.497699999999998</v>
      </c>
      <c r="H1144" s="67">
        <f t="shared" ca="1" si="51"/>
        <v>32.199016666666672</v>
      </c>
      <c r="I1144" s="67">
        <f t="shared" ca="1" si="51"/>
        <v>32.201124999999998</v>
      </c>
      <c r="J1144" s="67">
        <f t="shared" ca="1" si="51"/>
        <v>19.49559166666667</v>
      </c>
      <c r="K1144" s="67">
        <f t="shared" ca="1" si="51"/>
        <v>19.497699999999998</v>
      </c>
    </row>
    <row r="1145" spans="1:11" ht="15">
      <c r="A1145" s="3">
        <v>2097</v>
      </c>
      <c r="B1145" s="67">
        <f t="shared" ca="1" si="51"/>
        <v>17.524258333333332</v>
      </c>
      <c r="C1145" s="67">
        <f t="shared" ca="1" si="51"/>
        <v>17.524258333333332</v>
      </c>
      <c r="D1145" s="67">
        <f t="shared" ca="1" si="51"/>
        <v>17.525925000000004</v>
      </c>
      <c r="E1145" s="67">
        <f t="shared" ca="1" si="51"/>
        <v>19.752591666666664</v>
      </c>
      <c r="F1145" s="67">
        <f t="shared" ca="1" si="51"/>
        <v>19.752591666666664</v>
      </c>
      <c r="G1145" s="67">
        <f t="shared" ca="1" si="51"/>
        <v>19.7547</v>
      </c>
      <c r="H1145" s="67">
        <f t="shared" ca="1" si="51"/>
        <v>32.630966666666666</v>
      </c>
      <c r="I1145" s="67">
        <f t="shared" ca="1" si="51"/>
        <v>32.633074999999998</v>
      </c>
      <c r="J1145" s="67">
        <f t="shared" ca="1" si="51"/>
        <v>19.752591666666664</v>
      </c>
      <c r="K1145" s="67">
        <f t="shared" ca="1" si="51"/>
        <v>19.7547</v>
      </c>
    </row>
    <row r="1146" spans="1:11" ht="15">
      <c r="A1146" s="3">
        <v>2098</v>
      </c>
      <c r="B1146" s="67">
        <f t="shared" ca="1" si="51"/>
        <v>17.761866666666666</v>
      </c>
      <c r="C1146" s="67">
        <f t="shared" ca="1" si="51"/>
        <v>17.761866666666666</v>
      </c>
      <c r="D1146" s="67">
        <f t="shared" ca="1" si="51"/>
        <v>17.763525000000001</v>
      </c>
      <c r="E1146" s="67">
        <f t="shared" ca="1" si="51"/>
        <v>20.009608333333329</v>
      </c>
      <c r="F1146" s="67">
        <f t="shared" ca="1" si="51"/>
        <v>20.009608333333329</v>
      </c>
      <c r="G1146" s="67">
        <f t="shared" ca="1" si="51"/>
        <v>20.011716666666668</v>
      </c>
      <c r="H1146" s="67">
        <f t="shared" ca="1" si="51"/>
        <v>33.062925</v>
      </c>
      <c r="I1146" s="67">
        <f t="shared" ca="1" si="51"/>
        <v>33.065033333333332</v>
      </c>
      <c r="J1146" s="67">
        <f t="shared" ca="1" si="51"/>
        <v>20.009608333333329</v>
      </c>
      <c r="K1146" s="67">
        <f t="shared" ca="1" si="51"/>
        <v>20.011716666666668</v>
      </c>
    </row>
    <row r="1147" spans="1:11" ht="15">
      <c r="A1147" s="3">
        <v>2099</v>
      </c>
      <c r="B1147" s="67">
        <f t="shared" ca="1" si="51"/>
        <v>17.999491666666668</v>
      </c>
      <c r="C1147" s="67">
        <f t="shared" ca="1" si="51"/>
        <v>17.999491666666668</v>
      </c>
      <c r="D1147" s="67">
        <f t="shared" ca="1" si="51"/>
        <v>18.001158333333336</v>
      </c>
      <c r="E1147" s="67">
        <f t="shared" ca="1" si="51"/>
        <v>20.266633333333331</v>
      </c>
      <c r="F1147" s="67">
        <f t="shared" ca="1" si="51"/>
        <v>20.266633333333331</v>
      </c>
      <c r="G1147" s="67">
        <f t="shared" ca="1" si="51"/>
        <v>20.268733333333333</v>
      </c>
      <c r="H1147" s="67">
        <f t="shared" ca="1" si="51"/>
        <v>33.494875</v>
      </c>
      <c r="I1147" s="67">
        <f t="shared" ca="1" si="51"/>
        <v>33.496974999999999</v>
      </c>
      <c r="J1147" s="67">
        <f t="shared" ca="1" si="51"/>
        <v>20.266633333333331</v>
      </c>
      <c r="K1147" s="67">
        <f t="shared" ca="1" si="51"/>
        <v>20.268733333333333</v>
      </c>
    </row>
    <row r="1148" spans="1:11" ht="15">
      <c r="A1148" s="3">
        <v>2100</v>
      </c>
      <c r="B1148" s="67">
        <f t="shared" ca="1" si="51"/>
        <v>18.237108333333328</v>
      </c>
      <c r="C1148" s="67">
        <f t="shared" ca="1" si="51"/>
        <v>18.237108333333328</v>
      </c>
      <c r="D1148" s="67">
        <f t="shared" ca="1" si="51"/>
        <v>18.238766666666667</v>
      </c>
      <c r="E1148" s="67">
        <f t="shared" ca="1" si="51"/>
        <v>20.523624999999999</v>
      </c>
      <c r="F1148" s="67">
        <f t="shared" ca="1" si="51"/>
        <v>20.523624999999999</v>
      </c>
      <c r="G1148" s="67">
        <f t="shared" ca="1" si="51"/>
        <v>20.525733333333331</v>
      </c>
      <c r="H1148" s="67">
        <f t="shared" ca="1" si="51"/>
        <v>33.926825000000001</v>
      </c>
      <c r="I1148" s="67">
        <f t="shared" ca="1" si="51"/>
        <v>33.928916666666666</v>
      </c>
      <c r="J1148" s="67">
        <f t="shared" ca="1" si="51"/>
        <v>20.523624999999999</v>
      </c>
      <c r="K1148" s="67">
        <f t="shared" ca="1" si="51"/>
        <v>20.525733333333331</v>
      </c>
    </row>
  </sheetData>
  <mergeCells count="7">
    <mergeCell ref="B14:D14"/>
    <mergeCell ref="L14:M14"/>
    <mergeCell ref="N14:O14"/>
    <mergeCell ref="L13:O13"/>
    <mergeCell ref="E14:G14"/>
    <mergeCell ref="J14:K14"/>
    <mergeCell ref="H14:I14"/>
  </mergeCells>
  <pageMargins left="0.25" right="0.25" top="0.5" bottom="0.5" header="0.25" footer="0.25"/>
  <pageSetup paperSize="119" scale="85" orientation="landscape" horizontalDpi="1200" verticalDpi="1200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381000</xdr:colOff>
                    <xdr:row>12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37"/>
  <sheetViews>
    <sheetView showGridLines="0" workbookViewId="0">
      <selection activeCell="A6" sqref="A6"/>
    </sheetView>
  </sheetViews>
  <sheetFormatPr defaultColWidth="8.88671875" defaultRowHeight="15.75"/>
  <cols>
    <col min="1" max="1" width="8.88671875" style="80"/>
    <col min="2" max="2" width="15.5546875" style="80" bestFit="1" customWidth="1"/>
    <col min="3" max="3" width="9.5546875" style="80" bestFit="1" customWidth="1"/>
    <col min="4" max="16384" width="8.88671875" style="80"/>
  </cols>
  <sheetData>
    <row r="1" spans="1:3">
      <c r="A1" s="88" t="s">
        <v>64</v>
      </c>
    </row>
    <row r="2" spans="1:3">
      <c r="A2" s="88" t="s">
        <v>65</v>
      </c>
    </row>
    <row r="3" spans="1:3">
      <c r="A3" s="88" t="s">
        <v>66</v>
      </c>
    </row>
    <row r="4" spans="1:3">
      <c r="A4" s="88" t="s">
        <v>67</v>
      </c>
    </row>
    <row r="5" spans="1:3">
      <c r="A5" s="88" t="s">
        <v>69</v>
      </c>
    </row>
    <row r="6" spans="1:3">
      <c r="A6" s="88" t="s">
        <v>73</v>
      </c>
    </row>
    <row r="8" spans="1:3">
      <c r="B8" s="85" t="s">
        <v>63</v>
      </c>
      <c r="C8" s="85" t="s">
        <v>54</v>
      </c>
    </row>
    <row r="9" spans="1:3">
      <c r="B9" s="87" t="s">
        <v>61</v>
      </c>
      <c r="C9" s="97">
        <v>2</v>
      </c>
    </row>
    <row r="10" spans="1:3">
      <c r="B10" s="87" t="s">
        <v>60</v>
      </c>
      <c r="C10" s="99"/>
    </row>
    <row r="11" spans="1:3">
      <c r="B11" s="86" t="s">
        <v>59</v>
      </c>
      <c r="C11" s="98"/>
    </row>
    <row r="14" spans="1:3">
      <c r="B14" s="85" t="s">
        <v>55</v>
      </c>
      <c r="C14" s="85" t="s">
        <v>54</v>
      </c>
    </row>
    <row r="15" spans="1:3">
      <c r="B15" s="87" t="s">
        <v>61</v>
      </c>
      <c r="C15" s="97">
        <v>2</v>
      </c>
    </row>
    <row r="16" spans="1:3">
      <c r="B16" s="87" t="s">
        <v>60</v>
      </c>
      <c r="C16" s="99"/>
    </row>
    <row r="17" spans="2:3">
      <c r="B17" s="86" t="s">
        <v>59</v>
      </c>
      <c r="C17" s="98"/>
    </row>
    <row r="21" spans="2:3">
      <c r="B21" s="85" t="s">
        <v>62</v>
      </c>
      <c r="C21" s="85" t="s">
        <v>54</v>
      </c>
    </row>
    <row r="22" spans="2:3">
      <c r="B22" s="87" t="s">
        <v>61</v>
      </c>
      <c r="C22" s="97">
        <v>2</v>
      </c>
    </row>
    <row r="23" spans="2:3">
      <c r="B23" s="87" t="s">
        <v>60</v>
      </c>
      <c r="C23" s="99"/>
    </row>
    <row r="24" spans="2:3">
      <c r="B24" s="86" t="s">
        <v>59</v>
      </c>
      <c r="C24" s="98"/>
    </row>
    <row r="27" spans="2:3">
      <c r="B27" s="85" t="s">
        <v>58</v>
      </c>
      <c r="C27" s="85" t="s">
        <v>54</v>
      </c>
    </row>
    <row r="28" spans="2:3">
      <c r="B28" s="84" t="s">
        <v>57</v>
      </c>
      <c r="C28" s="97">
        <v>1</v>
      </c>
    </row>
    <row r="29" spans="2:3">
      <c r="B29" s="83" t="s">
        <v>56</v>
      </c>
      <c r="C29" s="98"/>
    </row>
    <row r="31" spans="2:3">
      <c r="B31" s="85" t="s">
        <v>55</v>
      </c>
      <c r="C31" s="85" t="s">
        <v>54</v>
      </c>
    </row>
    <row r="32" spans="2:3">
      <c r="B32" s="84" t="s">
        <v>53</v>
      </c>
      <c r="C32" s="97">
        <v>1</v>
      </c>
    </row>
    <row r="33" spans="2:5">
      <c r="B33" s="83" t="s">
        <v>52</v>
      </c>
      <c r="C33" s="98"/>
    </row>
    <row r="37" spans="2:5">
      <c r="C37" s="82"/>
      <c r="E37" s="81"/>
    </row>
  </sheetData>
  <mergeCells count="5">
    <mergeCell ref="C32:C33"/>
    <mergeCell ref="C22:C24"/>
    <mergeCell ref="C28:C29"/>
    <mergeCell ref="C9:C11"/>
    <mergeCell ref="C15:C17"/>
  </mergeCells>
  <pageMargins left="0.25" right="0.25" top="0.5" bottom="0.5" header="0.25" footer="0.25"/>
  <pageSetup orientation="portrait" horizontalDpi="1200" verticalDpi="1200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RAP-NATURAL GAS PRICES</vt:lpstr>
      <vt:lpstr>RAP TEMPLATE-GAS AVAILABILITY</vt:lpstr>
      <vt:lpstr>RAP-HEAVY &amp; LIGHT OIL &amp; WTI</vt:lpstr>
      <vt:lpstr>RAP-SOLID FUEL PRICES</vt:lpstr>
      <vt:lpstr>CONTROL</vt:lpstr>
      <vt:lpstr>'RAP TEMPLATE-GAS AVAILABILITY'!Print_Area</vt:lpstr>
      <vt:lpstr>'RAP-HEAVY &amp; LIGHT OIL &amp; WTI'!Print_Area</vt:lpstr>
      <vt:lpstr>'RAP-NATURAL GAS PRICES'!Print_Area</vt:lpstr>
      <vt:lpstr>'RAP-SOLID FUEL PRICES'!Print_Area</vt:lpstr>
      <vt:lpstr>'RAP TEMPLATE-GAS AVAILABILITY'!Print_Titles</vt:lpstr>
      <vt:lpstr>'RAP-HEAVY &amp; LIGHT OIL &amp; WTI'!Print_Titles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2016-07-29T14:10:26Z</dcterms:created>
  <dcterms:modified xsi:type="dcterms:W3CDTF">2016-07-29T14:10:30Z</dcterms:modified>
</cp:coreProperties>
</file>